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theme/theme1.xml" ContentType="application/vnd.openxmlformats-officedocument.theme+xml"/>
  <Override PartName="/docProps/app.xml" ContentType="application/vnd.openxmlformats-officedocument.extended-properties+xml"/>
  <Override PartName="/docProps/core.xml" ContentType="application/vnd.openxmlformats-package.core-properties+xml"/>
  <Default Extension="jpeg" ContentType="image/jpeg"/>
  <Default Extension="emf" ContentType="image/x-emf"/>
  <Default Extension="png" ContentType="image/png"/>
  <Override PartName="/xl/styles.xml" ContentType="application/vnd.openxmlformats-officedocument.spreadsheetml.styles+xml"/>
  <Override PartName="/xl/drawings/drawing1.xml" ContentType="application/vnd.openxmlformats-officedocument.drawing+xml"/>
  <Default Extension="bin" ContentType="application/vnd.openxmlformats-officedocument.spreadsheetml.printerSettings"/>
  <Override PartName="/xl/worksheets/sheet1.xml" ContentType="application/vnd.openxmlformats-officedocument.spreadsheetml.worksheet+xml"/>
  <Override PartName="/xl/worksheets/sheet2.xml" ContentType="application/vnd.openxmlformats-officedocument.spreadsheetml.worksheet+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SingleCells1.xml" ContentType="application/vnd.openxmlformats-officedocument.spreadsheetml.tableSingleCells+xml"/>
  <Override PartName="/xl/worksheets/sheet3.xml" ContentType="application/vnd.openxmlformats-officedocument.spreadsheetml.worksheet+xml"/>
  <Override PartName="/xl/comments4.xml" ContentType="application/vnd.openxmlformats-officedocument.spreadsheetml.comments+xml"/>
  <Default Extension="vml" ContentType="application/vnd.openxmlformats-officedocument.vmlDrawing"/>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omments7.xml" ContentType="application/vnd.openxmlformats-officedocument.spreadsheetml.comments+xml"/>
  <Override PartName="/xl/worksheets/sheet7.xml" ContentType="application/vnd.openxmlformats-officedocument.spreadsheetml.worksheet+xml"/>
  <Override PartName="/xl/comments8.xml" ContentType="application/vnd.openxmlformats-officedocument.spreadsheetml.comments+xml"/>
  <Override PartName="/xl/worksheets/sheet8.xml" ContentType="application/vnd.openxmlformats-officedocument.spreadsheetml.worksheet+xml"/>
  <Override PartName="/xl/comments9.xml" ContentType="application/vnd.openxmlformats-officedocument.spreadsheetml.comments+xml"/>
  <Override PartName="/xl/worksheets/sheet9.xml" ContentType="application/vnd.openxmlformats-officedocument.spreadsheetml.worksheet+xml"/>
  <Override PartName="/xl/worksheets/sheet10.xml" ContentType="application/vnd.openxmlformats-officedocument.spreadsheetml.worksheet+xml"/>
  <Override PartName="/xl/comments11.xml" ContentType="application/vnd.openxmlformats-officedocument.spreadsheetml.comments+xml"/>
  <Override PartName="/xl/worksheets/sheet11.xml" ContentType="application/vnd.openxmlformats-officedocument.spreadsheetml.worksheet+xml"/>
  <Override PartName="/xl/comments12.xml" ContentType="application/vnd.openxmlformats-officedocument.spreadsheetml.comments+xml"/>
  <Override PartName="/xl/worksheets/sheet12.xml" ContentType="application/vnd.openxmlformats-officedocument.spreadsheetml.worksheet+xml"/>
  <Override PartName="/xl/comments13.xml" ContentType="application/vnd.openxmlformats-officedocument.spreadsheetml.comments+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comments20.xml" ContentType="application/vnd.openxmlformats-officedocument.spreadsheetml.comments+xml"/>
  <Override PartName="/xl/drawings/drawing2.xml" ContentType="application/vnd.openxmlformats-officedocument.drawing+xml"/>
  <Override PartName="/xl/worksheets/sheet20.xml" ContentType="application/vnd.openxmlformats-officedocument.spreadsheetml.worksheet+xml"/>
  <Override PartName="/xl/comments21.xml" ContentType="application/vnd.openxmlformats-officedocument.spreadsheetml.comments+xml"/>
  <Override PartName="/xl/drawings/drawing3.xml" ContentType="application/vnd.openxmlformats-officedocument.drawing+xml"/>
  <Override PartName="/xl/worksheets/sheet21.xml" ContentType="application/vnd.openxmlformats-officedocument.spreadsheetml.worksheet+xml"/>
  <Override PartName="/xl/drawings/drawing4.xml" ContentType="application/vnd.openxmlformats-officedocument.drawing+xml"/>
  <Override PartName="/xl/worksheets/sheet22.xml" ContentType="application/vnd.openxmlformats-officedocument.spreadsheetml.worksheet+xml"/>
  <Override PartName="/xl/drawings/drawing5.xml" ContentType="application/vnd.openxmlformats-officedocument.drawing+xml"/>
  <Override PartName="/xl/worksheets/sheet23.xml" ContentType="application/vnd.openxmlformats-officedocument.spreadsheetml.worksheet+xml"/>
  <Override PartName="/xl/worksheets/sheet24.xml" ContentType="application/vnd.openxmlformats-officedocument.spreadsheetml.worksheet+xml"/>
  <Override PartName="/xl/comments25.xml" ContentType="application/vnd.openxmlformats-officedocument.spreadsheetml.comments+xml"/>
  <Override PartName="/xl/drawings/drawing6.xml" ContentType="application/vnd.openxmlformats-officedocument.drawing+xml"/>
  <Override PartName="/xl/worksheets/sheet25.xml" ContentType="application/vnd.openxmlformats-officedocument.spreadsheetml.worksheet+xml"/>
  <Override PartName="/xl/comments26.xml" ContentType="application/vnd.openxmlformats-officedocument.spreadsheetml.comments+xml"/>
  <Override PartName="/xl/drawings/drawing7.xml" ContentType="application/vnd.openxmlformats-officedocument.drawing+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Default Extension="jpg" ContentType="image/jpeg"/>
  <Override PartName="/xl/calcChain.xml" ContentType="application/vnd.openxmlformats-officedocument.spreadsheetml.calcChain+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to_sešit"/>
  <mc:AlternateContent xmlns:mc="http://schemas.openxmlformats.org/markup-compatibility/2006">
    <mc:Choice Requires="x15">
      <x15ac:absPath xmlns:x15ac="http://schemas.microsoft.com/office/spreadsheetml/2010/11/ac" url="C:\Data\NAHRANI\PRIZNANI\TODO\NAHRANI\"/>
    </mc:Choice>
  </mc:AlternateContent>
  <bookViews>
    <workbookView xWindow="0" yWindow="0" windowWidth="23040" windowHeight="8610" tabRatio="889" activeTab="0"/>
  </bookViews>
  <sheets>
    <sheet name="UVOD" sheetId="52" r:id="rId3"/>
    <sheet name="FU" sheetId="61" state="hidden" r:id="rId4"/>
    <sheet name="XML export" sheetId="62" state="hidden" r:id="rId5"/>
    <sheet name="ZAKL_DATA" sheetId="57" r:id="rId6"/>
    <sheet name="XML_export" sheetId="63" r:id="rId7"/>
    <sheet name="DAP1" sheetId="1" r:id="rId8"/>
    <sheet name="DAP2" sheetId="30" r:id="rId9"/>
    <sheet name="DAP3" sheetId="31" r:id="rId10"/>
    <sheet name="DAP4" sheetId="32" r:id="rId11"/>
    <sheet name="ZAV" sheetId="27" r:id="rId12"/>
    <sheet name="1Př1" sheetId="33" r:id="rId13"/>
    <sheet name="1Př2" sheetId="34" r:id="rId14"/>
    <sheet name="2Př" sheetId="35" r:id="rId15"/>
    <sheet name="3Př" sheetId="38" r:id="rId16"/>
    <sheet name="3Př_a" sheetId="54" r:id="rId17"/>
    <sheet name="6Př" sheetId="53" r:id="rId18"/>
    <sheet name="Př_b" sheetId="55" r:id="rId19"/>
    <sheet name="Potvr_ZAM" sheetId="66" r:id="rId20"/>
    <sheet name="Prohl_manž" sheetId="67" r:id="rId21"/>
    <sheet name="SP1" sheetId="50" r:id="rId22"/>
    <sheet name="SP2" sheetId="51" r:id="rId23"/>
    <sheet name="SP_zam" sheetId="68" r:id="rId24"/>
    <sheet name="SP_stud" sheetId="69" r:id="rId25"/>
    <sheet name="SP_prijem" sheetId="70" r:id="rId26"/>
    <sheet name="VZP" sheetId="58" r:id="rId27"/>
    <sheet name="Ostatní ZP" sheetId="65" r:id="rId28"/>
    <sheet name="Zálohy" sheetId="22" r:id="rId29"/>
    <sheet name="Zálohy_odklad" sheetId="29" r:id="rId30"/>
    <sheet name="Účetní_závěrka" sheetId="64" r:id="rId31"/>
  </sheets>
  <externalReferences>
    <externalReference r:id="rId33"/>
    <externalReference r:id="rId34"/>
    <externalReference r:id="rId35"/>
    <externalReference r:id="rId36"/>
    <externalReference r:id="rId37"/>
  </externalReferences>
  <definedNames>
    <definedName name="fin_ur" localSheetId="17">[1]FU!$B$3:$B$17</definedName>
    <definedName name="fin_ur" localSheetId="18">[1]FU!$B$3:$B$17</definedName>
    <definedName name="fin_ur" localSheetId="23">[2]FU!$B$3:$B$17</definedName>
    <definedName name="fin_ur" localSheetId="28">[3]FU!$B$3:$B$17</definedName>
    <definedName name="fin_ur" localSheetId="4">[3]FU!$B$3:$B$17</definedName>
    <definedName name="fin_ur">FU!$B$3:$B$17</definedName>
    <definedName name="_xlnm.Print_Area" localSheetId="10">'1Př1'!$A$1:$K$41</definedName>
    <definedName name="_xlnm.Print_Area" localSheetId="11">'1Př2'!$A$1:$G$50</definedName>
    <definedName name="_xlnm.Print_Area" localSheetId="12">'2Př'!$A$1:$J$42</definedName>
    <definedName name="_xlnm.Print_Area" localSheetId="13">'3Př'!$A$1:$G$24</definedName>
    <definedName name="_xlnm.Print_Area" localSheetId="14">'3Př_a'!$A$1:$G$23</definedName>
    <definedName name="_xlnm.Print_Area" localSheetId="15">'6Př'!$A$1:$F$36</definedName>
    <definedName name="_xlnm.Print_Area" localSheetId="5">'DAP1'!$A$1:$L$48</definedName>
    <definedName name="_xlnm.Print_Area" localSheetId="6">'DAP2'!$A$1:$J$46</definedName>
    <definedName name="_xlnm.Print_Area" localSheetId="7">'DAP3'!$A$1:$K$51</definedName>
    <definedName name="_xlnm.Print_Area" localSheetId="8">'DAP4'!$A$1:$K$58</definedName>
    <definedName name="_xlnm.Print_Area" localSheetId="25">'Ostatní ZP'!$A$1:$AR$63</definedName>
    <definedName name="_xlnm.Print_Area" localSheetId="17">Potvr_ZAM!$A$1:$G$54</definedName>
    <definedName name="_xlnm.Print_Area" localSheetId="18">Prohl_manž!$A$1:$E$24</definedName>
    <definedName name="_xlnm.Print_Area" localSheetId="16">Př_b!$A$1:$F$36</definedName>
    <definedName name="_xlnm.Print_Area" localSheetId="23">SP_prijem!$A$1:$I$53</definedName>
    <definedName name="_xlnm.Print_Area" localSheetId="22">SP_stud!$A$1:$AE$29</definedName>
    <definedName name="_xlnm.Print_Area" localSheetId="21">SP_zam!$A$1:$AE$30</definedName>
    <definedName name="_xlnm.Print_Area" localSheetId="19">'SP1'!$A$1:$AF$74</definedName>
    <definedName name="_xlnm.Print_Area" localSheetId="20">'SP2'!$A$1:$AO$64</definedName>
    <definedName name="_xlnm.Print_Area" localSheetId="28">Účetní_závěrka!$B$1:$L$148</definedName>
    <definedName name="_xlnm.Print_Area" localSheetId="0">UVOD!$A$1:$K$41</definedName>
    <definedName name="_xlnm.Print_Area" localSheetId="24">VZP!$A$1:$AR$63</definedName>
    <definedName name="_xlnm.Print_Area" localSheetId="4">XML_export!$A$1:$B$28</definedName>
    <definedName name="_xlnm.Print_Area" localSheetId="3">ZAKL_DATA!$A$1:$E$42</definedName>
    <definedName name="_xlnm.Print_Area" localSheetId="26">Zálohy!$A$1:$E$41</definedName>
    <definedName name="_xlnm.Print_Area" localSheetId="27">Zálohy_odklad!$A$1:$E$41</definedName>
    <definedName name="_xlnm.Print_Area" localSheetId="9">ZAV!$A$2:$C$49</definedName>
    <definedName name="staty" localSheetId="17">[1]FU!$J$3:$J$253</definedName>
    <definedName name="staty" localSheetId="18">[1]FU!$J$3:$J$253</definedName>
    <definedName name="staty" localSheetId="23">[2]FU!$J$3:$J$253</definedName>
    <definedName name="staty" localSheetId="28">[3]FU!$J$3:$J$253</definedName>
    <definedName name="staty" localSheetId="4">[3]FU!$J$3:$J$253</definedName>
    <definedName name="staty">FU!$J$3:$J$253</definedName>
    <definedName name="validation_list">OFFSET('[4]Obory činnosti'!$E$2,,,COUNTIF('[4]Obory činnosti'!$E$2:$E$1750,"?*"))</definedName>
    <definedName name="validation_list2" localSheetId="17">OFFSET([1]FU!$H$3,,,COUNTIF([1]FU!$H$3:$H$204,"?*"))</definedName>
    <definedName name="validation_list2" localSheetId="18">OFFSET([1]FU!$H$3,,,COUNTIF([1]FU!$H$3:$H$204,"?*"))</definedName>
    <definedName name="validation_list2" localSheetId="23">OFFSET([2]FU!$H$3,,,COUNTIF([2]FU!$H$3:$H$204,"?*"))</definedName>
    <definedName name="validation_list2" localSheetId="28">OFFSET([3]FU!$H$3,,,COUNTIF([3]FU!$H$3:$H$204,"?*"))</definedName>
    <definedName name="validation_list2" localSheetId="4">OFFSET('[5]Finanční úřady'!$H$3,,,COUNTIF('[5]Finanční úřady'!$H$3:$H$204,"?*"))</definedName>
    <definedName name="validation_list2">OFFSET(FU!$H$3,,,COUNTIF(FU!$H$3:$H$204,"?*"))</definedName>
    <definedName name="vl_cinnosti" localSheetId="17">OFFSET([1]FU!$Q$3,,,COUNTIF([1]FU!$Q$3:$Q$1699,"?*"))</definedName>
    <definedName name="vl_cinnosti" localSheetId="18">OFFSET([1]FU!$Q$3,,,COUNTIF([1]FU!$Q$3:$Q$1699,"?*"))</definedName>
    <definedName name="vl_cinnosti" localSheetId="23">OFFSET([2]FU!$Q$3,,,COUNTIF([2]FU!$Q$3:$Q$1699,"?*"))</definedName>
    <definedName name="vl_cinnosti" localSheetId="28">OFFSET([3]FU!$Q$3,,,COUNTIF([3]FU!$Q$3:$Q$1699,"?*"))</definedName>
    <definedName name="vl_cinnosti" localSheetId="4">OFFSET([3]FU!$Q$3,,,COUNTIF([3]FU!$Q$3:$Q$1699,"?*"))</definedName>
    <definedName name="vl_cinnosti">OFFSET(FU!$Q$3,,,COUNTIF(FU!$Q$3:$Q$1699,"?*"))</definedName>
    <definedName name="vl_cinnosti2" localSheetId="17">OFFSET([1]FU!$Q$3,,,COUNTIF([1]FU!$T$3:$T$992,"?*"))</definedName>
    <definedName name="vl_cinnosti2" localSheetId="18">OFFSET([1]FU!$Q$3,,,COUNTIF([1]FU!$T$3:$T$992,"?*"))</definedName>
    <definedName name="vl_cinnosti2" localSheetId="23">OFFSET([2]FU!$Q$3,,,COUNTIF([2]FU!$T$3:$T$992,"?*"))</definedName>
    <definedName name="vl_cinnosti2">OFFSET(FU!$Q$3,,,COUNTIF(FU!$T$3:$T$992,"?*"))</definedName>
    <definedName name="vl_cinnosti3" localSheetId="17">OFFSET([1]FU!$Q$3,,,COUNTIF([1]FU!$W$3:$W$992,"?*"))</definedName>
    <definedName name="vl_cinnosti3" localSheetId="18">OFFSET([1]FU!$Q$3,,,COUNTIF([1]FU!$W$3:$W$992,"?*"))</definedName>
    <definedName name="vl_cinnosti3" localSheetId="23">OFFSET([2]FU!$Q$3,,,COUNTIF([2]FU!$W$3:$W$992,"?*"))</definedName>
    <definedName name="vl_cinnosti3">OFFSET(FU!$Q$3,,,COUNTIF(FU!$W$3:$W$992,"?*"))</definedName>
    <definedName name="vl_cinnosti4" localSheetId="17">OFFSET([1]FU!$Q$3,,,COUNTIF([1]FU!$Z$3:$Z$992,"?*"))</definedName>
    <definedName name="vl_cinnosti4" localSheetId="18">OFFSET([1]FU!$Q$3,,,COUNTIF([1]FU!$Z$3:$Z$992,"?*"))</definedName>
    <definedName name="vl_cinnosti4" localSheetId="23">OFFSET([2]FU!$Q$3,,,COUNTIF([2]FU!$Z$3:$Z$992,"?*"))</definedName>
    <definedName name="vl_cinnosti4">OFFSET(FU!$Q$3,,,COUNTIF(FU!$Z$3:$Z$992,"?*"))</definedName>
  </definedNames>
  <calcPr calcId="152511"/>
</workbook>
</file>

<file path=xl/calcChain.xml><?xml version="1.0" encoding="utf-8"?>
<calcChain xmlns="http://schemas.openxmlformats.org/spreadsheetml/2006/main">
  <c r="A30" i="52" l="1"/>
</calcChain>
</file>

<file path=xl/comments11.xml><?xml version="1.0" encoding="utf-8"?>
<comments xmlns="http://schemas.openxmlformats.org/spreadsheetml/2006/main" xmlns:mc="http://schemas.openxmlformats.org/markup-compatibility/2006" xmlns:xr="http://schemas.microsoft.com/office/spreadsheetml/2014/revision" mc:Ignorable="xr">
  <authors>
    <author>Martin Štěpán</author>
    <author>Martin Stepan</author>
  </authors>
  <commentList>
    <comment ref="K8" authorId="0">
      <text>
        <r>
          <rPr>
            <b/>
            <sz val="8"/>
            <rFont val="Tahoma"/>
            <family val="2"/>
            <charset val="-18"/>
          </rPr>
          <t>Martin Štěpán:</t>
        </r>
        <r>
          <rPr>
            <sz val="8"/>
            <rFont val="Tahoma"/>
            <family val="2"/>
            <charset val="-18"/>
          </rPr>
          <t xml:space="preserve">
Uplatňujete-li výdaj paušálem, vyplňte nejdříve sazbu paušálních výdajů na ř. 33 tohoto listu.</t>
        </r>
      </text>
    </comment>
    <comment ref="F13" authorId="0">
      <text>
        <r>
          <rPr>
            <b/>
            <sz val="8"/>
            <rFont val="Tahoma"/>
            <family val="2"/>
            <charset val="-18"/>
          </rPr>
          <t>Martin Štěpán - ASPEKT HM:</t>
        </r>
        <r>
          <rPr>
            <sz val="8"/>
            <rFont val="Tahoma"/>
            <family val="2"/>
            <charset val="-18"/>
          </rPr>
          <t xml:space="preserve">
Pokud vedete daňovou evidenci, začněte vyplňovat list ZAV.</t>
        </r>
      </text>
    </comment>
    <comment ref="A30" authorId="1">
      <text>
        <r>
          <rPr>
            <b/>
            <sz val="8"/>
            <rFont val="Tahoma"/>
            <family val="2"/>
            <charset val="-18"/>
          </rPr>
          <t xml:space="preserve">ASPEKT HM : Tuto položku vyplní pouze poplatníci účtující v soustavě podvojného účetnictví.
</t>
        </r>
        <r>
          <rPr>
            <sz val="8"/>
            <rFont val="Tahoma"/>
            <family val="2"/>
            <charset val="-18"/>
          </rPr>
          <t xml:space="preserve">
</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F38" authorId="0">
      <text>
        <r>
          <rPr>
            <b/>
            <sz val="9"/>
            <rFont val="Tahoma"/>
            <family val="2"/>
            <charset val="-18"/>
          </rPr>
          <t>Martin Štěpán:</t>
        </r>
        <r>
          <rPr>
            <sz val="9"/>
            <rFont val="Tahoma"/>
            <family val="2"/>
            <charset val="-18"/>
          </rPr>
          <t xml:space="preserve">
Uveďte pouze číselné znaky DIČ, tj. bez "CZ" </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24" authorId="0">
      <text>
        <r>
          <rPr>
            <b/>
            <sz val="9"/>
            <rFont val="Tahoma"/>
            <family val="2"/>
            <charset val="-18"/>
          </rPr>
          <t>Martin Štěpán:</t>
        </r>
        <r>
          <rPr>
            <sz val="9"/>
            <rFont val="Tahoma"/>
            <family val="2"/>
            <charset val="-18"/>
          </rPr>
          <t xml:space="preserve">
Druh příjmu uveĎte písmenem : A – příležitostná činnost, B – prodej nemovitostí, C – prodej movitých věcí, D – prodej cenných papírů, E – příjmy z převodu podle § 10 odst. 1, písm. c) zákona, F – jiné ostatní příjmy, G – bezúplatné příjmy. </t>
        </r>
        <r>
          <rPr>
            <i/>
            <sz val="9"/>
            <rFont val="Tahoma"/>
            <family val="2"/>
            <charset val="-18"/>
          </rPr>
          <t>Příklad : D - prodej cenných papírů</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A25"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 ref="P53" authorId="0">
      <text>
        <r>
          <rPr>
            <b/>
            <sz val="8"/>
            <rFont val="Tahoma"/>
            <family val="2"/>
            <charset val="-18"/>
          </rPr>
          <t>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
</t>
        </r>
      </text>
    </comment>
    <comment ref="H57" authorId="0">
      <text>
        <r>
          <rPr>
            <b/>
            <sz val="8"/>
            <rFont val="Tahoma"/>
            <family val="2"/>
            <charset val="-18"/>
          </rPr>
          <t>mgr. Martin Štěpán:</t>
        </r>
        <r>
          <rPr>
            <sz val="8"/>
            <rFont val="Tahoma"/>
            <family val="2"/>
            <charset val="-18"/>
          </rPr>
          <t xml:space="preserve">
Pokud jste vykonávali činnost OSVČ v některých měsících jako vedlejší a Váš daňový základ nedosáhl rozhodné částky ( pro rok 2017 = 67.756,- ), nemusíte být v těchto měsících sociálně pojištěni. 
Pokud NECHCETE být v těchto měsících sociálně pojištěni, uveďte do této buňky 0.
Pokud CHCETE být v těchto měsících sociálně pojištěni, ponechte v této buňce stávající vzorec a zaškrtněte položku ANO v oddílu I. na další straně dole.</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M31" authorId="0">
      <text>
        <r>
          <rPr>
            <b/>
            <sz val="8"/>
            <rFont val="Tahoma"/>
            <family val="2"/>
            <charset val="-18"/>
          </rPr>
          <t>mgr. Martin Štěpán:</t>
        </r>
        <r>
          <rPr>
            <sz val="8"/>
            <rFont val="Tahoma"/>
            <family val="2"/>
            <charset val="-18"/>
          </rPr>
          <t xml:space="preserve">
Pokud vykonáváte činnost OSVČ jako vedlejší a Váš příjem nedosáhl rozhodné částky ( pro rok 2017 = 67.756,- Kč ), nemusíte být sociálně pojištěni. Pokud nechcete být sociálně pojištěni, uveďte do tohoto řádku 0.</t>
        </r>
      </text>
    </comment>
    <comment ref="M35" authorId="0">
      <text>
        <r>
          <rPr>
            <b/>
            <sz val="9"/>
            <rFont val="Tahoma"/>
            <family val="2"/>
            <charset val="-18"/>
          </rPr>
          <t>Martin Štěpán:</t>
        </r>
        <r>
          <rPr>
            <sz val="9"/>
            <rFont val="Tahoma"/>
            <family val="2"/>
            <charset val="-18"/>
          </rPr>
          <t xml:space="preserve">
Nechcete-li si platit v roce 2018 nemocenské pojištění, vepište částku 0,- Kč.</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AN24" authorId="0">
      <text>
        <r>
          <rPr>
            <b/>
            <sz val="8"/>
            <rFont val="Tahoma"/>
            <family val="2"/>
            <charset val="-18"/>
          </rPr>
          <t xml:space="preserve">Martin Štěpán: </t>
        </r>
        <r>
          <rPr>
            <sz val="8"/>
            <rFont val="Tahoma"/>
            <family val="2"/>
            <charset val="-18"/>
          </rPr>
          <t>Do "zaškrtávacích" buněk vpisujte velké písmeno X.</t>
        </r>
        <r>
          <rPr>
            <sz val="8"/>
            <rFont val="Tahoma"/>
            <family val="2"/>
            <charset val="-1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Martin Štěpán</author>
    <author>Windows User</author>
    <author>martin</author>
  </authors>
  <commentList>
    <comment ref="D2" authorId="0">
      <text>
        <r>
          <rPr>
            <b/>
            <sz val="8"/>
            <rFont val="Tahoma"/>
            <family val="2"/>
            <charset val="-18"/>
          </rPr>
          <t>Martin Štěpán:</t>
        </r>
        <r>
          <rPr>
            <sz val="8"/>
            <rFont val="Tahoma"/>
            <family val="2"/>
            <charset val="-18"/>
          </rPr>
          <t xml:space="preserve">
V zamčených verzích formulářů se tato položka vyplňuje na základě údaje, který byl zadán při platbě SMS.</t>
        </r>
      </text>
    </comment>
    <comment ref="B9" authorId="0">
      <text>
        <r>
          <rPr>
            <b/>
            <sz val="8"/>
            <rFont val="Tahoma"/>
            <family val="2"/>
            <charset val="-18"/>
          </rPr>
          <t>Martin Štěpán:</t>
        </r>
        <r>
          <rPr>
            <sz val="8"/>
            <rFont val="Tahoma"/>
            <family val="2"/>
            <charset val="-18"/>
          </rPr>
          <t xml:space="preserve">
rodno číslo je potřeba uvést bez lomítka.</t>
        </r>
      </text>
    </comment>
    <comment ref="A13" authorId="1">
      <text>
        <r>
          <rPr>
            <b/>
            <sz val="8"/>
            <rFont val="Tahoma"/>
            <family val="2"/>
            <charset val="-18"/>
          </rPr>
          <t xml:space="preserve">Martin Štěpán: </t>
        </r>
        <r>
          <rPr>
            <sz val="8"/>
            <rFont val="Tahoma"/>
            <family val="2"/>
            <charset val="-18"/>
          </rPr>
          <t xml:space="preserve">Data v buňce B13 je potřeba vyplnit pomocí rozevíracího seznamu ( = je potřeba kliknout na šipku, která se po vstupu na buňku B13 objeví vedle této buňky ). Pokud buňka obsahuje některá stará data ( např. zkopírovaná z jiného souboru ), která nepochází ze seznamu, je potřeba je vymazat, čímž se seznam nabídne k použití.Vyplněním několika znaků lze omezit výběr ze seznamu pouze na položky, které tyto znaky obsahují ( např. vypíšu-li řetězec "stř", nabízí se mi pouze slova obsahující tento řetězec, v daném případě pouze Středočeský kraj ). </t>
        </r>
      </text>
    </comment>
    <comment ref="A14" authorId="1">
      <text>
        <r>
          <rPr>
            <b/>
            <sz val="8"/>
            <rFont val="Tahoma"/>
            <family val="2"/>
            <charset val="-18"/>
          </rPr>
          <t xml:space="preserve">Martin Štěpán: </t>
        </r>
        <r>
          <rPr>
            <sz val="8"/>
            <rFont val="Tahoma"/>
            <family val="2"/>
            <charset val="-18"/>
          </rPr>
          <t xml:space="preserve">Data v buňce B14 je potřeba vyplnit pomocí rozevíracího seznamu ( = je potřeba kliknout na šipku, která se po vstupu na buňku B14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0" authorId="2">
      <text>
        <r>
          <rPr>
            <b/>
            <sz val="8"/>
            <rFont val="Tahoma"/>
            <family val="2"/>
            <charset val="-18"/>
          </rPr>
          <t xml:space="preserve">Martin Štěpán: </t>
        </r>
        <r>
          <rPr>
            <sz val="8"/>
            <rFont val="Tahoma"/>
            <family val="2"/>
            <charset val="-18"/>
          </rPr>
          <t xml:space="preserve">Data v buňce B20 je potřeba vyplnit pomocí rozevíracího seznamu ( = je potřeba kliknout na šipku, která se po vstupu na buňku B20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"pra", nabízí se mi pouze slova obsahující tento řetězec, v daném případě mj. všechny FÚ v Praze a Prachaticích ). </t>
        </r>
      </text>
    </comment>
    <comment ref="A29" authorId="1">
      <text>
        <r>
          <rPr>
            <b/>
            <sz val="8"/>
            <rFont val="Tahoma"/>
            <family val="2"/>
            <charset val="-18"/>
          </rPr>
          <t>Martin Štěpán:</t>
        </r>
        <r>
          <rPr>
            <sz val="8"/>
            <rFont val="Tahoma"/>
            <family val="2"/>
            <charset val="-18"/>
          </rPr>
          <t xml:space="preserve"> Data v buňce B29 je potřeba vyplnit pomocí rozevíracího seznamu ( = je potřeba kliknout na šipku, která se po vstupu na buňku B29 objeví vedle této buňky ). Pokud buňka obsahuje některá stará data ( např. zkopírovaná z jiného souboru ), která nepochází ze seznamu, je potřeba je vymazat, čímž se seznam nabídne k použití. Vyplněním několika znaků lze omezit výběr ze seznamu pouze na položky, které tyto znaky obsahují ( např. vypíšu-li řetězec "elektř", nabízí se mi pouze slova obsahující tento řetězec, v daném případě činnosti nějak související s elektřinou ).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Martin Stepan</author>
  </authors>
  <commentList>
    <comment ref="E12" authorId="0">
      <text>
        <r>
          <rPr>
            <b/>
            <sz val="8"/>
            <rFont val="Tahoma"/>
            <family val="2"/>
            <charset val="-18"/>
          </rPr>
          <t>ASPEKT HM :</t>
        </r>
        <r>
          <rPr>
            <sz val="8"/>
            <rFont val="Tahoma"/>
            <family val="2"/>
            <charset val="-18"/>
          </rPr>
          <t xml:space="preserve"> Tato položka se přenáší z Přílohy 1, strana 1, kterou je potřeba vyplnit před dalším vyplňováním této stránky.</t>
        </r>
      </text>
    </comment>
    <comment ref="E13" authorId="0">
      <text>
        <r>
          <rPr>
            <b/>
            <sz val="8"/>
            <rFont val="Tahoma"/>
            <family val="2"/>
            <charset val="-18"/>
          </rPr>
          <t>ASPEKT HM : Tato položka se přenáší z listu závěrka (ZAV), který je potřeba vyplnit před dalším vyplňováním této stránky.</t>
        </r>
        <r>
          <rPr>
            <sz val="8"/>
            <rFont val="Tahoma"/>
            <family val="2"/>
            <charset val="-18"/>
          </rPr>
          <t xml:space="preserve">
</t>
        </r>
      </text>
    </comment>
    <comment ref="E14"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text>
    </comment>
    <comment ref="E15" authorId="0">
      <text>
        <r>
          <rPr>
            <b/>
            <sz val="8"/>
            <rFont val="Tahoma"/>
            <family val="2"/>
            <charset val="-18"/>
          </rPr>
          <t xml:space="preserve">ASPEKT HM : </t>
        </r>
        <r>
          <rPr>
            <sz val="8"/>
            <rFont val="Tahoma"/>
            <family val="2"/>
            <charset val="-18"/>
          </rPr>
          <t>Tato položka se přenáší z přílohy 2, strana 1, kterou je potřeba vyplnit před dalším vyplňováním této stránky.</t>
        </r>
        <r>
          <rPr>
            <sz val="8"/>
            <rFont val="Tahoma"/>
            <family val="2"/>
            <charset val="-18"/>
          </rPr>
          <t xml:space="preserve">
</t>
        </r>
      </text>
    </comment>
    <comment ref="F39" authorId="0">
      <text>
        <r>
          <rPr>
            <b/>
            <sz val="8"/>
            <rFont val="Tahoma"/>
            <family val="2"/>
            <charset val="-18"/>
          </rPr>
          <t>ASPEKT HM :</t>
        </r>
        <r>
          <rPr>
            <sz val="8"/>
            <rFont val="Tahoma"/>
            <family val="2"/>
            <charset val="-18"/>
          </rPr>
          <t xml:space="preserve"> Pokud máte příjmy ze zahraničí, nebo příjmy plynoucí za více zdaňovacích období, je potřeba před dalším vyplňováním této stránky vyplnit přílohu č. 3.</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H2" authorId="0">
      <text>
        <r>
          <rPr>
            <b/>
            <sz val="9"/>
            <rFont val="Tahoma"/>
            <family val="2"/>
            <charset val="-18"/>
          </rPr>
          <t>Martin Štěpán:</t>
        </r>
        <r>
          <rPr>
            <sz val="9"/>
            <rFont val="Tahoma"/>
            <family val="2"/>
            <charset val="-18"/>
          </rPr>
          <t xml:space="preserve">
Rodné číslo je potřeba uvést bez lomítek</t>
        </r>
      </text>
    </comment>
    <comment ref="E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7" authorId="0">
      <text>
        <r>
          <rPr>
            <b/>
            <sz val="9"/>
            <rFont val="Tahoma"/>
            <family val="2"/>
            <charset val="-18"/>
          </rPr>
          <t xml:space="preserve">Martin Štěpán: </t>
        </r>
        <r>
          <rPr>
            <sz val="9"/>
            <rFont val="Tahoma"/>
            <family val="2"/>
            <charset val="-18"/>
          </rPr>
          <t>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E12" authorId="0">
      <text>
        <r>
          <rPr>
            <b/>
            <sz val="9"/>
            <rFont val="Tahoma"/>
            <family val="2"/>
            <charset val="-18"/>
          </rPr>
          <t>Martin Štěpán:</t>
        </r>
        <r>
          <rPr>
            <sz val="9"/>
            <rFont val="Tahoma"/>
            <family val="2"/>
            <charset val="-18"/>
          </rPr>
          <t xml:space="preserve">
V roce 2017 lze uplatnit max. 11.000 Kč za jedno dítě umístěné ve školce nebo obdobném zařízení.</t>
        </r>
      </text>
    </comment>
    <comment ref="D17" authorId="0">
      <text>
        <r>
          <rPr>
            <b/>
            <sz val="9"/>
            <rFont val="Tahoma"/>
            <family val="2"/>
            <charset val="-18"/>
          </rPr>
          <t>Martin Štěpán:</t>
        </r>
        <r>
          <rPr>
            <sz val="9"/>
            <rFont val="Tahoma"/>
            <family val="2"/>
            <charset val="-18"/>
          </rPr>
          <t xml:space="preserve">
Rodné číslo je potřeba uvést bez lomítek</t>
        </r>
      </text>
    </comment>
    <comment ref="D26" authorId="0">
      <text>
        <r>
          <rPr>
            <b/>
            <sz val="9"/>
            <rFont val="Tahoma"/>
            <family val="2"/>
            <charset val="-18"/>
          </rPr>
          <t>Martin Štěpán:</t>
        </r>
        <r>
          <rPr>
            <sz val="9"/>
            <rFont val="Tahoma"/>
            <family val="2"/>
            <charset val="-18"/>
          </rPr>
          <t xml:space="preserve">
Uplatnil-li jste paušální výdaje u dílčího základu daně podle § 7 ( OSVČ ) nebo podle § 9 ( pronájem ) z vyššího limitu a součet dílčích základů, u kterých byly výdaje tímto způsobem uplatněny, je vyšší než 50 % celkového základu daně (ř. 42), nemůžete snížit daň na tomto řádku a musíte zde uvést částku 0 Kč.</t>
        </r>
      </text>
    </comment>
    <comment ref="D30" authorId="0">
      <text>
        <r>
          <rPr>
            <b/>
            <sz val="8"/>
            <rFont val="Tahoma"/>
            <family val="2"/>
            <charset val="-18"/>
          </rPr>
          <t>Martin Štěpán:</t>
        </r>
        <r>
          <rPr>
            <sz val="8"/>
            <rFont val="Tahoma"/>
            <family val="2"/>
            <charset val="-18"/>
          </rPr>
          <t xml:space="preserve">
Podle § 35c odst. 3 má poplatník nárok na daňový bonus jen v případě, že jeho celkové příjmy podle § 6, 7, 8 a 9 zákona převyšují šestinásobek minimální mzdy, která je pro rok 2017 v hodnotě 11.000,- Kč.</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Martin Štěpán</author>
  </authors>
  <commentList>
    <comment ref="C27" authorId="0">
      <text>
        <r>
          <rPr>
            <b/>
            <sz val="8"/>
            <rFont val="Tahoma"/>
            <family val="2"/>
            <charset val="-18"/>
          </rPr>
          <t>Martin Štěpán:</t>
        </r>
        <r>
          <rPr>
            <sz val="8"/>
            <rFont val="Tahoma"/>
            <family val="2"/>
            <charset val="-18"/>
          </rPr>
          <t xml:space="preserve">
Kód podepisující osoby: bude vyplněn číselný kód podle níže uvedených typů podepisujících osob
1 – zákonný zástupce nebo opatrovník;
2 – ustanovený zástupce;
3 – společný zástupce, společný zmocněnec;
4a – obecný zmocněnec – fyzická osoba i právnická osoba;
4b – fyzická osoba daňový poradce nebo advokát;
4c – právnická osoba vykonávající daňové poradenství;
7a – právní nástupce právnické osoby
7b – zástupce právního nástupce právnické osoby
Pozn. kód 7b má přednost před obecnými druhy zastoupení s nižšími čísly kódů</t>
        </r>
      </text>
    </comment>
  </commentList>
</comments>
</file>

<file path=xl/sharedStrings.xml><?xml version="1.0" encoding="utf-8"?>
<sst xmlns="http://schemas.openxmlformats.org/spreadsheetml/2006/main" count="7793" uniqueCount="3973">
  <si>
    <t>Datum převzetí, razítko a podpis pracovníka VZP</t>
  </si>
  <si>
    <t>vyplnění položek není povinné, může však ulehčit práci</t>
  </si>
  <si>
    <t>06 Příjmení</t>
  </si>
  <si>
    <t>07 Rodné příjmení</t>
  </si>
  <si>
    <t>09 Titul</t>
  </si>
  <si>
    <t>10 Státní příslušnost</t>
  </si>
  <si>
    <t>11 Číslo pasu</t>
  </si>
  <si>
    <t>12 Obec</t>
  </si>
  <si>
    <t>14 Číslo popisné / orientační</t>
  </si>
  <si>
    <t>Řádek</t>
  </si>
  <si>
    <t>Příjmy podle § 10 zákona</t>
  </si>
  <si>
    <t>Výkaz o majetku a závazcích</t>
  </si>
  <si>
    <t>Majetek</t>
  </si>
  <si>
    <t>Na začátku období</t>
  </si>
  <si>
    <t>Na konci období</t>
  </si>
  <si>
    <t>Dlouhodobý hmotný majetek</t>
  </si>
  <si>
    <t>Aktivní opravná položka</t>
  </si>
  <si>
    <t>Majetek celkem</t>
  </si>
  <si>
    <t>Kontrolní číslo</t>
  </si>
  <si>
    <t>Závazky</t>
  </si>
  <si>
    <t>Pasívní opravná položka</t>
  </si>
  <si>
    <t>Závazky celkem</t>
  </si>
  <si>
    <t>Výkaz příjmů a výdajů</t>
  </si>
  <si>
    <t>Prodej zboží</t>
  </si>
  <si>
    <t>Prodej výrobků a služeb</t>
  </si>
  <si>
    <t>Ostatní</t>
  </si>
  <si>
    <t>Uzávěrková úprava příjmů</t>
  </si>
  <si>
    <t>Příjmy celkem</t>
  </si>
  <si>
    <t>Nákup materiálu</t>
  </si>
  <si>
    <t>Nákup zboží</t>
  </si>
  <si>
    <t>Mzdy</t>
  </si>
  <si>
    <t>Provozní režie</t>
  </si>
  <si>
    <t>Uzávěrková úprava výdajů</t>
  </si>
  <si>
    <t>Výdaje celkem</t>
  </si>
  <si>
    <t>Telefon</t>
  </si>
  <si>
    <t>Příjmení, jméno, titul manželky (manžela)</t>
  </si>
  <si>
    <t>Částka podle § 35ba odst. 1</t>
  </si>
  <si>
    <t>Základ daně (36a + kladná hodnota z ř. 41a)</t>
  </si>
  <si>
    <t>Sražená daň podle § 38f odst. 12 zákona</t>
  </si>
  <si>
    <t>Datum narození / Evidenční číslo osvědčení daňového poradce / IČ právnické osoby</t>
  </si>
  <si>
    <t>kód banky</t>
  </si>
  <si>
    <t>Kč.</t>
  </si>
  <si>
    <t>Rodné číslo:</t>
  </si>
  <si>
    <t>Úhrn částek podle § 5, § 23 zákona a ostatní úpravy podle zákona snižující - uveďte úhrn částek snižujících výsledek hospodaření nebo rozdíl mezi příjmy a výdaji. Podkladem jsou částky uvedené v odd. E na str. (2)</t>
  </si>
  <si>
    <t>Úhrn částek podle § 5, § 23 zákona a ostatní úpravy podle zákona zvyšující - uveďte úhrn částek zvyšujících výsledek hospodaření nebo rozdíl mezi příjmy a výdaji. Podkladem jsou částky uvedené v odd. E na str. (2)</t>
  </si>
  <si>
    <t>Datum zahájení činnosti</t>
  </si>
  <si>
    <t>Jména</t>
  </si>
  <si>
    <t>7. Obec</t>
  </si>
  <si>
    <t>9. Stát</t>
  </si>
  <si>
    <t>10. Telefon</t>
  </si>
  <si>
    <t>Číslo domu</t>
  </si>
  <si>
    <t>PSČ</t>
  </si>
  <si>
    <t>8. PSČ</t>
  </si>
  <si>
    <t>Datum vyplnění</t>
  </si>
  <si>
    <t xml:space="preserve">Koeficient zápočtu (ř. 321 - ř. 322) děleno ř. 42 výsledek vynásobte stem </t>
  </si>
  <si>
    <t>podle § 34 odst. 1 zákona č. 586/1992 Sb., o daních z příjmů, ve znění pozdějších předpisů</t>
  </si>
  <si>
    <t>Zdaňovací období, ve kterém daňová ztráta vznikla</t>
  </si>
  <si>
    <t>25 5405/P6 MFin 5405/P6 - vzor č. 1</t>
  </si>
  <si>
    <t>pro poplatníky uplatňující nárok a vyloučení dvojího zdanění podle § 38f odst. 10 zákona č. 586/1992 Sb.,</t>
  </si>
  <si>
    <t>Sloupec č. 1</t>
  </si>
  <si>
    <t>Sloupec č. 2</t>
  </si>
  <si>
    <t>Sloupec č. 3</t>
  </si>
  <si>
    <t>Sloupec č. 4</t>
  </si>
  <si>
    <t>Sloupec č. 5</t>
  </si>
  <si>
    <r>
      <t>5. příjmy</t>
    </r>
    <r>
      <rPr>
        <sz val="8"/>
        <rFont val="Arial"/>
        <family val="2"/>
        <charset val="-18"/>
      </rPr>
      <t xml:space="preserve"> - uveďte výši příjmů ze zdrojů v tomto státě, ustanovenou podle § 38f odst. 3 zákona, nebo v případě, že nemáte k dispozici doklady zahraničního správce daně, uveďte odhadovanou výši příjmů, příjmy ze závislé činosti uveďte v souladu s § 6 odst. 14 zákona</t>
    </r>
  </si>
  <si>
    <t>Odst. 7 zákona (odborové příspěvky)</t>
  </si>
  <si>
    <t>3. ODDÍL - Nezdanitelné části základu daně, odčitatelné položky a daň celkem</t>
  </si>
  <si>
    <t>29a Výše celosvětových příjmů</t>
  </si>
  <si>
    <t>2. Dílčí základy daně z příjmů fyzických osob podle § 6, § 7, § 8, § 9 a § 10 zákona, základ daně a ztráta</t>
  </si>
  <si>
    <t>Dílčí základ daně ze závislé činnosti podle § 6 zákona (ř. 34 )</t>
  </si>
  <si>
    <t>Další částky</t>
  </si>
  <si>
    <r>
      <t xml:space="preserve">Daňová ztráta - zaokrouhlená </t>
    </r>
    <r>
      <rPr>
        <b/>
        <sz val="8"/>
        <rFont val="Arial CE"/>
        <family val="2"/>
        <charset val="-18"/>
      </rPr>
      <t>na celé Kč</t>
    </r>
    <r>
      <rPr>
        <sz val="8"/>
        <rFont val="Arial CE"/>
        <family val="2"/>
        <charset val="-18"/>
      </rPr>
      <t xml:space="preserve"> nahoru </t>
    </r>
    <r>
      <rPr>
        <b/>
        <sz val="8"/>
        <rFont val="Arial CE"/>
        <family val="2"/>
        <charset val="-18"/>
      </rPr>
      <t>bez znaménka mínus</t>
    </r>
    <r>
      <rPr>
        <sz val="8"/>
        <rFont val="Arial CE"/>
        <family val="2"/>
        <charset val="-18"/>
      </rPr>
      <t xml:space="preserve"> </t>
    </r>
  </si>
  <si>
    <t>Celkem</t>
  </si>
  <si>
    <t>Daňové zvýhodnění na vyživované dítě</t>
  </si>
  <si>
    <t>Počet měsíců činnosti</t>
  </si>
  <si>
    <r>
      <t xml:space="preserve">Popis úpravy podle § 5, § 23 zákona </t>
    </r>
    <r>
      <rPr>
        <b/>
        <sz val="8"/>
        <rFont val="Arial"/>
        <family val="2"/>
        <charset val="-18"/>
      </rPr>
      <t>zvyšující</t>
    </r>
    <r>
      <rPr>
        <sz val="8"/>
        <rFont val="Arial"/>
        <family val="2"/>
      </rPr>
      <t xml:space="preserve"> výsledek hospodaření nebo rozdíl mezi příjmy a výdaji</t>
    </r>
  </si>
  <si>
    <r>
      <t xml:space="preserve">Popis úpravy podle § 5, § 23 zákona </t>
    </r>
    <r>
      <rPr>
        <b/>
        <sz val="8"/>
        <rFont val="Arial"/>
        <family val="2"/>
        <charset val="-18"/>
      </rPr>
      <t>snižující</t>
    </r>
    <r>
      <rPr>
        <sz val="8"/>
        <rFont val="Arial"/>
        <family val="2"/>
      </rPr>
      <t xml:space="preserve"> výsledek hospodaření nebo rozdíl mezi příjmy a výdaji</t>
    </r>
  </si>
  <si>
    <t>Typ přehledu</t>
  </si>
  <si>
    <t>Přehled o příjmech a výdajích ze samostatné výdělečné činnosti a úhrnu záloh na pojistné</t>
  </si>
  <si>
    <t>Číslo popisné / Číslo orientační</t>
  </si>
  <si>
    <t>Důvod výkonu vedlejší SVČ</t>
  </si>
  <si>
    <t>26. Daňový základ</t>
  </si>
  <si>
    <t xml:space="preserve">28. Počet měsíců, v nichž jsem vykonával/a SVČ alespoň po část měsíce </t>
  </si>
  <si>
    <t>29. Průměrný měsíční daňový základ</t>
  </si>
  <si>
    <t>30. Rozdělení daňového základu</t>
  </si>
  <si>
    <t xml:space="preserve">31. Vypočtený vyměřovací základ </t>
  </si>
  <si>
    <t xml:space="preserve">32. Dílčí vyměřovací základ </t>
  </si>
  <si>
    <t>21 Číslo pop./or.</t>
  </si>
  <si>
    <t>Úhrn povinného pojistného podle § 6 odst. 12 zákona</t>
  </si>
  <si>
    <t>Daň zaplacená v zahraničí podle § 6 odst. 13 zákona</t>
  </si>
  <si>
    <t>Úhrn příjmů plynoucí ze zahraničí zvýšený o povinné pojistné podle § 6 odst. 12 zákona</t>
  </si>
  <si>
    <t>Odst. 1 zákona (hodnota bezúplatného plnění - daru/darů)</t>
  </si>
  <si>
    <t>52a</t>
  </si>
  <si>
    <t>69a</t>
  </si>
  <si>
    <t>písm. g) zákona (sleva za umístění dítěte)</t>
  </si>
  <si>
    <t>písm. a) zákona (základní sleva na poplatníka)</t>
  </si>
  <si>
    <t>písm. b) zákona (sleva na manželku/manžela)</t>
  </si>
  <si>
    <t>písm. b) zákona (sleva na manželku/manžela, která/který je držitelem ZTP/P)</t>
  </si>
  <si>
    <t>písm. e) zákona (sleva na držitele průkazky ZTP/P)</t>
  </si>
  <si>
    <t>písm. f) zákona (sleva na studenta)</t>
  </si>
  <si>
    <t>87b</t>
  </si>
  <si>
    <t xml:space="preserve">Sražená daň podle § 36 odst. 8 zákona </t>
  </si>
  <si>
    <t>Doklad o poskytnutém bezúplatném plnění (daru)</t>
  </si>
  <si>
    <t>Potvrzení výše příjmů od zahraničního správce daně</t>
  </si>
  <si>
    <t>Vyrozumění o provedeném vkladu do katastru nemovitostí (§ 10 zákona)</t>
  </si>
  <si>
    <t>Počet listů příloh celkem</t>
  </si>
  <si>
    <r>
      <t>3)</t>
    </r>
    <r>
      <rPr>
        <sz val="7"/>
        <rFont val="Arial CE"/>
        <family val="2"/>
        <charset val="-18"/>
      </rPr>
      <t xml:space="preserve"> Údaje o podepisující osobě budou vyplněny pouze v případě, kdy je DAP zpracováno a podáno osobou odlišnou od daňového subjektu.</t>
    </r>
  </si>
  <si>
    <t>Dílčí základ daně z příjmů podle § 7 zákona po vynětí (ř. 113 – úhrn vyňatých příjmů ze zdrojů v zahraničí podle § 7 zákona)</t>
  </si>
  <si>
    <t>Z toho odpisy nemovitých věcí</t>
  </si>
  <si>
    <r>
      <t>F.Údaje o společnících společnosti</t>
    </r>
    <r>
      <rPr>
        <b/>
        <i/>
        <vertAlign val="superscript"/>
        <sz val="8"/>
        <rFont val="Arial CE"/>
        <family val="2"/>
        <charset val="-18"/>
      </rPr>
      <t>2)</t>
    </r>
  </si>
  <si>
    <t>Jste-li společníkem společnosti, které není právnickou osobou, vyplňte údaje o ostatních společnících společnosti</t>
  </si>
  <si>
    <t>Jste-li osoba, která rozděluje příjmy a výdaje podle § 13 zákona, nebo osoba v rodinném závodě, uveďte údaje o spolupracující osobě</t>
  </si>
  <si>
    <t>Jste-li spolupracující osoba podle § 13 zákona, nebo osoba v rodinném závodě, uveďte údaje o osobě, která na Vás rozdělila příjmy a výdaje.</t>
  </si>
  <si>
    <t>201a</t>
  </si>
  <si>
    <t>Číslo rozhodnutí katastrálního úřadu</t>
  </si>
  <si>
    <r>
      <t>Dosáhl jsem příjmů ze společného jmění manželů</t>
    </r>
    <r>
      <rPr>
        <vertAlign val="superscript"/>
        <sz val="8"/>
        <rFont val="Arial"/>
        <family val="2"/>
        <charset val="-18"/>
      </rPr>
      <t>1)</t>
    </r>
  </si>
  <si>
    <t>Rozdíl mezi příjmy a výdaji (ř. 201 - ř. 202) nebo výsledek hospodaření před zdaněním (zisk,ztráta)</t>
  </si>
  <si>
    <r>
      <t>1)</t>
    </r>
    <r>
      <rPr>
        <sz val="7"/>
        <rFont val="Arial"/>
        <family val="2"/>
      </rPr>
      <t xml:space="preserve"> Označte křížkem odpovídající variantu.</t>
    </r>
  </si>
  <si>
    <t>Solidární zvýšení daně podle §16a zákona</t>
  </si>
  <si>
    <r>
      <t>05 DAP zpracoval a předkládá daňový poradce na základě plné moci k zastupování, která byla uplatněna u správce daně před uplynutím neprodloužené lhůty</t>
    </r>
    <r>
      <rPr>
        <vertAlign val="superscript"/>
        <sz val="8"/>
        <rFont val="Arial CE"/>
        <family val="2"/>
        <charset val="-18"/>
      </rPr>
      <t>1)</t>
    </r>
  </si>
  <si>
    <t>Zaplacená daňová povinnost (záloha) podle § 38gb odst. 2 zákona</t>
  </si>
  <si>
    <t>Formulář bude zpracován elektronicky. Vyplňujte jej, prosím, předepsaným typem písma Courier New Bold 11. Zaškrtávací pole označte křížkem.</t>
  </si>
  <si>
    <t>Formulář zpracovala ASPEKT HM, daňová, účetní a auditorská kancelář, Bělohorská 39, Praha 6-Břevnov, www.aspekthm.cz</t>
  </si>
  <si>
    <t>Formulář zpracovala ASPEKT HM, daňová, účetní a auditorská kancelář pro server business.center.cz</t>
  </si>
  <si>
    <t xml:space="preserve">Částka podle § 15 </t>
  </si>
  <si>
    <t>PŘÍLOHA č. 3</t>
  </si>
  <si>
    <r>
      <t xml:space="preserve">Kód </t>
    </r>
    <r>
      <rPr>
        <vertAlign val="superscript"/>
        <sz val="8"/>
        <rFont val="Arial CE"/>
        <family val="2"/>
        <charset val="-18"/>
      </rPr>
      <t>2)</t>
    </r>
  </si>
  <si>
    <t>Jméno</t>
  </si>
  <si>
    <t>Příjmení</t>
  </si>
  <si>
    <t>Podíl na příjmech v %</t>
  </si>
  <si>
    <t>Podíl na výdajích v %</t>
  </si>
  <si>
    <t>Dlouhodobý nehmotný majetek</t>
  </si>
  <si>
    <t>Cenné papíry a peněžní vklady</t>
  </si>
  <si>
    <t>5.</t>
  </si>
  <si>
    <t xml:space="preserve">      P Ř I Z N Á N Í</t>
  </si>
  <si>
    <t xml:space="preserve">           k dani z příjmů fyzických osob</t>
  </si>
  <si>
    <t>Na zbývajících zálohách zaplaceno poplatníkem celkem</t>
  </si>
  <si>
    <t>Hmotný majetek</t>
  </si>
  <si>
    <t>metoda prostého zápočtu daně zaplacené v zahraničí</t>
  </si>
  <si>
    <t>20 Ulice/část obce</t>
  </si>
  <si>
    <t>Řádky 19 až 22 vyplňte pouze v případě, že adresa k poslednímu dni kalendářního roku, za který se DAP podává, je rozdílná od adresy v den podání DAP.</t>
  </si>
  <si>
    <t>29 Kód státu - vyplní jen daňový nerezident</t>
  </si>
  <si>
    <t>Zaplacená daň stanovená paušální částkou podle §7a zákona</t>
  </si>
  <si>
    <t>Rozdíl mezi příjmy a výdaji</t>
  </si>
  <si>
    <t>***ZNAMÉNKO MÍNUS ZNAČÍ PŘEPLATEK</t>
  </si>
  <si>
    <t xml:space="preserve">Daň zaplacená v zahraničí </t>
  </si>
  <si>
    <r>
      <t xml:space="preserve">Úhrn </t>
    </r>
    <r>
      <rPr>
        <b/>
        <sz val="8"/>
        <rFont val="Arial CE"/>
        <family val="2"/>
        <charset val="-18"/>
      </rPr>
      <t>kladných</t>
    </r>
    <r>
      <rPr>
        <sz val="8"/>
        <rFont val="Arial CE"/>
        <family val="2"/>
        <charset val="-18"/>
      </rPr>
      <t xml:space="preserve"> rozdílů jednotlivých druhů příjmů</t>
    </r>
  </si>
  <si>
    <t>Zajištěná daň plátcem podle § 38e zákona</t>
  </si>
  <si>
    <t>Titul</t>
  </si>
  <si>
    <t>Dílčí základ daně, daňová ztráta z pronájmu podle § 9 zákona                                          (ř. 203 + ř. 204 - ř. 205)</t>
  </si>
  <si>
    <t>Dílčí základ daně připadající na ostatní příjmy podle § 10 zákona  (ř. 207 - ř. 208)</t>
  </si>
  <si>
    <t>S E Z N A M</t>
  </si>
  <si>
    <t xml:space="preserve">Úhrn řádků (ř. 37 + ř. 38 + ř. 39 + ř. 40). </t>
  </si>
  <si>
    <t>Daň podle § 16 zákona</t>
  </si>
  <si>
    <t>1. Identifikace pojištěnce</t>
  </si>
  <si>
    <t>Řádek 14</t>
  </si>
  <si>
    <t>19. Zaměstnání</t>
  </si>
  <si>
    <t>Hlavní SVČ jsem vykonával/a v měsících</t>
  </si>
  <si>
    <t>Vedlejší SVČ jsem vykonával/a v měsících</t>
  </si>
  <si>
    <t>20. Nárok na výplatu invalidního důchodu nebo přiznání starobního důchodu</t>
  </si>
  <si>
    <t>Z Řádku 4 počet měsíců , kdy byla OSVČ pojištěna u VZP</t>
  </si>
  <si>
    <t>6. Číslo domu</t>
  </si>
  <si>
    <t>k Přiznání k dani z příjmů fyzických osob za zdaňovací období</t>
  </si>
  <si>
    <t>číslo</t>
  </si>
  <si>
    <t>stát zdroje příjmů</t>
  </si>
  <si>
    <t>zaplacená daň</t>
  </si>
  <si>
    <t>daň</t>
  </si>
  <si>
    <t>příjmy</t>
  </si>
  <si>
    <r>
      <t>2. stát zdroje příjmů</t>
    </r>
    <r>
      <rPr>
        <sz val="8"/>
        <rFont val="Arial"/>
        <family val="2"/>
        <charset val="-18"/>
      </rPr>
      <t xml:space="preserve"> - uveďte stát zdroje zahraničních příjmů</t>
    </r>
  </si>
  <si>
    <r>
      <t>3. zaplacená daň</t>
    </r>
    <r>
      <rPr>
        <sz val="8"/>
        <rFont val="Arial"/>
        <family val="2"/>
        <charset val="-18"/>
      </rPr>
      <t xml:space="preserve"> - uveďte částku daně zaplacené v tomto státě v místní měně</t>
    </r>
  </si>
  <si>
    <r>
      <t>4. daň</t>
    </r>
    <r>
      <rPr>
        <sz val="8"/>
        <rFont val="Arial"/>
        <family val="2"/>
        <charset val="-18"/>
      </rPr>
      <t xml:space="preserve"> - uveďte částku daně zaplacené v tomto státě přepočtenou na Kč, nebo v případě, že nemáte k dispozici doklady zahraničního správce daně, uveďte předpokládanou výši daně uplatněnou v daňovém přiznání</t>
    </r>
  </si>
  <si>
    <r>
      <t>1)</t>
    </r>
    <r>
      <rPr>
        <sz val="7"/>
        <rFont val="Arial CE"/>
        <family val="2"/>
        <charset val="-18"/>
      </rPr>
      <t xml:space="preserve"> Označte křížkem odpovídající variantu.</t>
    </r>
  </si>
  <si>
    <t>Název přílohy</t>
  </si>
  <si>
    <t>1.</t>
  </si>
  <si>
    <t>2.</t>
  </si>
  <si>
    <t>3.</t>
  </si>
  <si>
    <t>Další přílohy výše neuvedené</t>
  </si>
  <si>
    <t>1. ODDÍL - Údaje o poplatníkovi</t>
  </si>
  <si>
    <t>ne</t>
  </si>
  <si>
    <t>xxxx</t>
  </si>
  <si>
    <t>Zásoby</t>
  </si>
  <si>
    <t>Daň uznaná k zápočtu (ř. 323 maximálně však do výše ř. 325)</t>
  </si>
  <si>
    <t xml:space="preserve">Rozdíl řádků (ř. 323 - ř. 326) </t>
  </si>
  <si>
    <t>Příjmy</t>
  </si>
  <si>
    <t>Výdaje</t>
  </si>
  <si>
    <t>Rodné číslo</t>
  </si>
  <si>
    <t>poplatník</t>
  </si>
  <si>
    <t>DIČ</t>
  </si>
  <si>
    <t>%</t>
  </si>
  <si>
    <t>Druh příjmů podle § 10 odst. 1 zákona</t>
  </si>
  <si>
    <t>Uplatněné odpisy celkem</t>
  </si>
  <si>
    <t>01 Daňové identifikační číslo</t>
  </si>
  <si>
    <t>02 Rodné číslo</t>
  </si>
  <si>
    <t>řádné</t>
  </si>
  <si>
    <t>finanční úřad</t>
  </si>
  <si>
    <t>Rodné číslo OSVČ</t>
  </si>
  <si>
    <t>Finančnímu úřadu pro / Specializovanému finančnímu úřadu</t>
  </si>
  <si>
    <t>Územnímu pracovišti v, ve, pro,</t>
  </si>
  <si>
    <t>1. Příjmení</t>
  </si>
  <si>
    <t>2. Jméno</t>
  </si>
  <si>
    <t>3. Titul</t>
  </si>
  <si>
    <t>5. Ulice</t>
  </si>
  <si>
    <t>jen hlavní</t>
  </si>
  <si>
    <t>jen vedlejší</t>
  </si>
  <si>
    <t>hlavní i vedlejší</t>
  </si>
  <si>
    <t>-</t>
  </si>
  <si>
    <t>hlavní</t>
  </si>
  <si>
    <t>vedlejší</t>
  </si>
  <si>
    <t>strana 1</t>
  </si>
  <si>
    <t>Částky uveďte v celých Kč. Číselné hodnoty počítané v průběhu výpočtu daňové povinnosti jsou ukazateli ve smyslu ustanovení § 146 zákona č. 280/2009 Sb., daňový řád, ve znění pozdějších předpisů a jejich zaokrouhlení se provádí s přesností na dvě desetinná místa. Postupné zaokrouhlování ve dvou nebo více stupních je nepřípustné.</t>
  </si>
  <si>
    <t>Váš podíl jako společníka veřejné obchodní společnosti nebo komplementáře komanditní společnosti. Vykáže-li společnost ztrátu, označte svůj podíl znaménkém mínus (-)</t>
  </si>
  <si>
    <t>36a</t>
  </si>
  <si>
    <t>41a</t>
  </si>
  <si>
    <t>(neobsazeno)</t>
  </si>
  <si>
    <t>Uplatňovaná výše ztráty - vzniklé a vyměřené za předcházející zdaňovací období maximálně do výše ř. 41a</t>
  </si>
  <si>
    <t xml:space="preserve">přeplatku na dani z příjmů fyzických osob  </t>
  </si>
  <si>
    <t>CZ - NACE</t>
  </si>
  <si>
    <t>Příjmy ze zdrojů v zahraničí - metoda zápočtu daně zaplacené v zahraničí</t>
  </si>
  <si>
    <t>Duchodové</t>
  </si>
  <si>
    <t>Nemocenské</t>
  </si>
  <si>
    <t>CZ</t>
  </si>
  <si>
    <t>Část daňové ztráty odečtená již v předcházejících zdaňovacích obdobích</t>
  </si>
  <si>
    <t>Část daňové ztráty  uplatněná v daném zdaňovacím období</t>
  </si>
  <si>
    <t>Část daňové ztráty,  kterou lze odečíst v následujících zdaňovacích obdobích</t>
  </si>
  <si>
    <t>Sloupec</t>
  </si>
  <si>
    <t>Sloupec 5</t>
  </si>
  <si>
    <t>Sloupec 4</t>
  </si>
  <si>
    <t>Sloupec 3</t>
  </si>
  <si>
    <t>Sloupec 2</t>
  </si>
  <si>
    <t>Sloupec 1</t>
  </si>
  <si>
    <t>P Ř Í L O H A</t>
  </si>
  <si>
    <t>pro poplatníky uplatňující odčitatelnou položku</t>
  </si>
  <si>
    <t>List č.</t>
  </si>
  <si>
    <t xml:space="preserve">S A M O S T A T N Ý   L I S T </t>
  </si>
  <si>
    <t>Řádek 43</t>
  </si>
  <si>
    <t>k Příloze č. 3</t>
  </si>
  <si>
    <r>
      <t>nebo jeho část</t>
    </r>
    <r>
      <rPr>
        <b/>
        <vertAlign val="superscript"/>
        <sz val="10"/>
        <rFont val="Arial"/>
        <family val="2"/>
      </rPr>
      <t>2)</t>
    </r>
    <r>
      <rPr>
        <b/>
        <sz val="10"/>
        <rFont val="Arial"/>
        <family val="2"/>
      </rPr>
      <t>od</t>
    </r>
  </si>
  <si>
    <t>15 PSČ</t>
  </si>
  <si>
    <t>16 Telefon / mobilní telefon</t>
  </si>
  <si>
    <t>18 Stát</t>
  </si>
  <si>
    <t>19 Obec</t>
  </si>
  <si>
    <t>22 PSČ</t>
  </si>
  <si>
    <t>23 Obec</t>
  </si>
  <si>
    <t>25 Číslo popisné / orientační</t>
  </si>
  <si>
    <t>26 PSČ</t>
  </si>
  <si>
    <t>2) Údaje, pro které nedostačuje vyhrazené místo, uveďte na volný list a přiložte k tiskopisu</t>
  </si>
  <si>
    <t>poplatník uvede v celých Kč</t>
  </si>
  <si>
    <t>č.ř.</t>
  </si>
  <si>
    <t>PŘÍLOHA č. 2</t>
  </si>
  <si>
    <t>Úhrn příjmů od všech zaměstnavatelů</t>
  </si>
  <si>
    <t>Kč</t>
  </si>
  <si>
    <t>2. ODDÍL - Dílčí základ daně, základ daně, ztráta</t>
  </si>
  <si>
    <t>Dílčí základ daně z ostatních příjmů podle § 10 zákona (ř. 209 přílohy č. 2 DAP)</t>
  </si>
  <si>
    <t>Slevy celkem podle § 35 odst. 1 zákona</t>
  </si>
  <si>
    <t>Vlastník účtu</t>
  </si>
  <si>
    <r>
      <t>Vedu daňovou evidenci</t>
    </r>
    <r>
      <rPr>
        <vertAlign val="superscript"/>
        <sz val="8"/>
        <rFont val="Arial CE"/>
        <family val="2"/>
        <charset val="-18"/>
      </rPr>
      <t>1</t>
    </r>
    <r>
      <rPr>
        <sz val="8"/>
        <rFont val="Arial CE"/>
        <family val="2"/>
        <charset val="-18"/>
      </rPr>
      <t>)</t>
    </r>
  </si>
  <si>
    <t>Adresa místa pobytu v den podání DAP</t>
  </si>
  <si>
    <t>Sleva podle § 35a nebo § 35b zákona</t>
  </si>
  <si>
    <t>Poslední známá daň</t>
  </si>
  <si>
    <t>Zjištěná daň podle § 141 zákona č. 280/2009 Sb., daňového řádu (ř. 74)</t>
  </si>
  <si>
    <t>Zjištěná ztráta podle § 141 zákona č. 280/2009 Sb., daňového řádu (ř. 61)</t>
  </si>
  <si>
    <t>Důvody pro podání dodatečného DAP</t>
  </si>
  <si>
    <t>Daňový subjekt / osoba oprávněná k podpisu</t>
  </si>
  <si>
    <t xml:space="preserve">PSČ </t>
  </si>
  <si>
    <t>poukázkou</t>
  </si>
  <si>
    <t>převodem z účtu</t>
  </si>
  <si>
    <t>E-mail</t>
  </si>
  <si>
    <t>2. Prohlášení pojištěnce</t>
  </si>
  <si>
    <t>a) zaměstnání</t>
  </si>
  <si>
    <t>b) nemoc OSVČ</t>
  </si>
  <si>
    <t>c)</t>
  </si>
  <si>
    <t>d)</t>
  </si>
  <si>
    <t>e)</t>
  </si>
  <si>
    <t>f)</t>
  </si>
  <si>
    <t>Pro důvod podle písmene f) uveďte</t>
  </si>
  <si>
    <t>Rodné číslo 1. dítěte</t>
  </si>
  <si>
    <t>Rodné číslo 2. dítěte</t>
  </si>
  <si>
    <t>3. Přiznání k dani z příjmů</t>
  </si>
  <si>
    <t>Podávám daňové přiznání</t>
  </si>
  <si>
    <t>Mám daňového poradce</t>
  </si>
  <si>
    <r>
      <t>E. Úpravy podle § 5, § 23 zákona</t>
    </r>
    <r>
      <rPr>
        <b/>
        <i/>
        <vertAlign val="superscript"/>
        <sz val="8"/>
        <rFont val="Arial CE"/>
        <family val="2"/>
        <charset val="-18"/>
      </rPr>
      <t>2</t>
    </r>
    <r>
      <rPr>
        <b/>
        <i/>
        <sz val="8"/>
        <rFont val="Arial CE"/>
        <family val="2"/>
        <charset val="-18"/>
      </rPr>
      <t>)</t>
    </r>
  </si>
  <si>
    <t>H. Údaje o osobě, která rozděluje příjmy a výdaje</t>
  </si>
  <si>
    <t>Daňové identifikační číslo veřejné obchodní společnosti, kde jste společníkem, nebo komanditní společnosti, kde jste komplementářem, a výše Vašeho podílu v procentech</t>
  </si>
  <si>
    <r>
      <t xml:space="preserve">04 Kód rozlišení typu DAP </t>
    </r>
    <r>
      <rPr>
        <vertAlign val="superscript"/>
        <sz val="8"/>
        <rFont val="Arial CE"/>
        <family val="2"/>
        <charset val="-18"/>
      </rPr>
      <t>2)</t>
    </r>
  </si>
  <si>
    <t>8. den po datu odevzdání přehledů</t>
  </si>
  <si>
    <t xml:space="preserve">Přeplatek vraťte na účet vedený u </t>
  </si>
  <si>
    <t>č.</t>
  </si>
  <si>
    <t>Kód banky</t>
  </si>
  <si>
    <t>specifický symbol</t>
  </si>
  <si>
    <t>Počet měsíců</t>
  </si>
  <si>
    <t>27 Telefon / mobilní telefon</t>
  </si>
  <si>
    <t>Dílčí základ daně z kapitálového majetku podle § 8 zákona</t>
  </si>
  <si>
    <t>a)</t>
  </si>
  <si>
    <t>b)</t>
  </si>
  <si>
    <t>ano</t>
  </si>
  <si>
    <r>
      <t xml:space="preserve">03 DAP </t>
    </r>
    <r>
      <rPr>
        <vertAlign val="superscript"/>
        <sz val="8"/>
        <rFont val="Arial CE"/>
        <family val="2"/>
        <charset val="-18"/>
      </rPr>
      <t>1)</t>
    </r>
  </si>
  <si>
    <t>Důvody pro podání dodatečného                                                       DAP zjištěny dne</t>
  </si>
  <si>
    <t>1-12</t>
  </si>
  <si>
    <r>
      <t>05a Zákonná povinnost ověření účetní závěrky auditorem</t>
    </r>
    <r>
      <rPr>
        <vertAlign val="superscript"/>
        <sz val="8"/>
        <rFont val="Arial CE"/>
        <family val="2"/>
        <charset val="-18"/>
      </rPr>
      <t>1)</t>
    </r>
  </si>
  <si>
    <t>Účetní závěrka poplatníka, který vede účetnictví</t>
  </si>
  <si>
    <t>Závěrka daňové evidence</t>
  </si>
  <si>
    <r>
      <t>Vedu účetnictví</t>
    </r>
    <r>
      <rPr>
        <vertAlign val="superscript"/>
        <sz val="8"/>
        <rFont val="Arial CE"/>
        <family val="2"/>
        <charset val="-18"/>
      </rPr>
      <t>1</t>
    </r>
    <r>
      <rPr>
        <sz val="8"/>
        <rFont val="Arial CE"/>
        <family val="2"/>
        <charset val="-18"/>
      </rPr>
      <t>)</t>
    </r>
  </si>
  <si>
    <t>podle § 15 zákona č. 589/1992 Sb., ve znění pozdějších předpisů</t>
  </si>
  <si>
    <t>Roční úhrn čistého obratu</t>
  </si>
  <si>
    <t>Otisk podacího razítka finančního úřadu</t>
  </si>
  <si>
    <t>Formulář zpracovala ASPEKT HM, daňová, účetní a auditorská kancelář, www.danovapriznani.cz, business.center.cz</t>
  </si>
  <si>
    <t>DIČ (RČ)</t>
  </si>
  <si>
    <t>Datum zjištění nové výše vyměřovacího základu ze SVČ</t>
  </si>
  <si>
    <t>Peněžní prostředky na bankovních účtech *)</t>
  </si>
  <si>
    <t>Ostatní majetek *)</t>
  </si>
  <si>
    <t>*)označené údaje jsou nepovinné</t>
  </si>
  <si>
    <t>Kód státu</t>
  </si>
  <si>
    <t>Příjmy ze zdrojů v zahraničí, u nichž se použije metoda zápočtu</t>
  </si>
  <si>
    <t xml:space="preserve">Výdaje </t>
  </si>
  <si>
    <t>opravné</t>
  </si>
  <si>
    <t>dodatečné</t>
  </si>
  <si>
    <t>X</t>
  </si>
  <si>
    <t>do</t>
  </si>
  <si>
    <t>za zdaňovací období (kalendářní rok)</t>
  </si>
  <si>
    <t>Vyplní v celých Kč</t>
  </si>
  <si>
    <t>Výdaje podle § 9 zákona</t>
  </si>
  <si>
    <t>Příjmy plynoucí ze zdrojů na území České republiky a příjmy plynoucí ze zdrojů v zahraničí</t>
  </si>
  <si>
    <t>Příjmy podle § 7 zákona</t>
  </si>
  <si>
    <t>Výdaje související s příjmy podle § 7 zákona</t>
  </si>
  <si>
    <t>2. Doplňující údaje (§7 zákona)</t>
  </si>
  <si>
    <t>Předčíslí účtu</t>
  </si>
  <si>
    <t>Číslo účtu</t>
  </si>
  <si>
    <t>/</t>
  </si>
  <si>
    <t>Specifický symbol</t>
  </si>
  <si>
    <t>Ulice</t>
  </si>
  <si>
    <t>Obec</t>
  </si>
  <si>
    <t>Stát</t>
  </si>
  <si>
    <t>Odst. 3 a 4 zákona (odečet úroků)</t>
  </si>
  <si>
    <t>Datum narození</t>
  </si>
  <si>
    <t>Počet příloh</t>
  </si>
  <si>
    <t>Podpis (a razítko) OSVČ</t>
  </si>
  <si>
    <t>Podpis a razítko OSSZ</t>
  </si>
  <si>
    <t>strana 2</t>
  </si>
  <si>
    <r>
      <t>B. Druh činnosti</t>
    </r>
    <r>
      <rPr>
        <b/>
        <vertAlign val="superscript"/>
        <sz val="8"/>
        <rFont val="Arial CE"/>
        <family val="2"/>
        <charset val="-18"/>
      </rPr>
      <t xml:space="preserve"> 2)</t>
    </r>
  </si>
  <si>
    <t>Sazba výdajů % z příjmů</t>
  </si>
  <si>
    <t>Název dalších činností</t>
  </si>
  <si>
    <t>Rezervy na začátku zdaňovacího období</t>
  </si>
  <si>
    <t>Rezervy na konci zdaňovacího období</t>
  </si>
  <si>
    <t>Peněžní prostředky v hotovosti *)</t>
  </si>
  <si>
    <r>
      <t>G. Údaje o spolupracující osobě</t>
    </r>
    <r>
      <rPr>
        <b/>
        <i/>
        <vertAlign val="superscript"/>
        <sz val="8"/>
        <rFont val="Arial CE"/>
        <family val="2"/>
        <charset val="-18"/>
      </rPr>
      <t>2)</t>
    </r>
  </si>
  <si>
    <t>Příjmy plynoucí ze zdrojů na území České republiky a příjmy  ze zdrojů v zahraničí</t>
  </si>
  <si>
    <t>08 Jméno (-a)</t>
  </si>
  <si>
    <t>87a</t>
  </si>
  <si>
    <t xml:space="preserve">Sražená daň podle § 36 odst. 7 zákona </t>
  </si>
  <si>
    <t>Sražená daň podle § 36 odst. 6 zákona (státní dluhopisy)</t>
  </si>
  <si>
    <t>Seznam pro poplatníky uplatňující nárok na vyloučení dvojího zdanění podle § 38f odst. 10 zákona</t>
  </si>
  <si>
    <t>Jméno(-a) a příjmení / Název právnické osoby</t>
  </si>
  <si>
    <t>Jméno(-a) a příjmení / Vztah k právnické osobě</t>
  </si>
  <si>
    <t>Pojištění</t>
  </si>
  <si>
    <t>Vlastnoruční podpis daňového subjektu / osoby oprávněné k podpisu</t>
  </si>
  <si>
    <t>25 5405b MFin 5405b - vzor č. 2</t>
  </si>
  <si>
    <t xml:space="preserve">Měsíc </t>
  </si>
  <si>
    <t>Daň z</t>
  </si>
  <si>
    <t xml:space="preserve">Zdravotní </t>
  </si>
  <si>
    <t>příjmu</t>
  </si>
  <si>
    <t>pojištění</t>
  </si>
  <si>
    <t>Datum přerušení činnosti</t>
  </si>
  <si>
    <t>Datum ukončení činnosti</t>
  </si>
  <si>
    <t>Datum obnovení činnosti</t>
  </si>
  <si>
    <t>PŘÍLOHA č. 1</t>
  </si>
  <si>
    <t>( 1 )</t>
  </si>
  <si>
    <t>( 2 )</t>
  </si>
  <si>
    <t>4. ODDÍL - Daň celkem, ztráta</t>
  </si>
  <si>
    <t>Variabilní symbol</t>
  </si>
  <si>
    <r>
      <t>Uplatňuji výdaje procentem z příjmů</t>
    </r>
    <r>
      <rPr>
        <vertAlign val="superscript"/>
        <sz val="8"/>
        <rFont val="Arial CE"/>
        <family val="2"/>
        <charset val="-18"/>
      </rPr>
      <t>1</t>
    </r>
    <r>
      <rPr>
        <sz val="8"/>
        <rFont val="Arial CE"/>
        <family val="2"/>
        <charset val="-18"/>
      </rPr>
      <t>)</t>
    </r>
  </si>
  <si>
    <t>A. Údaje o obratu a odpisech</t>
  </si>
  <si>
    <t>Na konci zdaňovacího období</t>
  </si>
  <si>
    <t>Na začátku zdaňovacího období</t>
  </si>
  <si>
    <t>Peněžní prostředky v hotovosti</t>
  </si>
  <si>
    <t>ČESKÁ SPRÁVA SOCIÁLNÍHO ZABEZPEČENÍ</t>
  </si>
  <si>
    <t>A. Základní identifikace</t>
  </si>
  <si>
    <t>B. Údaje o daňovém přiznání</t>
  </si>
  <si>
    <t xml:space="preserve">33. Minimální vyměřovací základ </t>
  </si>
  <si>
    <t xml:space="preserve">34. Určený vyměřovací základ </t>
  </si>
  <si>
    <t xml:space="preserve">35. Vyměřovací základ ze zaměstnání </t>
  </si>
  <si>
    <t xml:space="preserve">36. Součet řádků 34 a 35 </t>
  </si>
  <si>
    <t>Datum přijetí</t>
  </si>
  <si>
    <t>Peněžní prostředky na bankovních účtech</t>
  </si>
  <si>
    <t>Rezervy</t>
  </si>
  <si>
    <t>9.</t>
  </si>
  <si>
    <t>8.</t>
  </si>
  <si>
    <t>7.</t>
  </si>
  <si>
    <t>6.</t>
  </si>
  <si>
    <t>4.</t>
  </si>
  <si>
    <t>Podíl na příjmech a výdajích v %</t>
  </si>
  <si>
    <t>Než začnete vyplňovat tiskopis, přečtěte si, prosím, pokyny.</t>
  </si>
  <si>
    <t>Řádky 23 až 28 vyplňte pouze v případě, že nemáte bydliště (trvalý pobyt) na území České republiky.</t>
  </si>
  <si>
    <t xml:space="preserve">5. ODDÍL - Uplatnění slev na dani a daňového zvýhodnění </t>
  </si>
  <si>
    <t>65a)</t>
  </si>
  <si>
    <t>65b)</t>
  </si>
  <si>
    <t>6. ODDÍL - Dodatečné DAP</t>
  </si>
  <si>
    <t>7. ODDÍL - Placení daně</t>
  </si>
  <si>
    <r>
      <t>I. Údaje o veřejné obchodní společnosti nebo komanditní společnosti</t>
    </r>
    <r>
      <rPr>
        <b/>
        <i/>
        <vertAlign val="superscript"/>
        <sz val="8"/>
        <rFont val="Arial CE"/>
        <family val="2"/>
        <charset val="-18"/>
      </rPr>
      <t>2)</t>
    </r>
  </si>
  <si>
    <t xml:space="preserve">Přeplatek (část přeplatku) ve výši </t>
  </si>
  <si>
    <t>Důvod předložení opravného přehledu</t>
  </si>
  <si>
    <t>řádný</t>
  </si>
  <si>
    <t>opravný</t>
  </si>
  <si>
    <t>Pojistné zaměstnanců</t>
  </si>
  <si>
    <t>Základní list daňového poplatníka</t>
  </si>
  <si>
    <t>FYZICKÁ OSOBA</t>
  </si>
  <si>
    <t>PRÁVNICKÁ OSOBA</t>
  </si>
  <si>
    <t>Účet</t>
  </si>
  <si>
    <t xml:space="preserve">Daňový poradce </t>
  </si>
  <si>
    <t xml:space="preserve">Zástupce </t>
  </si>
  <si>
    <t>Přiznání sestavil</t>
  </si>
  <si>
    <t>Bydliště /Sídlo právnické osoby</t>
  </si>
  <si>
    <t>políčka této barvy vyplňují jen fyzické osoby</t>
  </si>
  <si>
    <t>políčka této barvy vyplňují jen právnické osoby</t>
  </si>
  <si>
    <t>políčka této barvy vyplňují všichni</t>
  </si>
  <si>
    <t>ohraničenou oblast lze kopírovat do formulářů jiných daňových přiznání</t>
  </si>
  <si>
    <t>4. Pojistné OSVČ</t>
  </si>
  <si>
    <t>Řádek 1</t>
  </si>
  <si>
    <t>Řádek 2</t>
  </si>
  <si>
    <t>Řádek 4</t>
  </si>
  <si>
    <t>Řádek 5</t>
  </si>
  <si>
    <t>Počet měsíců, ve kterých pro OSVČ platil minimální vyměřovací základ</t>
  </si>
  <si>
    <t>Řádek 6</t>
  </si>
  <si>
    <t>Řádek 9</t>
  </si>
  <si>
    <t>Řádek 12</t>
  </si>
  <si>
    <t>Řádek 1 - Řádek 2</t>
  </si>
  <si>
    <t>Řádek 16</t>
  </si>
  <si>
    <t>Řádek 41</t>
  </si>
  <si>
    <t xml:space="preserve">Přeplatek </t>
  </si>
  <si>
    <t>NEMÁM přeplatek pojistného</t>
  </si>
  <si>
    <t>Řádek 51</t>
  </si>
  <si>
    <t>c) 0 Kč</t>
  </si>
  <si>
    <t>Podpis pojištěnce</t>
  </si>
  <si>
    <t>Prohlašuji, že všechny údaje v tomto PŘEHLEDU jsou pravdivé a že ohlásím VZP všechny změny údajů, a to do 8 dnů ode dne, kdy jsem se o změněné skutečnosti dozvěděl.</t>
  </si>
  <si>
    <t>Vyplněno dne</t>
  </si>
  <si>
    <t>VZP - kód 111</t>
  </si>
  <si>
    <t>Přehled</t>
  </si>
  <si>
    <t>OSVČ</t>
  </si>
  <si>
    <t xml:space="preserve">za rok </t>
  </si>
  <si>
    <t>Datum</t>
  </si>
  <si>
    <t>Podpis a razítko zaměstnavatele</t>
  </si>
  <si>
    <t>Podpis a razítko školy</t>
  </si>
  <si>
    <t>Tento formulář obsahuje daňové přiznání k dani z příjmů fyzických osob, přehled pro sociální správu a přehled pro Všeobecnou zdravotní pojišťovnu, vše pro rok 2014 a v neomezené verzi.</t>
  </si>
  <si>
    <t>Věta D</t>
  </si>
  <si>
    <t>audit</t>
  </si>
  <si>
    <t>c_ufo_cil</t>
  </si>
  <si>
    <t>d_duvpod</t>
  </si>
  <si>
    <t>d_uv</t>
  </si>
  <si>
    <t>d_zjist</t>
  </si>
  <si>
    <t>da_celod13</t>
  </si>
  <si>
    <t>da_slevy</t>
  </si>
  <si>
    <t>da_slevy35ba</t>
  </si>
  <si>
    <t>da_slevy35c</t>
  </si>
  <si>
    <t>da_slezap</t>
  </si>
  <si>
    <t>dap_typ</t>
  </si>
  <si>
    <t>dokument</t>
  </si>
  <si>
    <t>duvpoddapdpf</t>
  </si>
  <si>
    <t>k_uladis</t>
  </si>
  <si>
    <t>kc_csprij</t>
  </si>
  <si>
    <t>kc_danbonus</t>
  </si>
  <si>
    <t>kc_dazvyhod</t>
  </si>
  <si>
    <t>kc_dite_ms</t>
  </si>
  <si>
    <t>kc_dztrata</t>
  </si>
  <si>
    <t>kc_konkurs</t>
  </si>
  <si>
    <t>kc_manztpp</t>
  </si>
  <si>
    <t>kc_op15_1a</t>
  </si>
  <si>
    <t>kc_op15_1c</t>
  </si>
  <si>
    <t>kc_op15_1d</t>
  </si>
  <si>
    <t>kc_op15_1e1</t>
  </si>
  <si>
    <t>kc_op15_1e2</t>
  </si>
  <si>
    <t>kc_pausal</t>
  </si>
  <si>
    <t>kc_promdan</t>
  </si>
  <si>
    <t>kc_pzdp</t>
  </si>
  <si>
    <t>kc_pzzt</t>
  </si>
  <si>
    <t>kc_rozdbonus</t>
  </si>
  <si>
    <t>kc_rozdil_dp</t>
  </si>
  <si>
    <t>kc_rozdil_zt</t>
  </si>
  <si>
    <t>kc_slevy35c</t>
  </si>
  <si>
    <t>kc_solidzvys</t>
  </si>
  <si>
    <t>kc_sraz367</t>
  </si>
  <si>
    <t>kc_sraz3810</t>
  </si>
  <si>
    <t>kc_sraz385</t>
  </si>
  <si>
    <t>kc_sraz_6_4</t>
  </si>
  <si>
    <t>kc_sraz_rezehp</t>
  </si>
  <si>
    <t>kc_stud</t>
  </si>
  <si>
    <t>kc_vyplbonus</t>
  </si>
  <si>
    <t>kc_zalpred</t>
  </si>
  <si>
    <t>kc_zalzavc</t>
  </si>
  <si>
    <t>kc_zbyvpred</t>
  </si>
  <si>
    <t>kc_zjidp</t>
  </si>
  <si>
    <t>kc_zjizt</t>
  </si>
  <si>
    <t>kod_popl</t>
  </si>
  <si>
    <t>m_cinvduch</t>
  </si>
  <si>
    <t>m_invduch</t>
  </si>
  <si>
    <t>m_manz</t>
  </si>
  <si>
    <t>m_stud</t>
  </si>
  <si>
    <t>m_vyzmanzl</t>
  </si>
  <si>
    <t>m_ztpp</t>
  </si>
  <si>
    <t>manz_jmeno</t>
  </si>
  <si>
    <t>manz_prijmeni</t>
  </si>
  <si>
    <t>manz_r_cislo</t>
  </si>
  <si>
    <t>manz_titul</t>
  </si>
  <si>
    <t>pln_moc</t>
  </si>
  <si>
    <t>prop_zahr</t>
  </si>
  <si>
    <t>rok</t>
  </si>
  <si>
    <t>sleva_rp</t>
  </si>
  <si>
    <t>starduch</t>
  </si>
  <si>
    <t>uhrn_slevy35ba</t>
  </si>
  <si>
    <t>uv_podpis</t>
  </si>
  <si>
    <t>uv_rozsah</t>
  </si>
  <si>
    <t>uv_vyhl</t>
  </si>
  <si>
    <t>zdobd_do</t>
  </si>
  <si>
    <t>zdobd_od</t>
  </si>
  <si>
    <t>Věta P</t>
  </si>
  <si>
    <t>c_faxu</t>
  </si>
  <si>
    <t>c_obce</t>
  </si>
  <si>
    <t>c_orient</t>
  </si>
  <si>
    <t>c_pasu</t>
  </si>
  <si>
    <t>c_pop</t>
  </si>
  <si>
    <t>c_pracufo</t>
  </si>
  <si>
    <t>c_telef</t>
  </si>
  <si>
    <t>dic</t>
  </si>
  <si>
    <t>email</t>
  </si>
  <si>
    <t>jmeno</t>
  </si>
  <si>
    <t>k_stat</t>
  </si>
  <si>
    <t>krok_c_obce</t>
  </si>
  <si>
    <t>krok_c_orient</t>
  </si>
  <si>
    <t>krok_c_pop</t>
  </si>
  <si>
    <t>krok_naz_obce</t>
  </si>
  <si>
    <t>krok_psc</t>
  </si>
  <si>
    <t>krok_ulice</t>
  </si>
  <si>
    <t>naz_obce</t>
  </si>
  <si>
    <t>opr_jmeno</t>
  </si>
  <si>
    <t>opr_postaveni</t>
  </si>
  <si>
    <t>opr_prijmeni</t>
  </si>
  <si>
    <t>prijmeni</t>
  </si>
  <si>
    <t>psc</t>
  </si>
  <si>
    <t>rod_c</t>
  </si>
  <si>
    <t>rodnepr</t>
  </si>
  <si>
    <t>st_prislus</t>
  </si>
  <si>
    <t>stat</t>
  </si>
  <si>
    <t>titul</t>
  </si>
  <si>
    <t>ulice</t>
  </si>
  <si>
    <t>z_c_faxu</t>
  </si>
  <si>
    <t>z_c_obce</t>
  </si>
  <si>
    <t>z_c_orient</t>
  </si>
  <si>
    <t>z_c_pop</t>
  </si>
  <si>
    <t>z_c_telef</t>
  </si>
  <si>
    <t>z_email</t>
  </si>
  <si>
    <t>z_naz_obce</t>
  </si>
  <si>
    <t>z_psc</t>
  </si>
  <si>
    <t>z_ulice</t>
  </si>
  <si>
    <t>zast_dat_nar</t>
  </si>
  <si>
    <t>zast_ev_cislo</t>
  </si>
  <si>
    <t>zast_ic</t>
  </si>
  <si>
    <t>zast_jmeno</t>
  </si>
  <si>
    <t>zast_kod</t>
  </si>
  <si>
    <t>zast_nazev</t>
  </si>
  <si>
    <t>zast_prijmeni</t>
  </si>
  <si>
    <t>zast_typ</t>
  </si>
  <si>
    <t>Věta O</t>
  </si>
  <si>
    <t>celk_sl4</t>
  </si>
  <si>
    <t>celk_sl5</t>
  </si>
  <si>
    <t>kc_dan_zah</t>
  </si>
  <si>
    <t>kc_poj6</t>
  </si>
  <si>
    <t>kc_pomerzd</t>
  </si>
  <si>
    <t>kc_prij6</t>
  </si>
  <si>
    <t>kc_prij6vyn</t>
  </si>
  <si>
    <t>kc_prij6zahr</t>
  </si>
  <si>
    <t>kc_uhrn</t>
  </si>
  <si>
    <t>kc_vynprij</t>
  </si>
  <si>
    <t>kc_vynprij_6</t>
  </si>
  <si>
    <t>kc_zakldan</t>
  </si>
  <si>
    <t>kc_zakldan23</t>
  </si>
  <si>
    <t>kc_zakldan8</t>
  </si>
  <si>
    <t>kc_zd10</t>
  </si>
  <si>
    <t>kc_zd6</t>
  </si>
  <si>
    <t>kc_zd6p</t>
  </si>
  <si>
    <t>kc_zd7</t>
  </si>
  <si>
    <t>kc_zd9</t>
  </si>
  <si>
    <t>kc_ztrata2</t>
  </si>
  <si>
    <t>Věta S</t>
  </si>
  <si>
    <t>da_dan16</t>
  </si>
  <si>
    <t>kc_dalsivzd</t>
  </si>
  <si>
    <t>kc_odcelk</t>
  </si>
  <si>
    <t>kc_op15_12</t>
  </si>
  <si>
    <t>kc_op15_13</t>
  </si>
  <si>
    <t>kc_op15_14</t>
  </si>
  <si>
    <t>kc_op15_8</t>
  </si>
  <si>
    <t>kc_op28_5</t>
  </si>
  <si>
    <t>kc_op34_4</t>
  </si>
  <si>
    <t>kc_op_dal</t>
  </si>
  <si>
    <t>kc_podvzdel</t>
  </si>
  <si>
    <t>kc_zdsniz</t>
  </si>
  <si>
    <t>kc_zdzaokr</t>
  </si>
  <si>
    <t>m_dalsi</t>
  </si>
  <si>
    <t>m_uroky</t>
  </si>
  <si>
    <t>text_op_dal</t>
  </si>
  <si>
    <t>vyzdite_jmeno</t>
  </si>
  <si>
    <t>Věta A</t>
  </si>
  <si>
    <t>vyzdite_pocmes</t>
  </si>
  <si>
    <t>vyzdite_prijmeni</t>
  </si>
  <si>
    <t>vyzdite_r_cislo</t>
  </si>
  <si>
    <t>vyzdite_ztpp</t>
  </si>
  <si>
    <t>Věta B</t>
  </si>
  <si>
    <t>dal_prilohy</t>
  </si>
  <si>
    <t>doklad_dar</t>
  </si>
  <si>
    <t>duvody_dodap</t>
  </si>
  <si>
    <t>pojpri</t>
  </si>
  <si>
    <t>potv_36</t>
  </si>
  <si>
    <t>potv_dalsivzd</t>
  </si>
  <si>
    <t>potv_ms</t>
  </si>
  <si>
    <t>potv_penpri</t>
  </si>
  <si>
    <t>potv_povod</t>
  </si>
  <si>
    <t>potv_uver</t>
  </si>
  <si>
    <t>potv_zahrsd</t>
  </si>
  <si>
    <t>potv_zam</t>
  </si>
  <si>
    <t>potv_zivpoj</t>
  </si>
  <si>
    <t>pril3_samlist</t>
  </si>
  <si>
    <t>pril_poduv</t>
  </si>
  <si>
    <t>pril_ztraty</t>
  </si>
  <si>
    <t>priloh_celk</t>
  </si>
  <si>
    <t>priloha1</t>
  </si>
  <si>
    <t>priloha2</t>
  </si>
  <si>
    <t>seznam</t>
  </si>
  <si>
    <t>vklad_ku</t>
  </si>
  <si>
    <t>Věta T</t>
  </si>
  <si>
    <t>c_nace</t>
  </si>
  <si>
    <t>celk_pr_prij7</t>
  </si>
  <si>
    <t>celk_pr_vyd7</t>
  </si>
  <si>
    <t>d_obnocin</t>
  </si>
  <si>
    <t>d_precin</t>
  </si>
  <si>
    <t>d_ukoncin</t>
  </si>
  <si>
    <t>d_zahcin</t>
  </si>
  <si>
    <t>kc_cisobr</t>
  </si>
  <si>
    <t>kc_hosp_rozd</t>
  </si>
  <si>
    <t>kc_odpcelk</t>
  </si>
  <si>
    <t>kc_odpnem</t>
  </si>
  <si>
    <t>kc_pod_komp</t>
  </si>
  <si>
    <t>kc_pod_so</t>
  </si>
  <si>
    <t>kc_pod_vaso</t>
  </si>
  <si>
    <t>kc_prij7</t>
  </si>
  <si>
    <t>kc_uhsniz</t>
  </si>
  <si>
    <t>kc_uhzvys</t>
  </si>
  <si>
    <t>kc_vyd7</t>
  </si>
  <si>
    <t>kc_vyd_so</t>
  </si>
  <si>
    <t>kc_vyd_vaso</t>
  </si>
  <si>
    <t>kc_zd7p</t>
  </si>
  <si>
    <t>kc_zd7vyn</t>
  </si>
  <si>
    <t>m_podnik</t>
  </si>
  <si>
    <t>pr_prij7</t>
  </si>
  <si>
    <t>pr_sazba</t>
  </si>
  <si>
    <t>pr_vyd7</t>
  </si>
  <si>
    <t>uc_soust</t>
  </si>
  <si>
    <t>vyd7proc</t>
  </si>
  <si>
    <t>sazba_dal</t>
  </si>
  <si>
    <t>Věta C</t>
  </si>
  <si>
    <t>c_nace_dal</t>
  </si>
  <si>
    <t>prijmy7</t>
  </si>
  <si>
    <t>vydaje7</t>
  </si>
  <si>
    <t>Věta U</t>
  </si>
  <si>
    <t>kc_dpfmz02</t>
  </si>
  <si>
    <t>kc_dpfmz03</t>
  </si>
  <si>
    <t>kc_dpfmz04</t>
  </si>
  <si>
    <t>kc_dpfmz05a</t>
  </si>
  <si>
    <t>kc_dpfmz06</t>
  </si>
  <si>
    <t>kc_dpfmz08</t>
  </si>
  <si>
    <t>kc_dpfmz10</t>
  </si>
  <si>
    <t>kc_dpfmz11</t>
  </si>
  <si>
    <t>kc_dpfmz18</t>
  </si>
  <si>
    <t>kc_z_dpfmz02</t>
  </si>
  <si>
    <t>kc_z_dpfmz03</t>
  </si>
  <si>
    <t>kc_z_dpfmz04</t>
  </si>
  <si>
    <t>kc_z_dpfmz05a</t>
  </si>
  <si>
    <t>kc_z_dpfmz06</t>
  </si>
  <si>
    <t>kc_z_dpfmz08</t>
  </si>
  <si>
    <t>kc_z_dpfmz10</t>
  </si>
  <si>
    <t>kc_z_dpfmz11</t>
  </si>
  <si>
    <t>uprzvys_235</t>
  </si>
  <si>
    <t>Věta c</t>
  </si>
  <si>
    <t>kc_uprzvys_235</t>
  </si>
  <si>
    <t>uprsniz_235</t>
  </si>
  <si>
    <t>Věta E</t>
  </si>
  <si>
    <t>kc_uprsniz_235</t>
  </si>
  <si>
    <t>ucsdruz_dic</t>
  </si>
  <si>
    <t>Věta F</t>
  </si>
  <si>
    <t>ucsdruz_jmeno</t>
  </si>
  <si>
    <t>ucsdruz_podprij</t>
  </si>
  <si>
    <t>ucsdruz_podvyd</t>
  </si>
  <si>
    <t>ucsdruz_prijmeni</t>
  </si>
  <si>
    <t>Věta G</t>
  </si>
  <si>
    <t>spolos_dic</t>
  </si>
  <si>
    <t>spolos_jmeno</t>
  </si>
  <si>
    <t>spolos_podil</t>
  </si>
  <si>
    <t>spolos_prijmeni</t>
  </si>
  <si>
    <t>Věta H</t>
  </si>
  <si>
    <t>Věta I</t>
  </si>
  <si>
    <t>Věta V</t>
  </si>
  <si>
    <t>rozdos_dic</t>
  </si>
  <si>
    <t>rozdos_jmeno</t>
  </si>
  <si>
    <t>rozdos_podil</t>
  </si>
  <si>
    <t>rozdos_prijmeni</t>
  </si>
  <si>
    <t>vos_ks_dic</t>
  </si>
  <si>
    <t>vos_ks_podil</t>
  </si>
  <si>
    <t>kc_par9_nem</t>
  </si>
  <si>
    <t>kc_prij10</t>
  </si>
  <si>
    <t>kc_prij9</t>
  </si>
  <si>
    <t>kc_rezerv_k</t>
  </si>
  <si>
    <t>kc_rezerv_z</t>
  </si>
  <si>
    <t>kc_rozdil9</t>
  </si>
  <si>
    <t>kc_snizukon9</t>
  </si>
  <si>
    <t>kc_vyd10</t>
  </si>
  <si>
    <t>kc_vyd9</t>
  </si>
  <si>
    <t>kc_zd10p</t>
  </si>
  <si>
    <t>kc_zd9p</t>
  </si>
  <si>
    <t>kc_zvysukon9</t>
  </si>
  <si>
    <t>spol_jm_manz</t>
  </si>
  <si>
    <t>uhrn_prijmy10</t>
  </si>
  <si>
    <t>uhrn_rozdil10</t>
  </si>
  <si>
    <t>uhrn_vydaje10</t>
  </si>
  <si>
    <t>vyd9proc</t>
  </si>
  <si>
    <t>Věta J</t>
  </si>
  <si>
    <t>Věta W</t>
  </si>
  <si>
    <t>Věta R</t>
  </si>
  <si>
    <t>druh_prij10</t>
  </si>
  <si>
    <t>kod10</t>
  </si>
  <si>
    <t>kod_dr_prij10</t>
  </si>
  <si>
    <t>prijmy10</t>
  </si>
  <si>
    <t>rozdil10</t>
  </si>
  <si>
    <t>vydaje10</t>
  </si>
  <si>
    <t>da_zazahr</t>
  </si>
  <si>
    <t>uhrn_neuzndan</t>
  </si>
  <si>
    <t>uhrn_uzndan</t>
  </si>
  <si>
    <t>kod_sekce</t>
  </si>
  <si>
    <t>poradi</t>
  </si>
  <si>
    <t>t_prilohy</t>
  </si>
  <si>
    <t>Věta L</t>
  </si>
  <si>
    <t>Věta M</t>
  </si>
  <si>
    <t>da_uznzap</t>
  </si>
  <si>
    <t>da_zahr</t>
  </si>
  <si>
    <t>kc_10prij</t>
  </si>
  <si>
    <t>kc_10vyd</t>
  </si>
  <si>
    <t>kc_k_zapzahr</t>
  </si>
  <si>
    <t>kc_prijzap</t>
  </si>
  <si>
    <t>kc_vydzap</t>
  </si>
  <si>
    <t>kod_statu</t>
  </si>
  <si>
    <t>proczahr</t>
  </si>
  <si>
    <t>roz_od12</t>
  </si>
  <si>
    <t>prilztr_sl1</t>
  </si>
  <si>
    <t>prilztr_sl2</t>
  </si>
  <si>
    <t>prilztr_sl3</t>
  </si>
  <si>
    <t>prilztr_sl4</t>
  </si>
  <si>
    <t>prilztr_sl5</t>
  </si>
  <si>
    <t>Věta N</t>
  </si>
  <si>
    <t>c_nest_uctu</t>
  </si>
  <si>
    <t>id_banky</t>
  </si>
  <si>
    <t>k_meny_uctu</t>
  </si>
  <si>
    <t>k_stat_banky</t>
  </si>
  <si>
    <t>kc_preplatek</t>
  </si>
  <si>
    <t>mesto_banky</t>
  </si>
  <si>
    <t>mesto_prij</t>
  </si>
  <si>
    <t>naz_adr_banky</t>
  </si>
  <si>
    <t>nazev_prij</t>
  </si>
  <si>
    <t>psc_banky</t>
  </si>
  <si>
    <t>psc_prij</t>
  </si>
  <si>
    <t>region_banky</t>
  </si>
  <si>
    <t>region_prij</t>
  </si>
  <si>
    <t>stat_prij</t>
  </si>
  <si>
    <t>sym_plvmpv</t>
  </si>
  <si>
    <t>ulice_banky</t>
  </si>
  <si>
    <t>ulice_prij</t>
  </si>
  <si>
    <t>zp_vrac</t>
  </si>
  <si>
    <t>zvp_c_komds</t>
  </si>
  <si>
    <t>zvp_c_obce</t>
  </si>
  <si>
    <t>zvp_c_orient</t>
  </si>
  <si>
    <t>zvp_c_pop</t>
  </si>
  <si>
    <t>zvp_jmeno</t>
  </si>
  <si>
    <t>zvp_k_bank</t>
  </si>
  <si>
    <t>zvp_naz_bank</t>
  </si>
  <si>
    <t>zvp_naz_obce</t>
  </si>
  <si>
    <t>zvp_pbu</t>
  </si>
  <si>
    <t>zvp_prijmeni</t>
  </si>
  <si>
    <t>zvp_psc</t>
  </si>
  <si>
    <t>zvp_spec_symb</t>
  </si>
  <si>
    <t>zvp_titul</t>
  </si>
  <si>
    <t>zvp_ulice</t>
  </si>
  <si>
    <t>Věta b</t>
  </si>
  <si>
    <t>Věta d</t>
  </si>
  <si>
    <t>kc_poj6p</t>
  </si>
  <si>
    <t>kc_prij6p</t>
  </si>
  <si>
    <t>kc_srazp</t>
  </si>
  <si>
    <t>kc_vyplbonusp</t>
  </si>
  <si>
    <t>kc_zalzavcp</t>
  </si>
  <si>
    <t>dan_seznam</t>
  </si>
  <si>
    <t>ident_udaje</t>
  </si>
  <si>
    <t>k_stat_zdroj</t>
  </si>
  <si>
    <t>prijmy_seznam</t>
  </si>
  <si>
    <t>zapl_dan</t>
  </si>
  <si>
    <t>Věta UA</t>
  </si>
  <si>
    <t>Věta UC</t>
  </si>
  <si>
    <t>c_listu</t>
  </si>
  <si>
    <t>c_radku</t>
  </si>
  <si>
    <t>kc_brutto</t>
  </si>
  <si>
    <t>kc_korekce</t>
  </si>
  <si>
    <t>kc_netto</t>
  </si>
  <si>
    <t>kc_netto_min</t>
  </si>
  <si>
    <t>kc_min</t>
  </si>
  <si>
    <t>kc_sled</t>
  </si>
  <si>
    <t>Věta UD</t>
  </si>
  <si>
    <t>Věta UE</t>
  </si>
  <si>
    <t>Věta X</t>
  </si>
  <si>
    <t>Věta Y</t>
  </si>
  <si>
    <t>tab_uv</t>
  </si>
  <si>
    <t>c_porlist</t>
  </si>
  <si>
    <t>c_prac_ku</t>
  </si>
  <si>
    <t>rok_list</t>
  </si>
  <si>
    <t>typ_list</t>
  </si>
  <si>
    <t>Věta e</t>
  </si>
  <si>
    <t>Obecná příloha</t>
  </si>
  <si>
    <t>cislo</t>
  </si>
  <si>
    <t>nazev</t>
  </si>
  <si>
    <t>jm_souboru</t>
  </si>
  <si>
    <t>kodovani</t>
  </si>
  <si>
    <t>Předepsaný příloha</t>
  </si>
  <si>
    <t>kod</t>
  </si>
  <si>
    <t>Finanční úřad</t>
  </si>
  <si>
    <t>Územní pracoviště</t>
  </si>
  <si>
    <t>STÁTY</t>
  </si>
  <si>
    <t>TF</t>
  </si>
  <si>
    <t>Název ekonomické činnosti</t>
  </si>
  <si>
    <t>Kód</t>
  </si>
  <si>
    <t>HLAVNÍ MĚSTO PRAHA</t>
  </si>
  <si>
    <t>PRAHA 1</t>
  </si>
  <si>
    <t>ČESKÁ REPUBLIKA</t>
  </si>
  <si>
    <t>Rostlinná a živočišná výroba, myslivost a související činnosti</t>
  </si>
  <si>
    <t>010000</t>
  </si>
  <si>
    <t>STŘEDOČESKÝ KRAJ</t>
  </si>
  <si>
    <t>PRAHA 2</t>
  </si>
  <si>
    <t>Afghánská islámská republika</t>
  </si>
  <si>
    <t>AF</t>
  </si>
  <si>
    <t>Lesnictví a těžba dřeva</t>
  </si>
  <si>
    <t>020000</t>
  </si>
  <si>
    <t>JIHOČESKÝ KRAJ</t>
  </si>
  <si>
    <t>PRAHA 3</t>
  </si>
  <si>
    <t>Provincie Alandy</t>
  </si>
  <si>
    <t>AX</t>
  </si>
  <si>
    <t>Rybolov a akvakultura</t>
  </si>
  <si>
    <t>030000</t>
  </si>
  <si>
    <t>PLZEŇSKÝ KRAJ</t>
  </si>
  <si>
    <t>PRAHA 4</t>
  </si>
  <si>
    <t>Albánská republika</t>
  </si>
  <si>
    <t>AL</t>
  </si>
  <si>
    <t>Těžba a úprava černého a hnědého uhlí</t>
  </si>
  <si>
    <t>050000</t>
  </si>
  <si>
    <t>KARLOVARSKÝ KRAJ</t>
  </si>
  <si>
    <t>PRAHA 5</t>
  </si>
  <si>
    <t>Alžírská demokratická a lidová republika</t>
  </si>
  <si>
    <t>DZ</t>
  </si>
  <si>
    <t>Těžba ropy a zemního plynu</t>
  </si>
  <si>
    <t>060000</t>
  </si>
  <si>
    <t>ÚSTECKÝ KRAJ</t>
  </si>
  <si>
    <t>PRAHA 6</t>
  </si>
  <si>
    <t>Území Americká Samoa</t>
  </si>
  <si>
    <t>AS</t>
  </si>
  <si>
    <t>Těžba a úprava rud</t>
  </si>
  <si>
    <t>070000</t>
  </si>
  <si>
    <t>LIBERECKÝ KRAJ</t>
  </si>
  <si>
    <t>PRAHA 7</t>
  </si>
  <si>
    <t>Americké Panenské ostrovy</t>
  </si>
  <si>
    <t>VI</t>
  </si>
  <si>
    <t>Ostatní těžba a dobývání</t>
  </si>
  <si>
    <t>080000</t>
  </si>
  <si>
    <t>KRÁLOVÉHRADEC. KR.</t>
  </si>
  <si>
    <t>PRAHA 8</t>
  </si>
  <si>
    <t>Andorrské knížectví</t>
  </si>
  <si>
    <t>AD</t>
  </si>
  <si>
    <t>Podpůrné činnosti při těžbě</t>
  </si>
  <si>
    <t>090000</t>
  </si>
  <si>
    <t>PARDUBICKÝ KRAJ</t>
  </si>
  <si>
    <t>PRAHA 9</t>
  </si>
  <si>
    <t>Angolská republika</t>
  </si>
  <si>
    <t>AO</t>
  </si>
  <si>
    <t>Výroba potravinářských výrobků</t>
  </si>
  <si>
    <t>100000</t>
  </si>
  <si>
    <t>KRAJ VYSOČINA</t>
  </si>
  <si>
    <t>PRAHA 10</t>
  </si>
  <si>
    <t>Anguilla</t>
  </si>
  <si>
    <t>AI</t>
  </si>
  <si>
    <t>Výroba nápojů</t>
  </si>
  <si>
    <t>110000</t>
  </si>
  <si>
    <t>JIHOMORAVSKÝ KRAJ</t>
  </si>
  <si>
    <t>PRAHA-JIŽNÍ MĚSTO</t>
  </si>
  <si>
    <t>Antarktida</t>
  </si>
  <si>
    <t>AQ</t>
  </si>
  <si>
    <t>Pěstování plodin jiných než trvalých</t>
  </si>
  <si>
    <t>011000</t>
  </si>
  <si>
    <t>OLOMOUCKÝ KRAJ</t>
  </si>
  <si>
    <t>PRAHA-MODŘANY</t>
  </si>
  <si>
    <t>Antigua a Barbuda</t>
  </si>
  <si>
    <t>AG</t>
  </si>
  <si>
    <t>Výroba tabákových výrobků</t>
  </si>
  <si>
    <t>120000</t>
  </si>
  <si>
    <t>MORAVSKOSLEZS. KR.</t>
  </si>
  <si>
    <t>PRAHA - VÝCHOD</t>
  </si>
  <si>
    <t>Argentinská republika</t>
  </si>
  <si>
    <t>AR</t>
  </si>
  <si>
    <t>Pěstování trvalých plodin</t>
  </si>
  <si>
    <t>012000</t>
  </si>
  <si>
    <t>ZLÍNSKÝ KRAJ</t>
  </si>
  <si>
    <t>PRAHA ZÁPAD</t>
  </si>
  <si>
    <t>Arménská republika</t>
  </si>
  <si>
    <t>AM</t>
  </si>
  <si>
    <t>Výroba textilií</t>
  </si>
  <si>
    <t>130000</t>
  </si>
  <si>
    <t>SPECIALIZOVANÝ</t>
  </si>
  <si>
    <t>BENEŠOV</t>
  </si>
  <si>
    <t>Aruba</t>
  </si>
  <si>
    <t>AW</t>
  </si>
  <si>
    <t>Množení rostlin</t>
  </si>
  <si>
    <t>013000</t>
  </si>
  <si>
    <t>BEROUN</t>
  </si>
  <si>
    <t>Australské společenství</t>
  </si>
  <si>
    <t>AU</t>
  </si>
  <si>
    <t>Výroba oděvů</t>
  </si>
  <si>
    <t>140000</t>
  </si>
  <si>
    <t>BRANDÝS N.L. - ST.BOL.</t>
  </si>
  <si>
    <t>Ázerbájdžánská republika</t>
  </si>
  <si>
    <t>AZ</t>
  </si>
  <si>
    <t>živočišná výroba</t>
  </si>
  <si>
    <t>014000</t>
  </si>
  <si>
    <t>ČÁSLAV</t>
  </si>
  <si>
    <t>Bahamské společenství</t>
  </si>
  <si>
    <t>BS</t>
  </si>
  <si>
    <t>Výroba usní a souvisejících výrobků</t>
  </si>
  <si>
    <t>150000</t>
  </si>
  <si>
    <t>ČESKÝ BROD</t>
  </si>
  <si>
    <t>Království Bahrajn</t>
  </si>
  <si>
    <t>BH</t>
  </si>
  <si>
    <t>Smíšené hospodářství</t>
  </si>
  <si>
    <t>015000</t>
  </si>
  <si>
    <t>DOBŘÍŠ</t>
  </si>
  <si>
    <t>Bangladéšská lidová republika</t>
  </si>
  <si>
    <t>BD</t>
  </si>
  <si>
    <t>Zprac.dřeva,výroba dřevěných,korkových,proutěných a slam.výr.,kromě nábytku</t>
  </si>
  <si>
    <t>160000</t>
  </si>
  <si>
    <t>HOŘOVICE</t>
  </si>
  <si>
    <t>Barbados</t>
  </si>
  <si>
    <t>BB</t>
  </si>
  <si>
    <t>Podpůrné činnosti pro zemědělství a posklizňové činnosti</t>
  </si>
  <si>
    <t>016000</t>
  </si>
  <si>
    <t>KLADNO</t>
  </si>
  <si>
    <t>Belgické království</t>
  </si>
  <si>
    <t>BE</t>
  </si>
  <si>
    <t>Výroba papíru a výrobků z papíru</t>
  </si>
  <si>
    <t>170000</t>
  </si>
  <si>
    <t>KOLÍN</t>
  </si>
  <si>
    <t>Belize</t>
  </si>
  <si>
    <t>BZ</t>
  </si>
  <si>
    <t>Lov a odchyt divokých zvířat a související činnosti</t>
  </si>
  <si>
    <t>017000</t>
  </si>
  <si>
    <t>KRALUPY NAD VLTAVOU</t>
  </si>
  <si>
    <t>Běloruská republika</t>
  </si>
  <si>
    <t>BY</t>
  </si>
  <si>
    <t>Tisk a rozmnožování nahraných nosičů</t>
  </si>
  <si>
    <t>180000</t>
  </si>
  <si>
    <t>KUTNÁ HORA</t>
  </si>
  <si>
    <t>Beninská republika</t>
  </si>
  <si>
    <t>BJ</t>
  </si>
  <si>
    <t>Výroba koksu a rafinovaných ropných produktů</t>
  </si>
  <si>
    <t>190000</t>
  </si>
  <si>
    <t>MĚLNÍK</t>
  </si>
  <si>
    <t>Bermudy</t>
  </si>
  <si>
    <t>BM</t>
  </si>
  <si>
    <t>Výroba chemických látek a chemických přípravků</t>
  </si>
  <si>
    <t>200000</t>
  </si>
  <si>
    <t>MLADÁ BOLESLAV</t>
  </si>
  <si>
    <t>Bhútánské království</t>
  </si>
  <si>
    <t>BT</t>
  </si>
  <si>
    <t>Výroba základních farmaceutických výrobků a farmaceutických přípravků</t>
  </si>
  <si>
    <t>210000</t>
  </si>
  <si>
    <t>MNICHOVO HRADIŠTĚ</t>
  </si>
  <si>
    <t>Mnohonárodní stát Bolívie</t>
  </si>
  <si>
    <t>BO</t>
  </si>
  <si>
    <t>Lesní hospodářství a jiné činnosti v oblasti lesnictví</t>
  </si>
  <si>
    <t>021000</t>
  </si>
  <si>
    <t>NERATOVICE</t>
  </si>
  <si>
    <t>Bonaire, Svatý Eustach a Saba</t>
  </si>
  <si>
    <t>BQ</t>
  </si>
  <si>
    <t>Výroba pryžových a plastových výrobků</t>
  </si>
  <si>
    <t>220000</t>
  </si>
  <si>
    <t>NYMBURK</t>
  </si>
  <si>
    <t>Bosna a Hercegovina</t>
  </si>
  <si>
    <t>BA</t>
  </si>
  <si>
    <t>Těžba dřeva</t>
  </si>
  <si>
    <t>022000</t>
  </si>
  <si>
    <t>PODĚBRADY</t>
  </si>
  <si>
    <t>Botswanská republika</t>
  </si>
  <si>
    <t>BW</t>
  </si>
  <si>
    <t>Výroba ostatních nekovových minerálních výrobků</t>
  </si>
  <si>
    <t>230000</t>
  </si>
  <si>
    <t>PŘÍBRAM</t>
  </si>
  <si>
    <t>Bouvetův ostrov</t>
  </si>
  <si>
    <t>BV</t>
  </si>
  <si>
    <t>Sběr a získávání volně rostoucích plodů a materiálů, kromě dřeva</t>
  </si>
  <si>
    <t>023000</t>
  </si>
  <si>
    <t>RAKOVNÍK</t>
  </si>
  <si>
    <t>Brazilská federativní republika</t>
  </si>
  <si>
    <t>BR</t>
  </si>
  <si>
    <t>Výroba základních kovů, hutní zpracování kovů; slévárenství</t>
  </si>
  <si>
    <t>240000</t>
  </si>
  <si>
    <t>ŘÍČANY</t>
  </si>
  <si>
    <t>Britské území v Indickém oceánu</t>
  </si>
  <si>
    <t>IO</t>
  </si>
  <si>
    <t>Podpůrné činnosti pro lesnictví</t>
  </si>
  <si>
    <t>024000</t>
  </si>
  <si>
    <t>SEDLČANY</t>
  </si>
  <si>
    <t>Britské Panenské ostrovy</t>
  </si>
  <si>
    <t>VG</t>
  </si>
  <si>
    <t>Výroba kovových konstrukcí a kovodělných výrobků, kromě strojů a zařízení</t>
  </si>
  <si>
    <t>250000</t>
  </si>
  <si>
    <t>SLANÝ</t>
  </si>
  <si>
    <t>Stát Brunej Darussalam</t>
  </si>
  <si>
    <t>BN</t>
  </si>
  <si>
    <t>Výroba počítačů, elektronických a optických přístrojů a zařízení</t>
  </si>
  <si>
    <t>260000</t>
  </si>
  <si>
    <t>VLAŠIM</t>
  </si>
  <si>
    <t>Bulharská republika</t>
  </si>
  <si>
    <t>BG</t>
  </si>
  <si>
    <t>Výroba elektrických zařízení</t>
  </si>
  <si>
    <t>270000</t>
  </si>
  <si>
    <t>VOTICE</t>
  </si>
  <si>
    <t>Burkina Faso</t>
  </si>
  <si>
    <t>BF</t>
  </si>
  <si>
    <t>Výroba strojů a zařízení j. n.</t>
  </si>
  <si>
    <t>280000</t>
  </si>
  <si>
    <t>ČESKÉ BUDĚJOVICE</t>
  </si>
  <si>
    <t>Burundská republika</t>
  </si>
  <si>
    <t>BI</t>
  </si>
  <si>
    <t>Výroba motorových vozidel (kromě motocyklů), přívěsů a návěsů</t>
  </si>
  <si>
    <t>290000</t>
  </si>
  <si>
    <t>BLATNÁ</t>
  </si>
  <si>
    <t>Cookovy ostrovy</t>
  </si>
  <si>
    <t>CK</t>
  </si>
  <si>
    <t>Výroba ostatních dopravních prostředků a zařízení</t>
  </si>
  <si>
    <t>300000</t>
  </si>
  <si>
    <t>ČESKÝ KRUMLOV</t>
  </si>
  <si>
    <t>Curaçao</t>
  </si>
  <si>
    <t>CW</t>
  </si>
  <si>
    <t>Výroba nábytku</t>
  </si>
  <si>
    <t>310000</t>
  </si>
  <si>
    <t>DAČICE</t>
  </si>
  <si>
    <t>Čadská republika</t>
  </si>
  <si>
    <t>TD</t>
  </si>
  <si>
    <t>Rybolov</t>
  </si>
  <si>
    <t>031000</t>
  </si>
  <si>
    <t>JINDŘICHŮV HRADEC</t>
  </si>
  <si>
    <t>Černá Hora</t>
  </si>
  <si>
    <t>ME</t>
  </si>
  <si>
    <t>Ostatní zpracovatelský průmysl</t>
  </si>
  <si>
    <t>320000</t>
  </si>
  <si>
    <t>KAPLICE</t>
  </si>
  <si>
    <t>Česká republika</t>
  </si>
  <si>
    <t>Akvakultura</t>
  </si>
  <si>
    <t>032000</t>
  </si>
  <si>
    <t>MILEVSKO</t>
  </si>
  <si>
    <t>Čínská lidová republika</t>
  </si>
  <si>
    <t>CN</t>
  </si>
  <si>
    <t>Opravy a instalace strojů a zařízení</t>
  </si>
  <si>
    <t>330000</t>
  </si>
  <si>
    <t>PÍSEK</t>
  </si>
  <si>
    <t>Dánské království</t>
  </si>
  <si>
    <t>DK</t>
  </si>
  <si>
    <t>Výroba a rozvod elektřiny, plynu, tepla a klimatizovaného vzduchu</t>
  </si>
  <si>
    <t>350000</t>
  </si>
  <si>
    <t>PRACHATICE</t>
  </si>
  <si>
    <t>Demokratická republika Kongo</t>
  </si>
  <si>
    <t>CD</t>
  </si>
  <si>
    <t>Shromažďování, úprava a rozvod vody</t>
  </si>
  <si>
    <t>360000</t>
  </si>
  <si>
    <t>SOBĚSLAV</t>
  </si>
  <si>
    <t>Dominické společenství</t>
  </si>
  <si>
    <t>DM</t>
  </si>
  <si>
    <t>Činnosti související s odpadními vodami</t>
  </si>
  <si>
    <t>370000</t>
  </si>
  <si>
    <t>STRAKONICE</t>
  </si>
  <si>
    <t>Dominikánská republika</t>
  </si>
  <si>
    <t>DO</t>
  </si>
  <si>
    <t>Shromažďování,sběr a odstraňování odpadů,úprava odpadů k dalšímu využití</t>
  </si>
  <si>
    <t>380000</t>
  </si>
  <si>
    <t>TÁBOR</t>
  </si>
  <si>
    <t>Džibutská republika</t>
  </si>
  <si>
    <t>DJ</t>
  </si>
  <si>
    <t>Sanace a jiné činnosti související s odpady</t>
  </si>
  <si>
    <t>390000</t>
  </si>
  <si>
    <t>TRHOVÉ SVINY</t>
  </si>
  <si>
    <t>Egyptská arabská republika</t>
  </si>
  <si>
    <t>EG</t>
  </si>
  <si>
    <t>Výstavba budov</t>
  </si>
  <si>
    <t>410000</t>
  </si>
  <si>
    <t>TŘEBOŇ</t>
  </si>
  <si>
    <t>Ekvádorská republika</t>
  </si>
  <si>
    <t>EC</t>
  </si>
  <si>
    <t>Inženýrské stavitelství</t>
  </si>
  <si>
    <t>420000</t>
  </si>
  <si>
    <t>TÝN NAD VLTAVOU</t>
  </si>
  <si>
    <t>Stát Eritrea</t>
  </si>
  <si>
    <t>ER</t>
  </si>
  <si>
    <t>Specializované stavební činnosti</t>
  </si>
  <si>
    <t>430000</t>
  </si>
  <si>
    <t>VIMPERK</t>
  </si>
  <si>
    <t>Estonská republika</t>
  </si>
  <si>
    <t>EE</t>
  </si>
  <si>
    <t>Velkoobchod, maloobchod a opravy motorových vozidel</t>
  </si>
  <si>
    <t>450000</t>
  </si>
  <si>
    <t>VODŇANY</t>
  </si>
  <si>
    <t>Etiopská federativní demokratická republika</t>
  </si>
  <si>
    <t>ET</t>
  </si>
  <si>
    <t>Velkoobchod, kromě motorových vozidel</t>
  </si>
  <si>
    <t>460000</t>
  </si>
  <si>
    <t>PLZEŇ</t>
  </si>
  <si>
    <t>Faerské ostrovy</t>
  </si>
  <si>
    <t>FO</t>
  </si>
  <si>
    <t>Maloobchod, kromě motorových vozidel</t>
  </si>
  <si>
    <t>470000</t>
  </si>
  <si>
    <t>PLZEŇ-SEVER</t>
  </si>
  <si>
    <t>Falklandské ostrovy</t>
  </si>
  <si>
    <t>FK</t>
  </si>
  <si>
    <t>Pozemní a potrubní doprava</t>
  </si>
  <si>
    <t>490000</t>
  </si>
  <si>
    <t>PLZEŇ-JIH</t>
  </si>
  <si>
    <t>Fidžijská republika</t>
  </si>
  <si>
    <t>FJ</t>
  </si>
  <si>
    <t>Vodní doprava</t>
  </si>
  <si>
    <t>500000</t>
  </si>
  <si>
    <t>BLOVICE</t>
  </si>
  <si>
    <t>Filipínská republika</t>
  </si>
  <si>
    <t>PH</t>
  </si>
  <si>
    <t>Letecká doprava</t>
  </si>
  <si>
    <t>510000</t>
  </si>
  <si>
    <t>DOMAŽLICE</t>
  </si>
  <si>
    <t>Finská republika</t>
  </si>
  <si>
    <t>FI</t>
  </si>
  <si>
    <t>Těžba a úprava černého uhlí</t>
  </si>
  <si>
    <t>051000</t>
  </si>
  <si>
    <t>HORAŽĎOVICE</t>
  </si>
  <si>
    <t>Francouzská republika</t>
  </si>
  <si>
    <t>FR</t>
  </si>
  <si>
    <t>Skladování a vedlejší činnosti v dopravě</t>
  </si>
  <si>
    <t>520000</t>
  </si>
  <si>
    <t>HORŠOVSKÝ TÝN</t>
  </si>
  <si>
    <t>Region Francouzská Guyana</t>
  </si>
  <si>
    <t>GF</t>
  </si>
  <si>
    <t>Těžba a úprava hnědého uhlí</t>
  </si>
  <si>
    <t>052000</t>
  </si>
  <si>
    <t>KLATOVY</t>
  </si>
  <si>
    <t>Teritorium Francouzská jižní a antarktická území</t>
  </si>
  <si>
    <t>Poštovní a kurýrní činnosti</t>
  </si>
  <si>
    <t>530000</t>
  </si>
  <si>
    <t>KRALOVICE</t>
  </si>
  <si>
    <t>Francouzská Polynésie</t>
  </si>
  <si>
    <t>PF</t>
  </si>
  <si>
    <t>Ubytování</t>
  </si>
  <si>
    <t>550000</t>
  </si>
  <si>
    <t>NEPOMUK</t>
  </si>
  <si>
    <t>Gabonská republika</t>
  </si>
  <si>
    <t>GA</t>
  </si>
  <si>
    <t>Stravování a pohostinství</t>
  </si>
  <si>
    <t>560000</t>
  </si>
  <si>
    <t>PŘEŠTICE</t>
  </si>
  <si>
    <t>Gambijská republika</t>
  </si>
  <si>
    <t>GM</t>
  </si>
  <si>
    <t>Vydavatelské činnosti</t>
  </si>
  <si>
    <t>580000</t>
  </si>
  <si>
    <t>ROKYCANY</t>
  </si>
  <si>
    <t>Ghanská republika</t>
  </si>
  <si>
    <t>GH</t>
  </si>
  <si>
    <t>Čin.v obl.filmů,videozázn.a tel.programů,pořiz.zvuk.nahr.a hudeb.vyd.čin.</t>
  </si>
  <si>
    <t>590000</t>
  </si>
  <si>
    <t>TACHOV</t>
  </si>
  <si>
    <t>Gibraltar</t>
  </si>
  <si>
    <t>GI</t>
  </si>
  <si>
    <t>Tvorba programů a vysílání</t>
  </si>
  <si>
    <t>600000</t>
  </si>
  <si>
    <t>STŘÍBRO</t>
  </si>
  <si>
    <t>Grenadský stát</t>
  </si>
  <si>
    <t>GD</t>
  </si>
  <si>
    <t>Telekomunikační činnosti</t>
  </si>
  <si>
    <t>610000</t>
  </si>
  <si>
    <t>SUŠICE</t>
  </si>
  <si>
    <t>Grónsko</t>
  </si>
  <si>
    <t>GL</t>
  </si>
  <si>
    <t>Těžba ropy</t>
  </si>
  <si>
    <t>061000</t>
  </si>
  <si>
    <t>KARLOVY VARY</t>
  </si>
  <si>
    <t>Gruzie</t>
  </si>
  <si>
    <t>GE</t>
  </si>
  <si>
    <t>Činnosti v oblasti informačních technologií</t>
  </si>
  <si>
    <t>620000</t>
  </si>
  <si>
    <t>AŠ</t>
  </si>
  <si>
    <t>Region Guadeloupe</t>
  </si>
  <si>
    <t>GP</t>
  </si>
  <si>
    <t>Těžba zemního plynu</t>
  </si>
  <si>
    <t>062000</t>
  </si>
  <si>
    <t>CHEB</t>
  </si>
  <si>
    <t>Teritorium Guam</t>
  </si>
  <si>
    <t>GU</t>
  </si>
  <si>
    <t>Informační činnosti</t>
  </si>
  <si>
    <t>630000</t>
  </si>
  <si>
    <t>KRASLICE</t>
  </si>
  <si>
    <t>Guatemalská republika</t>
  </si>
  <si>
    <t>GT</t>
  </si>
  <si>
    <t>Finanční zprostředkování, kromě pojišťovnictví a penzijního financování</t>
  </si>
  <si>
    <t>640000</t>
  </si>
  <si>
    <t>MARIÁNSKÉ LÁZNĚ</t>
  </si>
  <si>
    <t>Bailiwick Guernsey</t>
  </si>
  <si>
    <t>GG</t>
  </si>
  <si>
    <t>Pojištění,zajištění a penzijní financování,kromě povinného soc.zabezpečení</t>
  </si>
  <si>
    <t>650000</t>
  </si>
  <si>
    <t>OSTROV NAD OHŘÍ</t>
  </si>
  <si>
    <t>Guinejská republika</t>
  </si>
  <si>
    <t>GN</t>
  </si>
  <si>
    <t>Ostatní finanční činnosti</t>
  </si>
  <si>
    <t>660000</t>
  </si>
  <si>
    <t>SOKOLOV</t>
  </si>
  <si>
    <t>Republika Guinea-Bissau</t>
  </si>
  <si>
    <t>GW</t>
  </si>
  <si>
    <t>Činnosti v oblasti nemovitostí</t>
  </si>
  <si>
    <t>680000</t>
  </si>
  <si>
    <t>ÚSTÍ NAD LABEM</t>
  </si>
  <si>
    <t>Guyanská kooperativní republika</t>
  </si>
  <si>
    <t>GY</t>
  </si>
  <si>
    <t>Právní a účetnické činnosti</t>
  </si>
  <si>
    <t>690000</t>
  </si>
  <si>
    <t>BÍLINA</t>
  </si>
  <si>
    <t>Republika Haiti</t>
  </si>
  <si>
    <t>HT</t>
  </si>
  <si>
    <t>Činnosti vedení podniků; poradenství v oblasti řízení</t>
  </si>
  <si>
    <t>700000</t>
  </si>
  <si>
    <t>DĚČÍN</t>
  </si>
  <si>
    <t>Heardův ostrov a MacDonaldovy ostrovy</t>
  </si>
  <si>
    <t>HM</t>
  </si>
  <si>
    <t>Architektonické a inženýrské činnosti; technické zkoušky a analýzy</t>
  </si>
  <si>
    <t>710000</t>
  </si>
  <si>
    <t>CHOMUTOV</t>
  </si>
  <si>
    <t>Honduraská republika</t>
  </si>
  <si>
    <t>HN</t>
  </si>
  <si>
    <t>Těžba a úprava železných rud</t>
  </si>
  <si>
    <t>071000</t>
  </si>
  <si>
    <t>KADAŇ</t>
  </si>
  <si>
    <t>Zvláštní administrativní oblast Čínské lidové republiky Hongkong</t>
  </si>
  <si>
    <t>HK</t>
  </si>
  <si>
    <t>Výzkum a vývoj</t>
  </si>
  <si>
    <t>720000</t>
  </si>
  <si>
    <t>LIBOCHOVICE</t>
  </si>
  <si>
    <t>Chilská republika</t>
  </si>
  <si>
    <t>CL</t>
  </si>
  <si>
    <t>Těžba a úprava neželezných rud</t>
  </si>
  <si>
    <t>072000</t>
  </si>
  <si>
    <t>LITOMĚŘICE</t>
  </si>
  <si>
    <t>Chorvatská republika</t>
  </si>
  <si>
    <t>HR</t>
  </si>
  <si>
    <t>Reklama a průzkum trhu</t>
  </si>
  <si>
    <t>730000</t>
  </si>
  <si>
    <t>LITVÍNOV</t>
  </si>
  <si>
    <t>Indická republika</t>
  </si>
  <si>
    <t>IN</t>
  </si>
  <si>
    <t>Ostatní profesní, vědecké a technické činnosti</t>
  </si>
  <si>
    <t>740000</t>
  </si>
  <si>
    <t>LOUNY</t>
  </si>
  <si>
    <t>Indonéská republika</t>
  </si>
  <si>
    <t>ID</t>
  </si>
  <si>
    <t>Veterinární činnosti</t>
  </si>
  <si>
    <t>750000</t>
  </si>
  <si>
    <t>MOST</t>
  </si>
  <si>
    <t>Irácká republika</t>
  </si>
  <si>
    <t>IQ</t>
  </si>
  <si>
    <t>Činnosti v oblasti pronájmu a operativního leasingu</t>
  </si>
  <si>
    <t>770000</t>
  </si>
  <si>
    <t>PODBOŘANY</t>
  </si>
  <si>
    <t>Íránská islámská republika</t>
  </si>
  <si>
    <t>IR</t>
  </si>
  <si>
    <t>Činnosti související se zaměstnáním</t>
  </si>
  <si>
    <t>780000</t>
  </si>
  <si>
    <t>ROUDNICE NAD LABEM</t>
  </si>
  <si>
    <t>Irsko</t>
  </si>
  <si>
    <t>IE</t>
  </si>
  <si>
    <t>Činnosti cest.agentur,kanceláří a jiné rezervační a související činnosti</t>
  </si>
  <si>
    <t>790000</t>
  </si>
  <si>
    <t>RUMBURK</t>
  </si>
  <si>
    <t>Islandská republika</t>
  </si>
  <si>
    <t>IS</t>
  </si>
  <si>
    <t>Bezpečnostní a pátrací činnosti</t>
  </si>
  <si>
    <t>800000</t>
  </si>
  <si>
    <t>TEPLICE</t>
  </si>
  <si>
    <t>Italská republika</t>
  </si>
  <si>
    <t>IT</t>
  </si>
  <si>
    <t>Činnosti související se stavbami a úpravou krajiny</t>
  </si>
  <si>
    <t>810000</t>
  </si>
  <si>
    <t>ŽATEC</t>
  </si>
  <si>
    <t>Stát Izrael</t>
  </si>
  <si>
    <t>IL</t>
  </si>
  <si>
    <t>Dobývání kamene, písků a jílů</t>
  </si>
  <si>
    <t>081000</t>
  </si>
  <si>
    <t>LIBEREC</t>
  </si>
  <si>
    <t>Jamajka</t>
  </si>
  <si>
    <t>JM</t>
  </si>
  <si>
    <t>Administrativní, kancelářské a jiné podpůrné činnosti pro podnikání</t>
  </si>
  <si>
    <t>820000</t>
  </si>
  <si>
    <t>ČESKÁ LÍPA</t>
  </si>
  <si>
    <t>Japonsko</t>
  </si>
  <si>
    <t>JP</t>
  </si>
  <si>
    <t>Veřejná správa a obrana; povinné sociální zabezpečení</t>
  </si>
  <si>
    <t>840000</t>
  </si>
  <si>
    <t>FRÝDLANT</t>
  </si>
  <si>
    <t>Jemenská republika</t>
  </si>
  <si>
    <t>YE</t>
  </si>
  <si>
    <t>Vzdělávání</t>
  </si>
  <si>
    <t>850000</t>
  </si>
  <si>
    <t>JABLONEC NAD NISOU</t>
  </si>
  <si>
    <t>Bailiwick Jersey</t>
  </si>
  <si>
    <t>JE</t>
  </si>
  <si>
    <t>Zdravotní péče</t>
  </si>
  <si>
    <t>860000</t>
  </si>
  <si>
    <t>JILEMNICE</t>
  </si>
  <si>
    <t>Jihoafrická republika</t>
  </si>
  <si>
    <t>ZA</t>
  </si>
  <si>
    <t>Pobytové služby sociální péče</t>
  </si>
  <si>
    <t>870000</t>
  </si>
  <si>
    <t>NOVÝ BOR</t>
  </si>
  <si>
    <t>Jižní Georgie a Jižní Sandwichovy ostrovy</t>
  </si>
  <si>
    <t>GS</t>
  </si>
  <si>
    <t>Ambulantní nebo terénní sociální služby</t>
  </si>
  <si>
    <t>880000</t>
  </si>
  <si>
    <t>SEMILY</t>
  </si>
  <si>
    <t>Jihosúdánská republika</t>
  </si>
  <si>
    <t>SS</t>
  </si>
  <si>
    <t>Těžba a dobývání j. n.</t>
  </si>
  <si>
    <t>089000</t>
  </si>
  <si>
    <t>TANVALD</t>
  </si>
  <si>
    <t>Jordánské hášimovské království</t>
  </si>
  <si>
    <t>JO</t>
  </si>
  <si>
    <t>Tvůrčí, umělecké a zábavní činnosti</t>
  </si>
  <si>
    <t>900000</t>
  </si>
  <si>
    <t>TURNOV</t>
  </si>
  <si>
    <t>Kajmanské ostrovy</t>
  </si>
  <si>
    <t>KY</t>
  </si>
  <si>
    <t>Činnosti knihoven, archivů, muzeí a jiných kulturních zařízení</t>
  </si>
  <si>
    <t>910000</t>
  </si>
  <si>
    <t>ŽELEZNÝ BROD</t>
  </si>
  <si>
    <t>Kambodžské království</t>
  </si>
  <si>
    <t>KH</t>
  </si>
  <si>
    <t>Podpůrné činnosti při těžbě ropy a zemního plynu</t>
  </si>
  <si>
    <t>091000</t>
  </si>
  <si>
    <t>HRADEC KRÁLOVÉ</t>
  </si>
  <si>
    <t>Kamerunská republika</t>
  </si>
  <si>
    <t>CM</t>
  </si>
  <si>
    <t>Činnosti heren, kasin a sázkových kanceláří</t>
  </si>
  <si>
    <t>920000</t>
  </si>
  <si>
    <t>BROUMOV</t>
  </si>
  <si>
    <t>Kanada</t>
  </si>
  <si>
    <t>CA</t>
  </si>
  <si>
    <t>Sportovní, zábavní a rekreační činnosti</t>
  </si>
  <si>
    <t>930000</t>
  </si>
  <si>
    <t>DOBRUŠKA</t>
  </si>
  <si>
    <t>Kapverdská republika</t>
  </si>
  <si>
    <t>CV</t>
  </si>
  <si>
    <t>Činnosti organizací sdružujících osoby za účelem prosazování spol.zájmů</t>
  </si>
  <si>
    <t>940000</t>
  </si>
  <si>
    <t>DVŮR KRÁLOVÉ</t>
  </si>
  <si>
    <t>Stát Katar</t>
  </si>
  <si>
    <t>QA</t>
  </si>
  <si>
    <t>Opravy počítačů a výrobků pro osobní potřebu a převážně pro domácnost</t>
  </si>
  <si>
    <t>950000</t>
  </si>
  <si>
    <t>HOŘICE</t>
  </si>
  <si>
    <t>Republika Kazachstán</t>
  </si>
  <si>
    <t>KZ</t>
  </si>
  <si>
    <t>Poskytování ostatních osobních služeb</t>
  </si>
  <si>
    <t>960000</t>
  </si>
  <si>
    <t>JAROMĚŘ</t>
  </si>
  <si>
    <t>Keňská republika</t>
  </si>
  <si>
    <t>KE</t>
  </si>
  <si>
    <t>Činnosti domácností jako zaměstnavatelů domácího personálu</t>
  </si>
  <si>
    <t>970000</t>
  </si>
  <si>
    <t>JIČÍN</t>
  </si>
  <si>
    <t>Republika Kiribati</t>
  </si>
  <si>
    <t>KI</t>
  </si>
  <si>
    <t>Činnosti domác.produk.blíže neurčené výrobky a služby pro vlast.potřebu</t>
  </si>
  <si>
    <t>980000</t>
  </si>
  <si>
    <t>KOSTELEC NAD ORLICÍ</t>
  </si>
  <si>
    <t>Území Kokosové (Keelingovy) ostrovy</t>
  </si>
  <si>
    <t>CC</t>
  </si>
  <si>
    <t>Činnosti exteritoriálních organizací a orgánů</t>
  </si>
  <si>
    <t>990000</t>
  </si>
  <si>
    <t>NÁCHOD</t>
  </si>
  <si>
    <t>Kolumbijská republika</t>
  </si>
  <si>
    <t>CO</t>
  </si>
  <si>
    <t>Podpůrné činnosti při ostatní těžbě a dobývání</t>
  </si>
  <si>
    <t>099000</t>
  </si>
  <si>
    <t>NOVÁ PAKA</t>
  </si>
  <si>
    <t>Komorský svaz</t>
  </si>
  <si>
    <t>KM</t>
  </si>
  <si>
    <t>Zpracování a konzervování masa a výroba masných výrobků</t>
  </si>
  <si>
    <t>101000</t>
  </si>
  <si>
    <t>NOVÝ BYDŽOV</t>
  </si>
  <si>
    <t>Konžská republika</t>
  </si>
  <si>
    <t>CG</t>
  </si>
  <si>
    <t>Zpracování a konzervování ryb, korýšů a měkkýšů</t>
  </si>
  <si>
    <t>102000</t>
  </si>
  <si>
    <t>RYCHNOV NAD KNĚŽ.</t>
  </si>
  <si>
    <t>Korejská lidově demokratická republika</t>
  </si>
  <si>
    <t>KP</t>
  </si>
  <si>
    <t>Zpracování a konzervování ovoce a zeleniny</t>
  </si>
  <si>
    <t>103000</t>
  </si>
  <si>
    <t>TRUTNOV</t>
  </si>
  <si>
    <t>Korejská republika</t>
  </si>
  <si>
    <t>KR</t>
  </si>
  <si>
    <t>Výroba rostlinných a živočišných olejů a tuků</t>
  </si>
  <si>
    <t>104000</t>
  </si>
  <si>
    <t>VRCHLABÍ</t>
  </si>
  <si>
    <t>Kosovská republika</t>
  </si>
  <si>
    <t>XK</t>
  </si>
  <si>
    <t>Výroba mléčných výrobků</t>
  </si>
  <si>
    <t>105000</t>
  </si>
  <si>
    <t>PARDUBICE</t>
  </si>
  <si>
    <t>Kostarická republika</t>
  </si>
  <si>
    <t>CR</t>
  </si>
  <si>
    <t>Výroba mlýnských a škrobárenských výrobků</t>
  </si>
  <si>
    <t>106000</t>
  </si>
  <si>
    <t>HLINSKO</t>
  </si>
  <si>
    <t>Kubánská republika</t>
  </si>
  <si>
    <t>CU</t>
  </si>
  <si>
    <t>Výroba pekařských, cukrářských a jiných moučných výrobků</t>
  </si>
  <si>
    <t>107000</t>
  </si>
  <si>
    <t>HOLICE</t>
  </si>
  <si>
    <t>Kuvajtský stát</t>
  </si>
  <si>
    <t>KW</t>
  </si>
  <si>
    <t>Výroba ostatních potravinářských výrobků</t>
  </si>
  <si>
    <t>108000</t>
  </si>
  <si>
    <t>CHRUDIM</t>
  </si>
  <si>
    <t>Kyperská republika</t>
  </si>
  <si>
    <t>CY</t>
  </si>
  <si>
    <t>Výroba průmyslových krmiv</t>
  </si>
  <si>
    <t>109000</t>
  </si>
  <si>
    <t>LITOMYŠL</t>
  </si>
  <si>
    <t>Kyrgyzská republika</t>
  </si>
  <si>
    <t>KG</t>
  </si>
  <si>
    <t>Pěstování obilovin (kromě rýže), luštěnin a olejnatých semen</t>
  </si>
  <si>
    <t>011100</t>
  </si>
  <si>
    <t>MORAVSKÁ TŘEBOVÁ</t>
  </si>
  <si>
    <t>Laoská lidově demokratická republika</t>
  </si>
  <si>
    <t>LA</t>
  </si>
  <si>
    <t>Pěstování rýže</t>
  </si>
  <si>
    <t>011200</t>
  </si>
  <si>
    <t>PŘELOUČ</t>
  </si>
  <si>
    <t>Lesothské království</t>
  </si>
  <si>
    <t>LS</t>
  </si>
  <si>
    <t>Pěstování zeleniny a melounů, kořenů a hlíz</t>
  </si>
  <si>
    <t>011300</t>
  </si>
  <si>
    <t>SVITAVY</t>
  </si>
  <si>
    <t>Libanonská republika</t>
  </si>
  <si>
    <t>LB</t>
  </si>
  <si>
    <t>Pěstování tabáku</t>
  </si>
  <si>
    <t>011500</t>
  </si>
  <si>
    <t>ÚSTÍ NAD ORLICÍ</t>
  </si>
  <si>
    <t>Liberijská republika</t>
  </si>
  <si>
    <t>LR</t>
  </si>
  <si>
    <t>Pěstování přadných rostlin</t>
  </si>
  <si>
    <t>011600</t>
  </si>
  <si>
    <t>VYSOKÉ MÝTO</t>
  </si>
  <si>
    <t>Libyjský stát</t>
  </si>
  <si>
    <t>LY</t>
  </si>
  <si>
    <t>Pěstování ostatních plodin jiných než trvalých</t>
  </si>
  <si>
    <t>011900</t>
  </si>
  <si>
    <t>ŽAMBERK</t>
  </si>
  <si>
    <t>Lichtenštejnské knížectví</t>
  </si>
  <si>
    <t>LI</t>
  </si>
  <si>
    <t>Pěstování vinných hroznů</t>
  </si>
  <si>
    <t>012100</t>
  </si>
  <si>
    <t>JIHLAVA</t>
  </si>
  <si>
    <t>Litevská republika</t>
  </si>
  <si>
    <t>LT</t>
  </si>
  <si>
    <t>Pěstování tropického a subtropického ovoce</t>
  </si>
  <si>
    <t>012200</t>
  </si>
  <si>
    <t>BYSTŘICE NAD PERN.</t>
  </si>
  <si>
    <t>Lotyšská republika</t>
  </si>
  <si>
    <t>LV</t>
  </si>
  <si>
    <t>Pěstování citrusových plodů</t>
  </si>
  <si>
    <t>012300</t>
  </si>
  <si>
    <t>HAVLÍČKŮV BROD</t>
  </si>
  <si>
    <t>Lucemburské velkovévodství</t>
  </si>
  <si>
    <t>LU</t>
  </si>
  <si>
    <t>Pěstování jádrového a peckového ovoce</t>
  </si>
  <si>
    <t>012400</t>
  </si>
  <si>
    <t>HUMPOLEC</t>
  </si>
  <si>
    <t>Zvláštní administrativní oblast Čínské lidové republiky Macao</t>
  </si>
  <si>
    <t>MO</t>
  </si>
  <si>
    <t>Pěstování ostatního stromového a keřového ovoce a ořechů</t>
  </si>
  <si>
    <t>012500</t>
  </si>
  <si>
    <t>CHOTĚBOŘ</t>
  </si>
  <si>
    <t>Madagaskarská republika</t>
  </si>
  <si>
    <t>MG</t>
  </si>
  <si>
    <t>Pěstování olejnatých plodů</t>
  </si>
  <si>
    <t>012600</t>
  </si>
  <si>
    <t>LEDEČ NAD SÁZAVOU</t>
  </si>
  <si>
    <t>Maďarsko</t>
  </si>
  <si>
    <t>HU</t>
  </si>
  <si>
    <t>Pěstování rostlin pro výrobu nápojů</t>
  </si>
  <si>
    <t>012700</t>
  </si>
  <si>
    <t>MORAVSKÉ BUDĚJOVICE</t>
  </si>
  <si>
    <t>Bývalá jugoslávská republika Makedonie</t>
  </si>
  <si>
    <t>MK</t>
  </si>
  <si>
    <t>Pěstování koření, aromatických, léčivých a farmaceutických rostlin</t>
  </si>
  <si>
    <t>012800</t>
  </si>
  <si>
    <t>NÁMĚŠŤ NAD OSLAVOU</t>
  </si>
  <si>
    <t>Malajsie</t>
  </si>
  <si>
    <t>MY</t>
  </si>
  <si>
    <t>Pěstování ostatních trvalých plodin</t>
  </si>
  <si>
    <t>012900</t>
  </si>
  <si>
    <t>PACOV</t>
  </si>
  <si>
    <t>Malawiská republika</t>
  </si>
  <si>
    <t>MW</t>
  </si>
  <si>
    <t>Úprava a spřádání textilních vláken a příze</t>
  </si>
  <si>
    <t>131000</t>
  </si>
  <si>
    <t>PELHŘIMOV</t>
  </si>
  <si>
    <t>Maledivská republika</t>
  </si>
  <si>
    <t>MV</t>
  </si>
  <si>
    <t>Tkaní textilií</t>
  </si>
  <si>
    <t>132000</t>
  </si>
  <si>
    <t>TELČ</t>
  </si>
  <si>
    <t>Republika Mali</t>
  </si>
  <si>
    <t>ML</t>
  </si>
  <si>
    <t>Konečná úprava textilií</t>
  </si>
  <si>
    <t>133000</t>
  </si>
  <si>
    <t>TŘEBÍČ</t>
  </si>
  <si>
    <t>Maltská republika</t>
  </si>
  <si>
    <t>MT</t>
  </si>
  <si>
    <t>Výroba ostatních textilií</t>
  </si>
  <si>
    <t>139000</t>
  </si>
  <si>
    <t>VELKÉ MEZIŘÍČÍ</t>
  </si>
  <si>
    <t>Ostrov Man</t>
  </si>
  <si>
    <t>IM</t>
  </si>
  <si>
    <t>Pěstování cukrové třtiny</t>
  </si>
  <si>
    <t>ŽĎÁR NAD SÁZAVOU</t>
  </si>
  <si>
    <t>Marocké království</t>
  </si>
  <si>
    <t>MA</t>
  </si>
  <si>
    <t>Výroba oděvů, kromě kožešinových výrobků</t>
  </si>
  <si>
    <t>141000</t>
  </si>
  <si>
    <t>BRNO I</t>
  </si>
  <si>
    <t>Republika Marshallovy ostrovy</t>
  </si>
  <si>
    <t>MH</t>
  </si>
  <si>
    <t>Chov mléčného skotu</t>
  </si>
  <si>
    <t>014100</t>
  </si>
  <si>
    <t>BRNO II</t>
  </si>
  <si>
    <t>Region Martinik</t>
  </si>
  <si>
    <t>MQ</t>
  </si>
  <si>
    <t>Výroba kožešinových výrobků</t>
  </si>
  <si>
    <t>142000</t>
  </si>
  <si>
    <t>BRNO III</t>
  </si>
  <si>
    <t>Mauricijská republika</t>
  </si>
  <si>
    <t>MU</t>
  </si>
  <si>
    <t>Chov jiného skotu</t>
  </si>
  <si>
    <t>014200</t>
  </si>
  <si>
    <t>BRNO IV</t>
  </si>
  <si>
    <t>Mauritánská islámská republika</t>
  </si>
  <si>
    <t>MR</t>
  </si>
  <si>
    <t>Výroba pletených a háčkovaných oděvů</t>
  </si>
  <si>
    <t>143000</t>
  </si>
  <si>
    <t>BRNO VENKOV</t>
  </si>
  <si>
    <t>Departementní společenství Mayotte</t>
  </si>
  <si>
    <t>YT</t>
  </si>
  <si>
    <t>Chov koní a jiných koňovitých</t>
  </si>
  <si>
    <t>014300</t>
  </si>
  <si>
    <t>BLANSKO</t>
  </si>
  <si>
    <t>Menší odlehlé ostrovy USA</t>
  </si>
  <si>
    <t>UM</t>
  </si>
  <si>
    <t>Chov velbloudů a velbloudovitých</t>
  </si>
  <si>
    <t>014400</t>
  </si>
  <si>
    <t>BOSKOVICE</t>
  </si>
  <si>
    <t>Spojené státy mexické</t>
  </si>
  <si>
    <t>MX</t>
  </si>
  <si>
    <t>Chov ovcí a koz</t>
  </si>
  <si>
    <t>014500</t>
  </si>
  <si>
    <t>BŘECLAV</t>
  </si>
  <si>
    <t>Federativní státy Mikronésie</t>
  </si>
  <si>
    <t>FM</t>
  </si>
  <si>
    <t>Chov prasat</t>
  </si>
  <si>
    <t>014600</t>
  </si>
  <si>
    <t>BUČOVICE</t>
  </si>
  <si>
    <t>Moldavská republika</t>
  </si>
  <si>
    <t>MD</t>
  </si>
  <si>
    <t>Chov drůbeže</t>
  </si>
  <si>
    <t>014700</t>
  </si>
  <si>
    <t>HODONÍN</t>
  </si>
  <si>
    <t>Monacké knížectví</t>
  </si>
  <si>
    <t>MC</t>
  </si>
  <si>
    <t>Chov ostatních zvířat</t>
  </si>
  <si>
    <t>014900</t>
  </si>
  <si>
    <t>HUSTOPEČE</t>
  </si>
  <si>
    <t>Mongolsko</t>
  </si>
  <si>
    <t>MN</t>
  </si>
  <si>
    <t>Činění a úprava usní (vyčiněných kůží); zpracování a barvení kožešin; výrob</t>
  </si>
  <si>
    <t>151000</t>
  </si>
  <si>
    <t>IVANČICE</t>
  </si>
  <si>
    <t>Montserrat</t>
  </si>
  <si>
    <t>MS</t>
  </si>
  <si>
    <t>Výroba obuvi</t>
  </si>
  <si>
    <t>152000</t>
  </si>
  <si>
    <t>KYJOV</t>
  </si>
  <si>
    <t>Mosambická republika</t>
  </si>
  <si>
    <t>MZ</t>
  </si>
  <si>
    <t>Výroba pilařská a impregnace dřeva</t>
  </si>
  <si>
    <t>161000</t>
  </si>
  <si>
    <t>MIKULOV</t>
  </si>
  <si>
    <t>Republika Myanmarský svaz</t>
  </si>
  <si>
    <t>MM</t>
  </si>
  <si>
    <t>Podpůrné činnosti pro rostlinnou výrobu</t>
  </si>
  <si>
    <t>016100</t>
  </si>
  <si>
    <t>MORAVSKÝ KRUMLOV</t>
  </si>
  <si>
    <t>Namibijská republika</t>
  </si>
  <si>
    <t>NA</t>
  </si>
  <si>
    <t>Výroba dřevěných,korkových,proutěných a slaměných výrobků,kromě nábytku</t>
  </si>
  <si>
    <t>162000</t>
  </si>
  <si>
    <t>SLAVKOV U BRNA</t>
  </si>
  <si>
    <t>Republika Nauru</t>
  </si>
  <si>
    <t>NR</t>
  </si>
  <si>
    <t>Podpůrné činnosti pro živočišnou výrobu</t>
  </si>
  <si>
    <t>016200</t>
  </si>
  <si>
    <t>TIŠNOV</t>
  </si>
  <si>
    <t>Spolková republika Německo</t>
  </si>
  <si>
    <t>DE</t>
  </si>
  <si>
    <t>Posklizňové činnosti</t>
  </si>
  <si>
    <t>016300</t>
  </si>
  <si>
    <t>VESELÍ NAD MORAVOU</t>
  </si>
  <si>
    <t>Nepálská federativní demokratická republika</t>
  </si>
  <si>
    <t>NP</t>
  </si>
  <si>
    <t>Zpracování osiva pro účely množení</t>
  </si>
  <si>
    <t>016400</t>
  </si>
  <si>
    <t>VYŠKOV</t>
  </si>
  <si>
    <t>Nigerská republika</t>
  </si>
  <si>
    <t>NE</t>
  </si>
  <si>
    <t>Výroba buničiny, papíru a lepenky</t>
  </si>
  <si>
    <t>171000</t>
  </si>
  <si>
    <t>ZNOJMO</t>
  </si>
  <si>
    <t>Nigerijská federativní republika</t>
  </si>
  <si>
    <t>NG</t>
  </si>
  <si>
    <t>Výroba výrobků z papíru a lepenky</t>
  </si>
  <si>
    <t>172000</t>
  </si>
  <si>
    <t>OLOMOUC</t>
  </si>
  <si>
    <t>Nikaragujská republika</t>
  </si>
  <si>
    <t>NI</t>
  </si>
  <si>
    <t>Tisk a činnosti související s tiskem</t>
  </si>
  <si>
    <t>181000</t>
  </si>
  <si>
    <t>HRANICE</t>
  </si>
  <si>
    <t>Niue</t>
  </si>
  <si>
    <t>NU</t>
  </si>
  <si>
    <t>Rozmnožování nahraných nosičů</t>
  </si>
  <si>
    <t>182000</t>
  </si>
  <si>
    <t>JESENÍK</t>
  </si>
  <si>
    <t>Nizozemsko</t>
  </si>
  <si>
    <t>NL</t>
  </si>
  <si>
    <t>Výroba koksárenských produktů</t>
  </si>
  <si>
    <t>191000</t>
  </si>
  <si>
    <t>KONICE</t>
  </si>
  <si>
    <t>Území Norfolk</t>
  </si>
  <si>
    <t>NF</t>
  </si>
  <si>
    <t>Výroba rafinovaných ropných produktů</t>
  </si>
  <si>
    <t>192000</t>
  </si>
  <si>
    <t>LITOVEL</t>
  </si>
  <si>
    <t>Norské království</t>
  </si>
  <si>
    <t>NO</t>
  </si>
  <si>
    <t>Výroba zákl.chem.látek,hnojiv a dusík.sl.,plastů a synt.kaučuku v prim.f.</t>
  </si>
  <si>
    <t>201000</t>
  </si>
  <si>
    <t>PROSTĚJOV</t>
  </si>
  <si>
    <t>Nová Kaledonie</t>
  </si>
  <si>
    <t>NC</t>
  </si>
  <si>
    <t>Výroba pesticidů a jiných agrochemických přípravků</t>
  </si>
  <si>
    <t>202000</t>
  </si>
  <si>
    <t>PŘEROV</t>
  </si>
  <si>
    <t>Nový Zéland</t>
  </si>
  <si>
    <t>NZ</t>
  </si>
  <si>
    <t>Výroba nátěr.barev,laků a jiných nátěrových mater.,tisk.barev a tmelů</t>
  </si>
  <si>
    <t>203000</t>
  </si>
  <si>
    <t>ŠTERNBERK</t>
  </si>
  <si>
    <t>Sultanát Omán</t>
  </si>
  <si>
    <t>OM</t>
  </si>
  <si>
    <t>Výroba mýdel a detergentů,čist.a lešticích prostř.,parfémů a toal. přípr.</t>
  </si>
  <si>
    <t>204000</t>
  </si>
  <si>
    <t>ŠUMPERK</t>
  </si>
  <si>
    <t>Pákistánská islámská republika</t>
  </si>
  <si>
    <t>PK</t>
  </si>
  <si>
    <t>Výroba ostatních chemických výrobků</t>
  </si>
  <si>
    <t>205000</t>
  </si>
  <si>
    <t>ZÁBŘEH</t>
  </si>
  <si>
    <t>Republika Palau</t>
  </si>
  <si>
    <t>PW</t>
  </si>
  <si>
    <t>Výroba chemických vláken</t>
  </si>
  <si>
    <t>206000</t>
  </si>
  <si>
    <t>OSTRAVA I</t>
  </si>
  <si>
    <t>Palestinská autonomní území</t>
  </si>
  <si>
    <t>PS</t>
  </si>
  <si>
    <t>Výroba základních farmaceutických výrobků</t>
  </si>
  <si>
    <t>211000</t>
  </si>
  <si>
    <t>OSTRAVA II</t>
  </si>
  <si>
    <t>Panamská republika</t>
  </si>
  <si>
    <t>PA</t>
  </si>
  <si>
    <t>Výroba farmaceutických přípravků</t>
  </si>
  <si>
    <t>212000</t>
  </si>
  <si>
    <t>OSTRAVA III</t>
  </si>
  <si>
    <t>Nezávislý stát Papua Nová Guinea</t>
  </si>
  <si>
    <t>PG</t>
  </si>
  <si>
    <t>Výroba pryžových výrobků</t>
  </si>
  <si>
    <t>221000</t>
  </si>
  <si>
    <t>BOHUMÍN</t>
  </si>
  <si>
    <t>Paraguayská republika</t>
  </si>
  <si>
    <t>PY</t>
  </si>
  <si>
    <t>Výroba plastových výrobků</t>
  </si>
  <si>
    <t>222000</t>
  </si>
  <si>
    <t>BRUNTÁL</t>
  </si>
  <si>
    <t>Peruánská republika</t>
  </si>
  <si>
    <t>PE</t>
  </si>
  <si>
    <t>Výroba skla a skleněných výrobků</t>
  </si>
  <si>
    <t>231000</t>
  </si>
  <si>
    <t>ČESKÝ TĚŠÍN</t>
  </si>
  <si>
    <t>Pitcairnovy ostrovy</t>
  </si>
  <si>
    <t>PN</t>
  </si>
  <si>
    <t>Výroba žáruvzdorných výrobků</t>
  </si>
  <si>
    <t>232000</t>
  </si>
  <si>
    <t>FRÝDEK-MÍSTEK</t>
  </si>
  <si>
    <t>Republika Pobřeží slonoviny</t>
  </si>
  <si>
    <t>CI</t>
  </si>
  <si>
    <t>Výroba stavebních výrobků z jílovitých materiálů</t>
  </si>
  <si>
    <t>233000</t>
  </si>
  <si>
    <t>FRÝDLANT NAD OSTRAV.</t>
  </si>
  <si>
    <t>Polská republika</t>
  </si>
  <si>
    <t>PL</t>
  </si>
  <si>
    <t>Výroba ostatních porcelánových a keramických výrobků</t>
  </si>
  <si>
    <t>234000</t>
  </si>
  <si>
    <t>FULNEK</t>
  </si>
  <si>
    <t>Portorické společenství</t>
  </si>
  <si>
    <t>PR</t>
  </si>
  <si>
    <t>Výroba cementu, vápna a sádry</t>
  </si>
  <si>
    <t>235000</t>
  </si>
  <si>
    <t>HAVÍŘOV</t>
  </si>
  <si>
    <t>Portugalská republika</t>
  </si>
  <si>
    <t>PT</t>
  </si>
  <si>
    <t>Výroba betonových, cementových a sádrových výrobků</t>
  </si>
  <si>
    <t>236000</t>
  </si>
  <si>
    <t>HLUČÍN</t>
  </si>
  <si>
    <t>Rakouská republika</t>
  </si>
  <si>
    <t>AT</t>
  </si>
  <si>
    <t>Řezání, tvarování a konečná úprava kamenů</t>
  </si>
  <si>
    <t>237000</t>
  </si>
  <si>
    <t>KARVINÁ</t>
  </si>
  <si>
    <t>Region Réunion</t>
  </si>
  <si>
    <t>RE</t>
  </si>
  <si>
    <t>Výroba brusiv a ostatních nekovových minerálních výrobků j. n.</t>
  </si>
  <si>
    <t>239000</t>
  </si>
  <si>
    <t>KOPŘIVNICE</t>
  </si>
  <si>
    <t>Republika Rovníková Guinea</t>
  </si>
  <si>
    <t>GQ</t>
  </si>
  <si>
    <t>Výroba sur.železa,oceli a feroslitin,ploch.výr.,tváření výrobků za tepla</t>
  </si>
  <si>
    <t>241000</t>
  </si>
  <si>
    <t>KRNOV</t>
  </si>
  <si>
    <t>Rumunsko</t>
  </si>
  <si>
    <t>RO</t>
  </si>
  <si>
    <t>Výroba ocelových trub,trubek,dutých profilů a souvis.potrubních tvarovek</t>
  </si>
  <si>
    <t>242000</t>
  </si>
  <si>
    <t>NOVÝ JIČÍN</t>
  </si>
  <si>
    <t>Ruská federace</t>
  </si>
  <si>
    <t>RU</t>
  </si>
  <si>
    <t>Výroba ostatních výrobků získaných jednostupňovým zpracováním oceli</t>
  </si>
  <si>
    <t>243000</t>
  </si>
  <si>
    <t>OPAVA</t>
  </si>
  <si>
    <t>Rwandská republika</t>
  </si>
  <si>
    <t>RW</t>
  </si>
  <si>
    <t>Výroba a hutní zpracování drahých a neželezných kovů</t>
  </si>
  <si>
    <t>244000</t>
  </si>
  <si>
    <t>ORLOVÁ</t>
  </si>
  <si>
    <t>Řecká republika</t>
  </si>
  <si>
    <t>GR</t>
  </si>
  <si>
    <t>Slévárenství</t>
  </si>
  <si>
    <t>245000</t>
  </si>
  <si>
    <t>TŘINEC</t>
  </si>
  <si>
    <t>Územní společenství Saint Pierre a Miquelon</t>
  </si>
  <si>
    <t>PM</t>
  </si>
  <si>
    <t>Výroba konstrukčních kovových výrobků</t>
  </si>
  <si>
    <t>251000</t>
  </si>
  <si>
    <t>ZLÍN</t>
  </si>
  <si>
    <t>Salvadorská republika</t>
  </si>
  <si>
    <t>SV</t>
  </si>
  <si>
    <t>Výroba radiátorů a kotlů k ústřednímu topení, kovových nádrží a zásobníků</t>
  </si>
  <si>
    <t>252000</t>
  </si>
  <si>
    <t>BYSTŘICE POD HOSTÝNEM</t>
  </si>
  <si>
    <t>Nezávislý stát Samoa</t>
  </si>
  <si>
    <t>WS</t>
  </si>
  <si>
    <t>Výroba parních kotlů, kromě kotlů pro ústřední topení</t>
  </si>
  <si>
    <t>253000</t>
  </si>
  <si>
    <t>HOLEŠOV</t>
  </si>
  <si>
    <t>Republika San Marino</t>
  </si>
  <si>
    <t>SM</t>
  </si>
  <si>
    <t>Výroba zbraní a střeliva</t>
  </si>
  <si>
    <t>254000</t>
  </si>
  <si>
    <t>KROMĚŘÍŽ</t>
  </si>
  <si>
    <t>Království Saúdská Arábie</t>
  </si>
  <si>
    <t>SA</t>
  </si>
  <si>
    <t>Kování,lisování,ražení,válcování a protlačování kovů;prášková metalurgie</t>
  </si>
  <si>
    <t>255000</t>
  </si>
  <si>
    <t>LUHAČOVICE</t>
  </si>
  <si>
    <t>Senegalská republika</t>
  </si>
  <si>
    <t>SN</t>
  </si>
  <si>
    <t>Povrchová úprava a zušlechťování kovů; obrábění</t>
  </si>
  <si>
    <t>256000</t>
  </si>
  <si>
    <t>OTROKOVICE</t>
  </si>
  <si>
    <t>Společenství Severní Mariany</t>
  </si>
  <si>
    <t>MP</t>
  </si>
  <si>
    <t>Výroba nožířských výrobků, nástrojů a železářských výrobků</t>
  </si>
  <si>
    <t>257000</t>
  </si>
  <si>
    <t>ROŽNOV POD RADH.</t>
  </si>
  <si>
    <t>Seychelská republika</t>
  </si>
  <si>
    <t>SC</t>
  </si>
  <si>
    <t>Výroba ostatních kovodělných výrobků</t>
  </si>
  <si>
    <t>259000</t>
  </si>
  <si>
    <t>UHERSKÝ BROD</t>
  </si>
  <si>
    <t>Republika Sierra Leone</t>
  </si>
  <si>
    <t>SL</t>
  </si>
  <si>
    <t>Výroba elektronických součástek a desek</t>
  </si>
  <si>
    <t>261000</t>
  </si>
  <si>
    <t>UHERSKÉ HRADIŠTĚ</t>
  </si>
  <si>
    <t>Singapurská republika</t>
  </si>
  <si>
    <t>SG</t>
  </si>
  <si>
    <t>Výroba počítačů a periferních zařízení</t>
  </si>
  <si>
    <t>262000</t>
  </si>
  <si>
    <t>VALAŠSKÉ MEZIŘÍČÍ</t>
  </si>
  <si>
    <t>Slovenská republika</t>
  </si>
  <si>
    <t>SK</t>
  </si>
  <si>
    <t>Výroba komunikačních zařízení</t>
  </si>
  <si>
    <t>263000</t>
  </si>
  <si>
    <t>VALAŠSKÉ KLOBOUKY</t>
  </si>
  <si>
    <t>Slovinská republika</t>
  </si>
  <si>
    <t>SI</t>
  </si>
  <si>
    <t>Výroba spotřební elektroniky</t>
  </si>
  <si>
    <t>264000</t>
  </si>
  <si>
    <t>VSETÍN</t>
  </si>
  <si>
    <t>Somálská federativní republika</t>
  </si>
  <si>
    <t>SO</t>
  </si>
  <si>
    <t>Výroba měřicích,zkušebních a navigačních přístrojů;výroba časoměr.přístrojů</t>
  </si>
  <si>
    <t>265000</t>
  </si>
  <si>
    <t>Stát Spojené arabské emiráty</t>
  </si>
  <si>
    <t>AE</t>
  </si>
  <si>
    <t>Výroba ozařovacích, elektroléčebných a elektroterapeutických přístrojů</t>
  </si>
  <si>
    <t>266000</t>
  </si>
  <si>
    <t>Spojené státy americké</t>
  </si>
  <si>
    <t>US</t>
  </si>
  <si>
    <t>Výroba optických a fotografických přístrojů a zařízení</t>
  </si>
  <si>
    <t>267000</t>
  </si>
  <si>
    <t>Srbská republika</t>
  </si>
  <si>
    <t>RS</t>
  </si>
  <si>
    <t>Výroba magnetických a optických médií</t>
  </si>
  <si>
    <t>268000</t>
  </si>
  <si>
    <t>Středoafrická republika</t>
  </si>
  <si>
    <t>CF</t>
  </si>
  <si>
    <t>Výroba elektr.motorů,generátorů,transformátorů a elektr.rozvod.a kontrol.z.</t>
  </si>
  <si>
    <t>271000</t>
  </si>
  <si>
    <t>Súdánská republika</t>
  </si>
  <si>
    <t>SD</t>
  </si>
  <si>
    <t>Výroba baterií a akumulátorů</t>
  </si>
  <si>
    <t>272000</t>
  </si>
  <si>
    <t>Surinamská republika</t>
  </si>
  <si>
    <t>SR</t>
  </si>
  <si>
    <t>Výroba optických a elektr.kabelů,elektr.vodičů a elektroinstal.zařízení</t>
  </si>
  <si>
    <t>273000</t>
  </si>
  <si>
    <t>Svatá Helena, Ascension a Tristan da Cunha</t>
  </si>
  <si>
    <t>SH</t>
  </si>
  <si>
    <t>Výroba elektrických osvětlovacích zařízení</t>
  </si>
  <si>
    <t>274000</t>
  </si>
  <si>
    <t>Svatá Lucie</t>
  </si>
  <si>
    <t>LC</t>
  </si>
  <si>
    <t>Výroba spotřebičů převážně pro domácnost</t>
  </si>
  <si>
    <t>275000</t>
  </si>
  <si>
    <t>Společenství Svatý Bartoloměj</t>
  </si>
  <si>
    <t>BL</t>
  </si>
  <si>
    <t>Výroba ostatních elektrických zařízení</t>
  </si>
  <si>
    <t>279000</t>
  </si>
  <si>
    <t>Federace Svatý Kryštof a Nevis</t>
  </si>
  <si>
    <t>KN</t>
  </si>
  <si>
    <t>Výroba strojů a zařízení pro všeobecné účely</t>
  </si>
  <si>
    <t>281000</t>
  </si>
  <si>
    <t>Společenství Svatý Martin</t>
  </si>
  <si>
    <t>MF</t>
  </si>
  <si>
    <t>Výroba ostatních strojů a zařízení pro všeobecné účely</t>
  </si>
  <si>
    <t>282000</t>
  </si>
  <si>
    <t>Svatý Martin (NL)</t>
  </si>
  <si>
    <t>SX</t>
  </si>
  <si>
    <t>Výroba zemědělských a lesnických strojů</t>
  </si>
  <si>
    <t>283000</t>
  </si>
  <si>
    <t>Demokratická republika Svatý Tomáš a Princův ostrov</t>
  </si>
  <si>
    <t>ST</t>
  </si>
  <si>
    <t>Výroba kovoobráběcích a ostatních obráběcích strojů</t>
  </si>
  <si>
    <t>284000</t>
  </si>
  <si>
    <t>Svatý Vincenc a Grenadiny</t>
  </si>
  <si>
    <t>VC</t>
  </si>
  <si>
    <t>Výroba ostatních strojů pro speciální účely</t>
  </si>
  <si>
    <t>289000</t>
  </si>
  <si>
    <t>Svazijské království</t>
  </si>
  <si>
    <t>SZ</t>
  </si>
  <si>
    <t>Výroba motorových vozidel a jejich motorů</t>
  </si>
  <si>
    <t>291000</t>
  </si>
  <si>
    <t>Syrská arabská republika</t>
  </si>
  <si>
    <t>SY</t>
  </si>
  <si>
    <t>Výroba karoserií motorových vozidel; výroba přívěsů a návěsů</t>
  </si>
  <si>
    <t>292000</t>
  </si>
  <si>
    <t>Šalomounovy ostrovy</t>
  </si>
  <si>
    <t>SB</t>
  </si>
  <si>
    <t>Výroba dílů a příslušenství pro motorová vozidla a jejich motory</t>
  </si>
  <si>
    <t>293000</t>
  </si>
  <si>
    <t>Španělské království</t>
  </si>
  <si>
    <t>ES</t>
  </si>
  <si>
    <t>Stavba lodí a člunů</t>
  </si>
  <si>
    <t>301000</t>
  </si>
  <si>
    <t>Špicberky a Jan Mayen</t>
  </si>
  <si>
    <t>SJ</t>
  </si>
  <si>
    <t>Výroba železničních lokomotiv a vozového parku</t>
  </si>
  <si>
    <t>302000</t>
  </si>
  <si>
    <t>Šrílanská demokratická socialistická republika</t>
  </si>
  <si>
    <t>LK</t>
  </si>
  <si>
    <t>Výroba letadel a jejich motorů,kosmických lodí a souvisejících zařízení</t>
  </si>
  <si>
    <t>303000</t>
  </si>
  <si>
    <t>Švédské království</t>
  </si>
  <si>
    <t>SE</t>
  </si>
  <si>
    <t>Výroba vojenských bojových vozidel</t>
  </si>
  <si>
    <t>304000</t>
  </si>
  <si>
    <t>Švýcarská konfederace</t>
  </si>
  <si>
    <t>CH</t>
  </si>
  <si>
    <t>Výroba dopravních prostředků a zařízení j. n.</t>
  </si>
  <si>
    <t>309000</t>
  </si>
  <si>
    <t>Republika Tádžikistán</t>
  </si>
  <si>
    <t>TJ</t>
  </si>
  <si>
    <t>Mořský rybolov</t>
  </si>
  <si>
    <t>031100</t>
  </si>
  <si>
    <t>Tanzanská sjednocená republika</t>
  </si>
  <si>
    <t>TZ</t>
  </si>
  <si>
    <t>Sladkovodní rybolov</t>
  </si>
  <si>
    <t>031200</t>
  </si>
  <si>
    <t>Thajské království</t>
  </si>
  <si>
    <t>TH</t>
  </si>
  <si>
    <t>Výroba klenotů, bižuterie a příbuzných výrobků</t>
  </si>
  <si>
    <t>321000</t>
  </si>
  <si>
    <t>Čínská republika (Tchaj-wan)</t>
  </si>
  <si>
    <t>TW</t>
  </si>
  <si>
    <t>Mořská akvakultura</t>
  </si>
  <si>
    <t>032100</t>
  </si>
  <si>
    <t>Tožská republika</t>
  </si>
  <si>
    <t>TG</t>
  </si>
  <si>
    <t>Výroba hudebních nástrojů</t>
  </si>
  <si>
    <t>322000</t>
  </si>
  <si>
    <t>Tokelau</t>
  </si>
  <si>
    <t>TK</t>
  </si>
  <si>
    <t>Sladkovodní akvakultura</t>
  </si>
  <si>
    <t>032200</t>
  </si>
  <si>
    <t>Království Tonga</t>
  </si>
  <si>
    <t>TO</t>
  </si>
  <si>
    <t>Výroba sportovních potřeb</t>
  </si>
  <si>
    <t>323000</t>
  </si>
  <si>
    <t>Republika Trinidad a Tobago</t>
  </si>
  <si>
    <t>TT</t>
  </si>
  <si>
    <t>Výroba her a hraček</t>
  </si>
  <si>
    <t>324000</t>
  </si>
  <si>
    <t>Tuniská republika</t>
  </si>
  <si>
    <t>TN</t>
  </si>
  <si>
    <t>Výroba lékařských a dentálních nástrojů a potřeb</t>
  </si>
  <si>
    <t>325000</t>
  </si>
  <si>
    <t>Turecká republika</t>
  </si>
  <si>
    <t>TR</t>
  </si>
  <si>
    <t>Zpracovatelský průmysl j. n.</t>
  </si>
  <si>
    <t>329000</t>
  </si>
  <si>
    <t>Turkmenistán</t>
  </si>
  <si>
    <t>TM</t>
  </si>
  <si>
    <t>Opravy kovodělných výrobků, strojů a zařízení</t>
  </si>
  <si>
    <t>331000</t>
  </si>
  <si>
    <t>Ostrovy Turks a Caicos</t>
  </si>
  <si>
    <t>TC</t>
  </si>
  <si>
    <t>Instalace průmyslových strojů a zařízení</t>
  </si>
  <si>
    <t>332000</t>
  </si>
  <si>
    <t>Tuvalu</t>
  </si>
  <si>
    <t>TV</t>
  </si>
  <si>
    <t>Výroba, přenos a rozvod elektřiny</t>
  </si>
  <si>
    <t>351000</t>
  </si>
  <si>
    <t>Ugandská republika</t>
  </si>
  <si>
    <t>UG</t>
  </si>
  <si>
    <t>Výroba plynu; rozvod plynných paliv prostřednictvím sítí</t>
  </si>
  <si>
    <t>352000</t>
  </si>
  <si>
    <t>Ukrajina</t>
  </si>
  <si>
    <t>UA</t>
  </si>
  <si>
    <t>Výroba a rozvod tepla a klimatizovaného vzduchu, výroba ledu</t>
  </si>
  <si>
    <t>353000</t>
  </si>
  <si>
    <t>Uruguayská východní republika</t>
  </si>
  <si>
    <t>UY</t>
  </si>
  <si>
    <t>Shromažďování a sběr odpadů</t>
  </si>
  <si>
    <t>381000</t>
  </si>
  <si>
    <t>Republika Uzbekistán</t>
  </si>
  <si>
    <t>UZ</t>
  </si>
  <si>
    <t>Odstraňování odpadů</t>
  </si>
  <si>
    <t>382000</t>
  </si>
  <si>
    <t>Území Vánoční ostrov</t>
  </si>
  <si>
    <t>CX</t>
  </si>
  <si>
    <t>Úprava odpadů k dalšímu využití</t>
  </si>
  <si>
    <t>383000</t>
  </si>
  <si>
    <t>Republika Vanuatu</t>
  </si>
  <si>
    <t>VU</t>
  </si>
  <si>
    <t>Developerská činnost</t>
  </si>
  <si>
    <t>411000</t>
  </si>
  <si>
    <t>Vatikánský městský stát</t>
  </si>
  <si>
    <t>VA</t>
  </si>
  <si>
    <t>Výstavba bytových a nebytových budov</t>
  </si>
  <si>
    <t>412000</t>
  </si>
  <si>
    <t>Spojené království Velké Británie a Severního Irska</t>
  </si>
  <si>
    <t>GB</t>
  </si>
  <si>
    <t>Výstavba silnic a železnic</t>
  </si>
  <si>
    <t>421000</t>
  </si>
  <si>
    <t>Bolívarovská republika Venezuela</t>
  </si>
  <si>
    <t>VE</t>
  </si>
  <si>
    <t>Výstavba inženýrských sítí</t>
  </si>
  <si>
    <t>422000</t>
  </si>
  <si>
    <t>Vietnamská socialistická republika</t>
  </si>
  <si>
    <t>VN</t>
  </si>
  <si>
    <t>Výstavba ostatních staveb</t>
  </si>
  <si>
    <t>429000</t>
  </si>
  <si>
    <t>Demokratická republika Východní Timor</t>
  </si>
  <si>
    <t>TL</t>
  </si>
  <si>
    <t>Demolice a příprava staveniště</t>
  </si>
  <si>
    <t>431000</t>
  </si>
  <si>
    <t>Teritorium Wallisovy ostrovy a Futuna</t>
  </si>
  <si>
    <t>WF</t>
  </si>
  <si>
    <t>Elektroinstalační, instalatérské a ostatní stavebně instalační práce</t>
  </si>
  <si>
    <t>432000</t>
  </si>
  <si>
    <t>Zambijská republika</t>
  </si>
  <si>
    <t>ZM</t>
  </si>
  <si>
    <t>Kompletační a dokončovací práce</t>
  </si>
  <si>
    <t>433000</t>
  </si>
  <si>
    <t>Saharská arabská demokratická republika</t>
  </si>
  <si>
    <t>EH</t>
  </si>
  <si>
    <t>Ostatní specializované stavební činnosti</t>
  </si>
  <si>
    <t>439000</t>
  </si>
  <si>
    <t>Zimbabwská republika</t>
  </si>
  <si>
    <t>ZW</t>
  </si>
  <si>
    <t>Obchod s motorovými vozidly, kromě motocyklů</t>
  </si>
  <si>
    <t>451000</t>
  </si>
  <si>
    <t>Opravy a údržba motorových vozidel, kromě motocyklů</t>
  </si>
  <si>
    <t>452000</t>
  </si>
  <si>
    <t>Obchod s díly a příslušenstvím pro motorová vozidla, kromě motocyklů</t>
  </si>
  <si>
    <t>453000</t>
  </si>
  <si>
    <t>Obchod, opravy a údržba motocyklů, jejich dílů a příslušenství</t>
  </si>
  <si>
    <t>454000</t>
  </si>
  <si>
    <t>Zprostředkování velkoobchodu a velkoobchod v zastoupení</t>
  </si>
  <si>
    <t>461000</t>
  </si>
  <si>
    <t>Velkoobchod se základními zemědělskými produkty a živými zvířaty</t>
  </si>
  <si>
    <t>462000</t>
  </si>
  <si>
    <t>Velkoobchod s potravinami, nápoji a tabákovými výrobky</t>
  </si>
  <si>
    <t>463000</t>
  </si>
  <si>
    <t>Velkoobchod s výrobky převážně pro domácnost</t>
  </si>
  <si>
    <t>464000</t>
  </si>
  <si>
    <t>Velkoobchod s počítačovým a komunikačním zařízením</t>
  </si>
  <si>
    <t>465000</t>
  </si>
  <si>
    <t>Velkoobchod s ostatními stroji, strojním zařízením a příslušenstvím</t>
  </si>
  <si>
    <t>466000</t>
  </si>
  <si>
    <t>Ostatní specializovaný velkoobchod</t>
  </si>
  <si>
    <t>467000</t>
  </si>
  <si>
    <t>Nespecializovaný velkoobchod</t>
  </si>
  <si>
    <t>469000</t>
  </si>
  <si>
    <t>Maloobchod v nespecializovaných prodejnách</t>
  </si>
  <si>
    <t>471000</t>
  </si>
  <si>
    <t>Maloobchod s potravinami,nápoji a tabák.výrobky ve specializ.prodejnách</t>
  </si>
  <si>
    <t>472000</t>
  </si>
  <si>
    <t>Maloobchod s pohonnými hmotami ve specializovaných prodejnách</t>
  </si>
  <si>
    <t>473000</t>
  </si>
  <si>
    <t>Maloobchod s počítačovým a komunikačním zařízením ve specializ.prodejnách</t>
  </si>
  <si>
    <t>474000</t>
  </si>
  <si>
    <t>Maloobchod s ost.výrobky převážně pro domácnost ve specializ.prodejnách</t>
  </si>
  <si>
    <t>475000</t>
  </si>
  <si>
    <t>Maloobchod s výrobky pro kulturní rozhled a rekreaci ve specializ.prod.</t>
  </si>
  <si>
    <t>476000</t>
  </si>
  <si>
    <t>Maloobchod s ostatním zbožím ve specializovaných prodejnách</t>
  </si>
  <si>
    <t>477000</t>
  </si>
  <si>
    <t>Maloobchod ve stáncích a na trzích</t>
  </si>
  <si>
    <t>478000</t>
  </si>
  <si>
    <t>Maloobchod mimo prodejny, stánky a trhy</t>
  </si>
  <si>
    <t>479000</t>
  </si>
  <si>
    <t>železniční osobní doprava meziměstská</t>
  </si>
  <si>
    <t>491000</t>
  </si>
  <si>
    <t>železniční nákladní doprava</t>
  </si>
  <si>
    <t>492000</t>
  </si>
  <si>
    <t>Ostatní pozemní osobní doprava</t>
  </si>
  <si>
    <t>493000</t>
  </si>
  <si>
    <t>Silniční nákladní doprava a stěhovací služby</t>
  </si>
  <si>
    <t>494000</t>
  </si>
  <si>
    <t>Potrubní doprava</t>
  </si>
  <si>
    <t>495000</t>
  </si>
  <si>
    <t>Námořní a pobřežní osobní doprava</t>
  </si>
  <si>
    <t>501000</t>
  </si>
  <si>
    <t>Námořní a pobřežní nákladní doprava</t>
  </si>
  <si>
    <t>502000</t>
  </si>
  <si>
    <t>Vnitrozemská vodní osobní doprava</t>
  </si>
  <si>
    <t>503000</t>
  </si>
  <si>
    <t>Vnitrozemská vodní nákladní doprava</t>
  </si>
  <si>
    <t>504000</t>
  </si>
  <si>
    <t>Letecká osobní doprava</t>
  </si>
  <si>
    <t>511000</t>
  </si>
  <si>
    <t>Letecká nákladní doprava a kosmická doprava</t>
  </si>
  <si>
    <t>512000</t>
  </si>
  <si>
    <t>Skladování</t>
  </si>
  <si>
    <t>521000</t>
  </si>
  <si>
    <t>Vedlejší činnosti v dopravě</t>
  </si>
  <si>
    <t>522000</t>
  </si>
  <si>
    <t>Základní poštovní služby poskytované na základě poštovní licence</t>
  </si>
  <si>
    <t>531000</t>
  </si>
  <si>
    <t>Ostatní poštovní a kurýrní činnosti</t>
  </si>
  <si>
    <t>532000</t>
  </si>
  <si>
    <t>Ubytování v hotelích a podobných ubytovacích zařízeních</t>
  </si>
  <si>
    <t>551000</t>
  </si>
  <si>
    <t>Rekreační a ostatní krátkodobé ubytování</t>
  </si>
  <si>
    <t>552000</t>
  </si>
  <si>
    <t>Kempy a tábořiště</t>
  </si>
  <si>
    <t>553000</t>
  </si>
  <si>
    <t>Ostatní ubytování</t>
  </si>
  <si>
    <t>559000</t>
  </si>
  <si>
    <t>Stravování v restauracích, u stánků a v mobilních zařízeních</t>
  </si>
  <si>
    <t>561000</t>
  </si>
  <si>
    <t>Poskytování cateringových a ostatních stravovacích služeb</t>
  </si>
  <si>
    <t>562000</t>
  </si>
  <si>
    <t>Pohostinství</t>
  </si>
  <si>
    <t>563000</t>
  </si>
  <si>
    <t>Vydávání knih, periodických publikací a ostatní vydavatelské činnosti</t>
  </si>
  <si>
    <t>581000</t>
  </si>
  <si>
    <t>Vydávání softwaru</t>
  </si>
  <si>
    <t>582000</t>
  </si>
  <si>
    <t>Činnosti v oblasti filmů, videozáznamů a televizních programů</t>
  </si>
  <si>
    <t>591000</t>
  </si>
  <si>
    <t>Pořizování zvukových nahrávek a hudební vydavatelské činnosti</t>
  </si>
  <si>
    <t>592000</t>
  </si>
  <si>
    <t>Rozhlasové vysílání</t>
  </si>
  <si>
    <t>601000</t>
  </si>
  <si>
    <t>Tvorba televizních programů a televizní vysílání</t>
  </si>
  <si>
    <t>602000</t>
  </si>
  <si>
    <t>Činnosti související s pevnou telekomunikační sítí</t>
  </si>
  <si>
    <t>611000</t>
  </si>
  <si>
    <t>Činnosti související s bezdrátovou telekomunikační sítí</t>
  </si>
  <si>
    <t>612000</t>
  </si>
  <si>
    <t>Činnosti související se satelitní telekomunikační sítí</t>
  </si>
  <si>
    <t>613000</t>
  </si>
  <si>
    <t>Ostatní telekomunikační činnosti</t>
  </si>
  <si>
    <t>619000</t>
  </si>
  <si>
    <t>Činnosti souvis.se zprac.dat a hostingem;činnosti souvis.s web.portály</t>
  </si>
  <si>
    <t>631000</t>
  </si>
  <si>
    <t>Ostatní informační činnosti</t>
  </si>
  <si>
    <t>639000</t>
  </si>
  <si>
    <t>Peněžní zprostředkování</t>
  </si>
  <si>
    <t>641000</t>
  </si>
  <si>
    <t>Činnosti holdingových společností</t>
  </si>
  <si>
    <t>642000</t>
  </si>
  <si>
    <t>Činnosti trustů, fondů a podobných finančních subjektů</t>
  </si>
  <si>
    <t>643000</t>
  </si>
  <si>
    <t>Ostatní finanční zprostředkování</t>
  </si>
  <si>
    <t>649000</t>
  </si>
  <si>
    <t>651000</t>
  </si>
  <si>
    <t>Zajištění</t>
  </si>
  <si>
    <t>652000</t>
  </si>
  <si>
    <t>Penzijní financování</t>
  </si>
  <si>
    <t>653000</t>
  </si>
  <si>
    <t>Pomocné činnosti související s fin.zprostřed.,kromě pojišť.a penzij.fin.</t>
  </si>
  <si>
    <t>661000</t>
  </si>
  <si>
    <t>Pomocné činnosti související s pojišťovnictvím a penzijním financováním</t>
  </si>
  <si>
    <t>662000</t>
  </si>
  <si>
    <t>Správa fondů</t>
  </si>
  <si>
    <t>663000</t>
  </si>
  <si>
    <t>Nákup a následný prodej vlastních nemovitostí</t>
  </si>
  <si>
    <t>681000</t>
  </si>
  <si>
    <t>Pronájem a správa vlastních nebo pronajatých nemovitostí</t>
  </si>
  <si>
    <t>682000</t>
  </si>
  <si>
    <t>Činnosti v oblasti nemovitostí na základě smlouvy nebo dohody</t>
  </si>
  <si>
    <t>683000</t>
  </si>
  <si>
    <t>Právní činnosti</t>
  </si>
  <si>
    <t>691000</t>
  </si>
  <si>
    <t>Účetnické a auditorské činnosti; daňové poradenství</t>
  </si>
  <si>
    <t>692000</t>
  </si>
  <si>
    <t>Činnosti vedení podniků</t>
  </si>
  <si>
    <t>701000</t>
  </si>
  <si>
    <t>Poradenství v oblasti řízení</t>
  </si>
  <si>
    <t>702000</t>
  </si>
  <si>
    <t>Architektonické a inženýrské činnosti a související technické poradenství</t>
  </si>
  <si>
    <t>711000</t>
  </si>
  <si>
    <t>Technické zkoušky a analýzy</t>
  </si>
  <si>
    <t>712000</t>
  </si>
  <si>
    <t>Výzkum a vývoj v oblasti přírodních a technických věd</t>
  </si>
  <si>
    <t>721000</t>
  </si>
  <si>
    <t>Těžba a úprava uranových a thoriových rud</t>
  </si>
  <si>
    <t>072100</t>
  </si>
  <si>
    <t>Výzkum a vývoj v oblasti společenských a humanitních věd</t>
  </si>
  <si>
    <t>722000</t>
  </si>
  <si>
    <t>Těžba a úprava ostatních neželezných rud</t>
  </si>
  <si>
    <t>072900</t>
  </si>
  <si>
    <t>Reklamní činnosti</t>
  </si>
  <si>
    <t>731000</t>
  </si>
  <si>
    <t>Průzkum trhu a veřejného mínění</t>
  </si>
  <si>
    <t>732000</t>
  </si>
  <si>
    <t>Specializované návrhářské činnosti</t>
  </si>
  <si>
    <t>741000</t>
  </si>
  <si>
    <t>Fotografické činnosti</t>
  </si>
  <si>
    <t>742000</t>
  </si>
  <si>
    <t>Překladatelské a tlumočnické činnosti</t>
  </si>
  <si>
    <t>743000</t>
  </si>
  <si>
    <t>Ostatní profesní, vědecké a technické činnosti j. n.</t>
  </si>
  <si>
    <t>749000</t>
  </si>
  <si>
    <t>Pronájem a leasing motorových vozidel, kromě motocyklů</t>
  </si>
  <si>
    <t>771000</t>
  </si>
  <si>
    <t>Pronájem a leasing výrobků pro osobní potřebu a převážně pro domácnost</t>
  </si>
  <si>
    <t>772000</t>
  </si>
  <si>
    <t>Pronájem a leasing ostatních strojů, zařízení a výrobků</t>
  </si>
  <si>
    <t>773000</t>
  </si>
  <si>
    <t>Leasing duševního vlast.a podobných produktů,kromě děl chrán.autor.právem</t>
  </si>
  <si>
    <t>774000</t>
  </si>
  <si>
    <t>Činnosti agentur zprostředkujících zaměstnání</t>
  </si>
  <si>
    <t>781000</t>
  </si>
  <si>
    <t>Činnosti agentur zprostředkujících práci na přechodnou dobu</t>
  </si>
  <si>
    <t>782000</t>
  </si>
  <si>
    <t>Ostatní poskytování lidských zdrojů</t>
  </si>
  <si>
    <t>783000</t>
  </si>
  <si>
    <t>Činnosti cestovních agentur a cestovních kanceláří</t>
  </si>
  <si>
    <t>791000</t>
  </si>
  <si>
    <t>Ostatní rezervační a související činnosti</t>
  </si>
  <si>
    <t>799000</t>
  </si>
  <si>
    <t>Činnosti soukromých bezpečnostních agentur</t>
  </si>
  <si>
    <t>801000</t>
  </si>
  <si>
    <t>Činnosti související s provozem bezpečnostních systémů</t>
  </si>
  <si>
    <t>802000</t>
  </si>
  <si>
    <t>Pátrací činnosti</t>
  </si>
  <si>
    <t>803000</t>
  </si>
  <si>
    <t>Kombinované pomocné činnosti</t>
  </si>
  <si>
    <t>811000</t>
  </si>
  <si>
    <t>Dobývání kamene pro výtv.nebo stav.účely,vápence,sádrovce,křídy,břidl.</t>
  </si>
  <si>
    <t>081100</t>
  </si>
  <si>
    <t>Úklidové činnosti</t>
  </si>
  <si>
    <t>812000</t>
  </si>
  <si>
    <t>Provoz pískoven a štěrkopískoven; těžba jílů a kaolinu</t>
  </si>
  <si>
    <t>081200</t>
  </si>
  <si>
    <t>Činnosti související s úpravou krajiny</t>
  </si>
  <si>
    <t>813000</t>
  </si>
  <si>
    <t>Administrativní a kancelářské činnosti</t>
  </si>
  <si>
    <t>821000</t>
  </si>
  <si>
    <t>Činnosti zprostředkovatelských středisek po telefonu</t>
  </si>
  <si>
    <t>822000</t>
  </si>
  <si>
    <t>Pořádání konferencí a hospodářských výstav</t>
  </si>
  <si>
    <t>823000</t>
  </si>
  <si>
    <t>Podpůrné činnosti pro podnikání j. n.</t>
  </si>
  <si>
    <t>829000</t>
  </si>
  <si>
    <t>Veřejná správa a hospodářská a sociální politika</t>
  </si>
  <si>
    <t>841000</t>
  </si>
  <si>
    <t>Činnosti pro společnost jako celek</t>
  </si>
  <si>
    <t>842000</t>
  </si>
  <si>
    <t>Činnosti v oblasti povinného sociálního zabezpečení</t>
  </si>
  <si>
    <t>843000</t>
  </si>
  <si>
    <t>Předškolní vzdělávání</t>
  </si>
  <si>
    <t>851000</t>
  </si>
  <si>
    <t>Primární vzdělávání</t>
  </si>
  <si>
    <t>852000</t>
  </si>
  <si>
    <t>Sekundární vzdělávání</t>
  </si>
  <si>
    <t>853000</t>
  </si>
  <si>
    <t>Postsekundární vzdělávání</t>
  </si>
  <si>
    <t>854000</t>
  </si>
  <si>
    <t>Ostatní vzdělávání</t>
  </si>
  <si>
    <t>855000</t>
  </si>
  <si>
    <t>Podpůrné činnosti ve vzdělávání</t>
  </si>
  <si>
    <t>856000</t>
  </si>
  <si>
    <t>Ústavní zdravotní péče</t>
  </si>
  <si>
    <t>861000</t>
  </si>
  <si>
    <t>Ambulantní a zubní zdravotní péče</t>
  </si>
  <si>
    <t>862000</t>
  </si>
  <si>
    <t>Ostatní činnosti související se zdravotní péčí</t>
  </si>
  <si>
    <t>869000</t>
  </si>
  <si>
    <t>Ústavní sociální péče</t>
  </si>
  <si>
    <t>Sociální péče ve zdravotnických zařízeních ústavní péče</t>
  </si>
  <si>
    <t>871000</t>
  </si>
  <si>
    <t>Soc.péče v zaříz.pro osoby s chron.duš.onemoc.a osoby závislé na návyk.l.</t>
  </si>
  <si>
    <t>872000</t>
  </si>
  <si>
    <t>Sociální péče v domovech pro seniory a osoby se zdravotním postižením</t>
  </si>
  <si>
    <t>873000</t>
  </si>
  <si>
    <t>Ostatní pobytové služby sociální péče</t>
  </si>
  <si>
    <t>879000</t>
  </si>
  <si>
    <t>Ambulantní nebo terénní soc.služby pro seniory a osoby se zdrav.postižením</t>
  </si>
  <si>
    <t>881000</t>
  </si>
  <si>
    <t>Ostatní ambulantní nebo terénní sociální služby</t>
  </si>
  <si>
    <t>889000</t>
  </si>
  <si>
    <t>Těžba chemických minerálů a minerálů pro výrobu hnojiv</t>
  </si>
  <si>
    <t>089100</t>
  </si>
  <si>
    <t>Těžba rašeliny</t>
  </si>
  <si>
    <t>089200</t>
  </si>
  <si>
    <t>Těžba soli</t>
  </si>
  <si>
    <t>089300</t>
  </si>
  <si>
    <t>Ostatní těžba a dobývání j. n.</t>
  </si>
  <si>
    <t>089900</t>
  </si>
  <si>
    <t>Sportovní činnosti</t>
  </si>
  <si>
    <t>931000</t>
  </si>
  <si>
    <t>Ostatní zábavní a rekreační činnosti</t>
  </si>
  <si>
    <t>932000</t>
  </si>
  <si>
    <t>Činnosti podnikatelských, zaměstnavatelských a profesních organizací</t>
  </si>
  <si>
    <t>941000</t>
  </si>
  <si>
    <t>Činnosti odborových svazů</t>
  </si>
  <si>
    <t>942000</t>
  </si>
  <si>
    <t>Činnosti ost.org.sdružujících osoby za účelem prosazování společných zájmů</t>
  </si>
  <si>
    <t>949000</t>
  </si>
  <si>
    <t>Opravy počítačů a komunikačních zařízení</t>
  </si>
  <si>
    <t>951000</t>
  </si>
  <si>
    <t>Opravy výrobků pro osobní potřebu a převážně pro domácnost</t>
  </si>
  <si>
    <t>952000</t>
  </si>
  <si>
    <t>Činnosti domác.produk.blíže neurčené výrobky pro vlastní potřebu</t>
  </si>
  <si>
    <t>981000</t>
  </si>
  <si>
    <t>Činnosti domácností poskyt.blíže neurčené služby pro vlastní potřebu</t>
  </si>
  <si>
    <t>982000</t>
  </si>
  <si>
    <t>Zpracování a konzervování masa, kromě drůbežího</t>
  </si>
  <si>
    <t>101100</t>
  </si>
  <si>
    <t>Zpracování a konzervování drůbežího masa</t>
  </si>
  <si>
    <t>101200</t>
  </si>
  <si>
    <t>Výroba masných výrobků a výrobků z drůbežího masa</t>
  </si>
  <si>
    <t>101300</t>
  </si>
  <si>
    <t>Zpracování a konzervování brambor</t>
  </si>
  <si>
    <t>103100</t>
  </si>
  <si>
    <t>Výroba ovocných a zeleninových šťáv</t>
  </si>
  <si>
    <t>103200</t>
  </si>
  <si>
    <t>Ostatní zpracování a konzervování ovoce a zeleniny</t>
  </si>
  <si>
    <t>103900</t>
  </si>
  <si>
    <t>Výroba olejů a tuků</t>
  </si>
  <si>
    <t>104100</t>
  </si>
  <si>
    <t>Výroba margarínu a podobných jedlých tuků</t>
  </si>
  <si>
    <t>104200</t>
  </si>
  <si>
    <t>Zpracování mléka, výroba mléčných výrobků a sýrů</t>
  </si>
  <si>
    <t>105100</t>
  </si>
  <si>
    <t>Výroba zmrzliny</t>
  </si>
  <si>
    <t>105200</t>
  </si>
  <si>
    <t>Výroba mlýnských výrobků</t>
  </si>
  <si>
    <t>106100</t>
  </si>
  <si>
    <t>Výroba škrobárenských výrobků</t>
  </si>
  <si>
    <t>106200</t>
  </si>
  <si>
    <t>Výroba pekařských a cukrářských výrobků, kromě trvanlivých</t>
  </si>
  <si>
    <t>107100</t>
  </si>
  <si>
    <t>Výroba sucharů a sušenek; výroba trvanlivých cukrářských výrobků</t>
  </si>
  <si>
    <t>107200</t>
  </si>
  <si>
    <t>Výroba makaronů, nudlí, kuskusu a podobných moučných výrobků</t>
  </si>
  <si>
    <t>107300</t>
  </si>
  <si>
    <t>Výroba cukru</t>
  </si>
  <si>
    <t>108100</t>
  </si>
  <si>
    <t>Výroba kakaa, čokolády a cukrovinek</t>
  </si>
  <si>
    <t>108200</t>
  </si>
  <si>
    <t>Zpracování čaje a kávy</t>
  </si>
  <si>
    <t>108300</t>
  </si>
  <si>
    <t>Výroba koření a aromatických výtažků</t>
  </si>
  <si>
    <t>108400</t>
  </si>
  <si>
    <t>Výroba hotových pokrmů</t>
  </si>
  <si>
    <t>108500</t>
  </si>
  <si>
    <t>Výroba homogenizovaných potravinářských přípravků a dietních potravin</t>
  </si>
  <si>
    <t>108600</t>
  </si>
  <si>
    <t>Výroba ostatních potravinářských výrobků j. n.</t>
  </si>
  <si>
    <t>108900</t>
  </si>
  <si>
    <t>Výroba průmyslových krmiv pro hospodářská zvířata</t>
  </si>
  <si>
    <t>109100</t>
  </si>
  <si>
    <t>Výroba průmyslových krmiv pro zvířata v zájmovém chovu</t>
  </si>
  <si>
    <t>109200</t>
  </si>
  <si>
    <t>Destilace, rektifikace a míchání lihovin</t>
  </si>
  <si>
    <t>110100</t>
  </si>
  <si>
    <t>Výroba vína z vinných hroznů</t>
  </si>
  <si>
    <t>110200</t>
  </si>
  <si>
    <t>Výroba jablečného vína a jiných ovocných vín</t>
  </si>
  <si>
    <t>110300</t>
  </si>
  <si>
    <t>Výroba ostatních nedestilovaných kvašených nápojů</t>
  </si>
  <si>
    <t>110400</t>
  </si>
  <si>
    <t>Výroba piva</t>
  </si>
  <si>
    <t>110500</t>
  </si>
  <si>
    <t>Výroba sladu</t>
  </si>
  <si>
    <t>110600</t>
  </si>
  <si>
    <t>Výroba nealkohol.nápojů;stáčení minerálních a ostatních vod do lahví</t>
  </si>
  <si>
    <t>110700</t>
  </si>
  <si>
    <t>Výroba pletených a háčkovaných materiálů</t>
  </si>
  <si>
    <t>139100</t>
  </si>
  <si>
    <t>Výroba konfekčních textilních výrobků, kromě oděvů</t>
  </si>
  <si>
    <t>139200</t>
  </si>
  <si>
    <t>Výroba koberců a kobercových předložek</t>
  </si>
  <si>
    <t>139300</t>
  </si>
  <si>
    <t>Výroba lan, provazů a síťovaných výrobků</t>
  </si>
  <si>
    <t>139400</t>
  </si>
  <si>
    <t>Výroba netkaných textilií a výrobků z nich, kromě oděvů</t>
  </si>
  <si>
    <t>139500</t>
  </si>
  <si>
    <t>Výroba ostatních technických a průmyslových textilií</t>
  </si>
  <si>
    <t>139600</t>
  </si>
  <si>
    <t>Výroba ostatních textilií j. n.</t>
  </si>
  <si>
    <t>139900</t>
  </si>
  <si>
    <t>Výroba kožených oděvů</t>
  </si>
  <si>
    <t>141100</t>
  </si>
  <si>
    <t>Výroba pracovních oděvů</t>
  </si>
  <si>
    <t>141200</t>
  </si>
  <si>
    <t>Výroba ostatních svrchních oděvů</t>
  </si>
  <si>
    <t>141300</t>
  </si>
  <si>
    <t>Výroba osobního prádla</t>
  </si>
  <si>
    <t>141400</t>
  </si>
  <si>
    <t>Výroba ostatních oděvů a oděvních doplňků</t>
  </si>
  <si>
    <t>141900</t>
  </si>
  <si>
    <t>Výroba pletených a háčkovaných punčochových výrobků</t>
  </si>
  <si>
    <t>143100</t>
  </si>
  <si>
    <t>Výroba ostatních pletených a háčkovaných oděvů</t>
  </si>
  <si>
    <t>143900</t>
  </si>
  <si>
    <t>Chov drobných hospodářských zvířat</t>
  </si>
  <si>
    <t>014910</t>
  </si>
  <si>
    <t>Chov kožešinových zvířat</t>
  </si>
  <si>
    <t>014920</t>
  </si>
  <si>
    <t>Chov zvířat pro zájmový chov</t>
  </si>
  <si>
    <t>014930</t>
  </si>
  <si>
    <t>Chov ostatních zvířat j. n.</t>
  </si>
  <si>
    <t>014990</t>
  </si>
  <si>
    <t>Činění a úprava usní (vyčiněných kůží); zpracování a barvení kožešin</t>
  </si>
  <si>
    <t>151100</t>
  </si>
  <si>
    <t>Výroba brašnářských, sedlářských a podobných výrobků</t>
  </si>
  <si>
    <t>151200</t>
  </si>
  <si>
    <t>Výroba dýh a desek na bázi dřeva</t>
  </si>
  <si>
    <t>162100</t>
  </si>
  <si>
    <t>Výroba sestavených parketových podlah</t>
  </si>
  <si>
    <t>162200</t>
  </si>
  <si>
    <t>Výroba ostatních výrobků stavebního truhlářství a tesařství</t>
  </si>
  <si>
    <t>162300</t>
  </si>
  <si>
    <t>Výroba dřevěných obalů</t>
  </si>
  <si>
    <t>162400</t>
  </si>
  <si>
    <t>Výroba ost.dřevěných,korkových,proutěných a slaměných výr.,kromě nábytku</t>
  </si>
  <si>
    <t>162900</t>
  </si>
  <si>
    <t>Výroba buničiny</t>
  </si>
  <si>
    <t>171100</t>
  </si>
  <si>
    <t>Výroba papíru a lepenky</t>
  </si>
  <si>
    <t>171200</t>
  </si>
  <si>
    <t>Výroba vlnitého papíru a lepenky, papírových a lepenkových obalů</t>
  </si>
  <si>
    <t>172100</t>
  </si>
  <si>
    <t>Výroba domácích potřeb, hygienických a toaletních výrobků z papíru</t>
  </si>
  <si>
    <t>172200</t>
  </si>
  <si>
    <t>Výroba kancelářských potřeb z papíru</t>
  </si>
  <si>
    <t>172300</t>
  </si>
  <si>
    <t>Výroba tapet</t>
  </si>
  <si>
    <t>172400</t>
  </si>
  <si>
    <t>Výroba ostatních výrobků z papíru a lepenky</t>
  </si>
  <si>
    <t>172900</t>
  </si>
  <si>
    <t>Tisk novin</t>
  </si>
  <si>
    <t>181100</t>
  </si>
  <si>
    <t>Tisk ostatní, kromě novin</t>
  </si>
  <si>
    <t>181200</t>
  </si>
  <si>
    <t>Příprava tisku a digitálních dat</t>
  </si>
  <si>
    <t>181300</t>
  </si>
  <si>
    <t>Vázání a související činnosti</t>
  </si>
  <si>
    <t>181400</t>
  </si>
  <si>
    <t>Výroba technických plynů</t>
  </si>
  <si>
    <t>201100</t>
  </si>
  <si>
    <t>Výroba barviv a pigmentů</t>
  </si>
  <si>
    <t>201200</t>
  </si>
  <si>
    <t>Výroba jiných základních anorganických chemických látek</t>
  </si>
  <si>
    <t>201300</t>
  </si>
  <si>
    <t>Výroba jiných základních organických chemických látek</t>
  </si>
  <si>
    <t>201400</t>
  </si>
  <si>
    <t>Výroba hnojiv a dusíkatých sloučenin</t>
  </si>
  <si>
    <t>201500</t>
  </si>
  <si>
    <t>Výroba plastů v primárních formách</t>
  </si>
  <si>
    <t>201600</t>
  </si>
  <si>
    <t>Výroba syntetického kaučuku v primárních formách</t>
  </si>
  <si>
    <t>201700</t>
  </si>
  <si>
    <t>Výroba mýdel a detergentů, čisticích a lešticích prostředků</t>
  </si>
  <si>
    <t>204100</t>
  </si>
  <si>
    <t>Výroba parfémů a toaletních přípravků</t>
  </si>
  <si>
    <t>204200</t>
  </si>
  <si>
    <t>Výroba výbušnin</t>
  </si>
  <si>
    <t>205100</t>
  </si>
  <si>
    <t>Výroba klihů</t>
  </si>
  <si>
    <t>205200</t>
  </si>
  <si>
    <t>Výroba vonných silic</t>
  </si>
  <si>
    <t>205300</t>
  </si>
  <si>
    <t>Výroba ostatních chemických výrobků j. n.</t>
  </si>
  <si>
    <t>205900</t>
  </si>
  <si>
    <t>Výroba pryžových plášťů a duší; protektorování pneumatik</t>
  </si>
  <si>
    <t>221100</t>
  </si>
  <si>
    <t>Výroba ostatních pryžových výrobků</t>
  </si>
  <si>
    <t>221900</t>
  </si>
  <si>
    <t>Výroba plastových desek, fólií, hadic, trubek a profilů</t>
  </si>
  <si>
    <t>222100</t>
  </si>
  <si>
    <t>Výroba plastových obalů</t>
  </si>
  <si>
    <t>222200</t>
  </si>
  <si>
    <t>Výroba plastových výrobků pro stavebnictví</t>
  </si>
  <si>
    <t>222300</t>
  </si>
  <si>
    <t>Výroba ostatních plastových výrobků</t>
  </si>
  <si>
    <t>222900</t>
  </si>
  <si>
    <t>Výroba plochého skla</t>
  </si>
  <si>
    <t>231100</t>
  </si>
  <si>
    <t>Tvarování a zpracování plochého skla</t>
  </si>
  <si>
    <t>231200</t>
  </si>
  <si>
    <t>Výroba dutého skla</t>
  </si>
  <si>
    <t>231300</t>
  </si>
  <si>
    <t>Výroba skleněných vláken</t>
  </si>
  <si>
    <t>231400</t>
  </si>
  <si>
    <t>Výroba a zpracování ostatního skla vč. technického</t>
  </si>
  <si>
    <t>231900</t>
  </si>
  <si>
    <t>Výroba keramických obkládaček a dlaždic</t>
  </si>
  <si>
    <t>233100</t>
  </si>
  <si>
    <t>Výroba pálených zdicích materiálů, tašek, dlaždic a podobných výrobků</t>
  </si>
  <si>
    <t>233200</t>
  </si>
  <si>
    <t>Výroba keram.a porcelán.výrobků převážně pro domácnost a ozdob.předmětů</t>
  </si>
  <si>
    <t>234100</t>
  </si>
  <si>
    <t>Výroba keramických sanitárních výrobků</t>
  </si>
  <si>
    <t>234200</t>
  </si>
  <si>
    <t>Výroba keramických izolátorů a izolačního příslušenství</t>
  </si>
  <si>
    <t>234300</t>
  </si>
  <si>
    <t>Výroba ostatních technických keramických výrobků</t>
  </si>
  <si>
    <t>234400</t>
  </si>
  <si>
    <t>Výroba ostatních keramických výrobků</t>
  </si>
  <si>
    <t>234900</t>
  </si>
  <si>
    <t>Výroba cementu</t>
  </si>
  <si>
    <t>235100</t>
  </si>
  <si>
    <t>Výroba vápna a sádry</t>
  </si>
  <si>
    <t>235200</t>
  </si>
  <si>
    <t>Výroba betonových výrobků pro stavební účely</t>
  </si>
  <si>
    <t>236100</t>
  </si>
  <si>
    <t>Výroba sádrových výrobků pro stavební účely</t>
  </si>
  <si>
    <t>236200</t>
  </si>
  <si>
    <t>Výroba betonu připraveného k lití</t>
  </si>
  <si>
    <t>236300</t>
  </si>
  <si>
    <t>Výroba malt</t>
  </si>
  <si>
    <t>236400</t>
  </si>
  <si>
    <t>Výroba vláknitých cementů</t>
  </si>
  <si>
    <t>236500</t>
  </si>
  <si>
    <t>Výroba ostatních betonových, cementových a sádrových výrobků</t>
  </si>
  <si>
    <t>236900</t>
  </si>
  <si>
    <t>Výroba brusiv</t>
  </si>
  <si>
    <t>239100</t>
  </si>
  <si>
    <t>Výroba ostatních nekovových minerálních výrobků j.n.</t>
  </si>
  <si>
    <t>239900</t>
  </si>
  <si>
    <t>Tažení tyčí za studena</t>
  </si>
  <si>
    <t>243100</t>
  </si>
  <si>
    <t>Válcování ocelových úzkých pásů za studena</t>
  </si>
  <si>
    <t>243200</t>
  </si>
  <si>
    <t>Tváření ocelových profilů za studena</t>
  </si>
  <si>
    <t>243300</t>
  </si>
  <si>
    <t>Tažení ocelového drátu za studena</t>
  </si>
  <si>
    <t>243400</t>
  </si>
  <si>
    <t>Výroba a hutní zpracování drahých kovů</t>
  </si>
  <si>
    <t>244100</t>
  </si>
  <si>
    <t>Výroba a hutní zpracování hliníku</t>
  </si>
  <si>
    <t>244200</t>
  </si>
  <si>
    <t>Výroba a hutní zpracování olova, zinku a cínu</t>
  </si>
  <si>
    <t>244300</t>
  </si>
  <si>
    <t>Výroba a hutní zpracování mědi</t>
  </si>
  <si>
    <t>244400</t>
  </si>
  <si>
    <t>Výroba a hutní zpracování ostatních neželezných kovů</t>
  </si>
  <si>
    <t>244500</t>
  </si>
  <si>
    <t>Zpracování jaderného paliva</t>
  </si>
  <si>
    <t>244600</t>
  </si>
  <si>
    <t>Výroba odlitků z litiny</t>
  </si>
  <si>
    <t>245100</t>
  </si>
  <si>
    <t>Výroba odlitků z oceli</t>
  </si>
  <si>
    <t>245200</t>
  </si>
  <si>
    <t>Výroba odlitků z lehkých neželezných kovů</t>
  </si>
  <si>
    <t>245300</t>
  </si>
  <si>
    <t>Výroba odlitků z ostatních neželezných kovů</t>
  </si>
  <si>
    <t>245400</t>
  </si>
  <si>
    <t>Výroba kovových konstrukcí a jejich dílů</t>
  </si>
  <si>
    <t>251100</t>
  </si>
  <si>
    <t>Výroba kovových dveří a oken</t>
  </si>
  <si>
    <t>251200</t>
  </si>
  <si>
    <t>Výroba radiátorů a kotlů k ústřednímu topení</t>
  </si>
  <si>
    <t>252100</t>
  </si>
  <si>
    <t>Výroba kovových nádrží a zásobníků</t>
  </si>
  <si>
    <t>252900</t>
  </si>
  <si>
    <t>Povrchová úprava a zušlechťování kovů</t>
  </si>
  <si>
    <t>256100</t>
  </si>
  <si>
    <t>Obrábění</t>
  </si>
  <si>
    <t>256200</t>
  </si>
  <si>
    <t>Výroba nožířských výrobků</t>
  </si>
  <si>
    <t>257100</t>
  </si>
  <si>
    <t>Výroba zámků a kování</t>
  </si>
  <si>
    <t>257200</t>
  </si>
  <si>
    <t>Výroba nástrojů a nářadí</t>
  </si>
  <si>
    <t>257300</t>
  </si>
  <si>
    <t>Výroba ocelových sudů a podobných nádob</t>
  </si>
  <si>
    <t>259100</t>
  </si>
  <si>
    <t>Výroba drobných kovových obalů</t>
  </si>
  <si>
    <t>259200</t>
  </si>
  <si>
    <t>Výroba drátěných výrobků, řetězů a pružin</t>
  </si>
  <si>
    <t>259300</t>
  </si>
  <si>
    <t>Výroba spojovacích materiálů a spojovacích výrobků se závity</t>
  </si>
  <si>
    <t>259400</t>
  </si>
  <si>
    <t>Výroba ostatních kovodělných výrobků j. n.</t>
  </si>
  <si>
    <t>259900</t>
  </si>
  <si>
    <t>Výroba elektronických součástek</t>
  </si>
  <si>
    <t>261100</t>
  </si>
  <si>
    <t>Výroba osazených elektronických desek</t>
  </si>
  <si>
    <t>261200</t>
  </si>
  <si>
    <t>Výroba měřicích, zkušebních a navigačních přístrojů</t>
  </si>
  <si>
    <t>265100</t>
  </si>
  <si>
    <t>Výroba časoměrných přístrojů</t>
  </si>
  <si>
    <t>265200</t>
  </si>
  <si>
    <t>Výroba elektrických motorů, generátorů a transformátorů</t>
  </si>
  <si>
    <t>271100</t>
  </si>
  <si>
    <t>Výroba elektrických rozvodných a kontrolních zařízení</t>
  </si>
  <si>
    <t>271200</t>
  </si>
  <si>
    <t>Výroba optických kabelů</t>
  </si>
  <si>
    <t>273100</t>
  </si>
  <si>
    <t>Výroba elektrických vodičů a kabelů j. n.</t>
  </si>
  <si>
    <t>273200</t>
  </si>
  <si>
    <t>Výroba elektroinstalačních zařízení</t>
  </si>
  <si>
    <t>273300</t>
  </si>
  <si>
    <t>Výroba elektrických spotřebičů převážně pro domácnost</t>
  </si>
  <si>
    <t>275100</t>
  </si>
  <si>
    <t>Výroba neelektrických spotřebičů převážně pro domácnost</t>
  </si>
  <si>
    <t>275200</t>
  </si>
  <si>
    <t>Výroba motorů a turbín, kromě motorů pro letadla, automobily a motocykly</t>
  </si>
  <si>
    <t>281100</t>
  </si>
  <si>
    <t>Výroba hydraulických a pneumatických zařízení</t>
  </si>
  <si>
    <t>281200</t>
  </si>
  <si>
    <t>Výroba ostatních čerpadel a kompresorů</t>
  </si>
  <si>
    <t>281300</t>
  </si>
  <si>
    <t>Výroba ostatních potrubních armatur</t>
  </si>
  <si>
    <t>281400</t>
  </si>
  <si>
    <t>Výroba ložisek, ozubených kol, převodů a hnacích prvků</t>
  </si>
  <si>
    <t>281500</t>
  </si>
  <si>
    <t>Výroba pecí a hořáků pro topeniště</t>
  </si>
  <si>
    <t>282100</t>
  </si>
  <si>
    <t>Výroba zdvihacích a manipulačních zařízení</t>
  </si>
  <si>
    <t>282200</t>
  </si>
  <si>
    <t>Výroba kancelářských strojů a zařízení,kromě počítačů a perif.zařízení</t>
  </si>
  <si>
    <t>282300</t>
  </si>
  <si>
    <t>Výroba ručních mechanizovaných nástrojů</t>
  </si>
  <si>
    <t>282400</t>
  </si>
  <si>
    <t>Výroba průmyslových chladicích a klimatizačních zařízení</t>
  </si>
  <si>
    <t>282500</t>
  </si>
  <si>
    <t>Výroba ostatních strojů a zařízení pro všeobecné účely j. n.</t>
  </si>
  <si>
    <t>282900</t>
  </si>
  <si>
    <t>Výroba kovoobráběcích strojů</t>
  </si>
  <si>
    <t>284100</t>
  </si>
  <si>
    <t>Výroba ostatních obráběcích strojů</t>
  </si>
  <si>
    <t>284900</t>
  </si>
  <si>
    <t>Výroba strojů pro metalurgii</t>
  </si>
  <si>
    <t>289100</t>
  </si>
  <si>
    <t>Výroba strojů pro těžbu, dobývání a stavebnictví</t>
  </si>
  <si>
    <t>289200</t>
  </si>
  <si>
    <t>Výroba strojů na výrobu potravin, nápojů a zpracování tabáku</t>
  </si>
  <si>
    <t>289300</t>
  </si>
  <si>
    <t>Výroba strojů na výrobu textilu, oděvních výrobků a výrobků z usní</t>
  </si>
  <si>
    <t>289400</t>
  </si>
  <si>
    <t>Výroba strojů a přístrojů na výrobu papíru a lepenky</t>
  </si>
  <si>
    <t>289500</t>
  </si>
  <si>
    <t>Výroba strojů na výrobu plastů a pryže</t>
  </si>
  <si>
    <t>289600</t>
  </si>
  <si>
    <t>Výroba ostatních strojů pro speciální účely j. n.</t>
  </si>
  <si>
    <t>289900</t>
  </si>
  <si>
    <t>Výroba elektrického a elektronického zařízení pro motorová vozidla</t>
  </si>
  <si>
    <t>293100</t>
  </si>
  <si>
    <t>Výroba ostatních dílů a příslušenství pro motorová vozidla</t>
  </si>
  <si>
    <t>293200</t>
  </si>
  <si>
    <t>Stavba lodí a plavidel</t>
  </si>
  <si>
    <t>301100</t>
  </si>
  <si>
    <t>Stavba rekreačních a sportovních člunů</t>
  </si>
  <si>
    <t>301200</t>
  </si>
  <si>
    <t>Výroba motocyklů</t>
  </si>
  <si>
    <t>309100</t>
  </si>
  <si>
    <t>Výroba jízdních kol a vozíků pro invalidy</t>
  </si>
  <si>
    <t>309200</t>
  </si>
  <si>
    <t>Výroba ostatních dopravních prostředků a zařízení j. n.</t>
  </si>
  <si>
    <t>309900</t>
  </si>
  <si>
    <t>Výroba kancelářského nábytku a zařízení obchodů</t>
  </si>
  <si>
    <t>310100</t>
  </si>
  <si>
    <t>Výroba kuchyňského nábytku</t>
  </si>
  <si>
    <t>310200</t>
  </si>
  <si>
    <t>Výroba matrací</t>
  </si>
  <si>
    <t>310300</t>
  </si>
  <si>
    <t>Výroba ostatního nábytku</t>
  </si>
  <si>
    <t>310900</t>
  </si>
  <si>
    <t>Ražení mincí</t>
  </si>
  <si>
    <t>321100</t>
  </si>
  <si>
    <t>Výroba klenotů a příbuzných výrobků</t>
  </si>
  <si>
    <t>321200</t>
  </si>
  <si>
    <t>Výroba bižuterie a příbuzných výrobků</t>
  </si>
  <si>
    <t>321300</t>
  </si>
  <si>
    <t>Výroba košťat a kartáčnických výrobků</t>
  </si>
  <si>
    <t>329100</t>
  </si>
  <si>
    <t>Ostatní zpracovatelský průmysl j. n.</t>
  </si>
  <si>
    <t>329900</t>
  </si>
  <si>
    <t>Opravy kovodělných výrobků</t>
  </si>
  <si>
    <t>331100</t>
  </si>
  <si>
    <t>Opravy strojů</t>
  </si>
  <si>
    <t>331200</t>
  </si>
  <si>
    <t>Opravy elektronických a optických přístrojů a zařízení</t>
  </si>
  <si>
    <t>331300</t>
  </si>
  <si>
    <t>Opravy elektrických zařízen</t>
  </si>
  <si>
    <t>331400</t>
  </si>
  <si>
    <t>Opravy a údržba lodí a člunů</t>
  </si>
  <si>
    <t>331500</t>
  </si>
  <si>
    <t>Opravy a údržba letadel a kosmických lodí</t>
  </si>
  <si>
    <t>331600</t>
  </si>
  <si>
    <t>Opravy a údržba ostatních dopravních prostředků a zařízení j. n.</t>
  </si>
  <si>
    <t>331700</t>
  </si>
  <si>
    <t>Opravy ostatních zařízení</t>
  </si>
  <si>
    <t>331900</t>
  </si>
  <si>
    <t>Výroba elektřiny</t>
  </si>
  <si>
    <t>351100</t>
  </si>
  <si>
    <t>Přenos elektřiny</t>
  </si>
  <si>
    <t>351200</t>
  </si>
  <si>
    <t>Rozvod elektřiny</t>
  </si>
  <si>
    <t>351300</t>
  </si>
  <si>
    <t>Obchod s elektřinou</t>
  </si>
  <si>
    <t>351400</t>
  </si>
  <si>
    <t>Výroba plynu</t>
  </si>
  <si>
    <t>352100</t>
  </si>
  <si>
    <t>Rozvod plynných paliv prostřednictvím sítí</t>
  </si>
  <si>
    <t>352200</t>
  </si>
  <si>
    <t>Obchod s plynem prostřednictvím sítí</t>
  </si>
  <si>
    <t>352300</t>
  </si>
  <si>
    <t>Shromažďování a sběr odpadů, kromě nebezpečných</t>
  </si>
  <si>
    <t>381100</t>
  </si>
  <si>
    <t>Shromažďování a sběr nebezpečných odpadů</t>
  </si>
  <si>
    <t>381200</t>
  </si>
  <si>
    <t>Odstraňování odpadů, kromě nebezpečných</t>
  </si>
  <si>
    <t>382100</t>
  </si>
  <si>
    <t>Odstraňování nebezpečných odpadů</t>
  </si>
  <si>
    <t>382200</t>
  </si>
  <si>
    <t>Demontáž vraků a vyřazených strojů a zařízení pro účely recyklace</t>
  </si>
  <si>
    <t>383100</t>
  </si>
  <si>
    <t>Úprava odpadů k dalšímu využití,kromě demontáže vraků,strojů a zařízení</t>
  </si>
  <si>
    <t>383200</t>
  </si>
  <si>
    <t>Výstavba bytových budov</t>
  </si>
  <si>
    <t>Výstavba silnic a dálnic</t>
  </si>
  <si>
    <t>421100</t>
  </si>
  <si>
    <t>Výstavba železnic a podzemních drah</t>
  </si>
  <si>
    <t>421200</t>
  </si>
  <si>
    <t>Výstavba mostů a tunelů</t>
  </si>
  <si>
    <t>421300</t>
  </si>
  <si>
    <t>Výstavba inženýrských sítí pro kapaliny a plyny</t>
  </si>
  <si>
    <t>422100</t>
  </si>
  <si>
    <t>Výstavba inženýrských sítí pro elektřinu a telekomunikace</t>
  </si>
  <si>
    <t>422200</t>
  </si>
  <si>
    <t>Výstavba vodních děl</t>
  </si>
  <si>
    <t>429100</t>
  </si>
  <si>
    <t>Výstavba ostatních staveb j. n.</t>
  </si>
  <si>
    <t>429900</t>
  </si>
  <si>
    <t>Demolice</t>
  </si>
  <si>
    <t>431100</t>
  </si>
  <si>
    <t>Příprava staveniště</t>
  </si>
  <si>
    <t>431200</t>
  </si>
  <si>
    <t>Průzkumné vrtné práce</t>
  </si>
  <si>
    <t>431300</t>
  </si>
  <si>
    <t>Elektrické instalace</t>
  </si>
  <si>
    <t>432100</t>
  </si>
  <si>
    <t>Instalace vody, odpadu, plynu, topení a klimatizace</t>
  </si>
  <si>
    <t>432200</t>
  </si>
  <si>
    <t>Ostatní stavební instalace</t>
  </si>
  <si>
    <t>432900</t>
  </si>
  <si>
    <t>Omítkářské práce</t>
  </si>
  <si>
    <t>433100</t>
  </si>
  <si>
    <t>Truhlářské práce</t>
  </si>
  <si>
    <t>433200</t>
  </si>
  <si>
    <t>Obkládání stěn a pokládání podlahových krytin</t>
  </si>
  <si>
    <t>433300</t>
  </si>
  <si>
    <t>Sklenářské, malířské a natěračské práce</t>
  </si>
  <si>
    <t>433400</t>
  </si>
  <si>
    <t>Ostatní kompletační a dokončovací práce</t>
  </si>
  <si>
    <t>433900</t>
  </si>
  <si>
    <t>Pokrývačské práce</t>
  </si>
  <si>
    <t>439100</t>
  </si>
  <si>
    <t>Ostatní specializované stavební činnosti j. n.</t>
  </si>
  <si>
    <t>439900</t>
  </si>
  <si>
    <t>Obchod s automobily a jinými lehkými motorovými vozidly</t>
  </si>
  <si>
    <t>451100</t>
  </si>
  <si>
    <t>Obchod s ostatními motorovými vozidly, kromě motocyklů</t>
  </si>
  <si>
    <t>451900</t>
  </si>
  <si>
    <t>Velkoobchod s díly a příslušenstvím pro motorová vozidla,kromě motocyklů</t>
  </si>
  <si>
    <t>453100</t>
  </si>
  <si>
    <t>Maloobchod s díly a příslušenstvím pro motorová vozidla,kromě motocyklů</t>
  </si>
  <si>
    <t>453200</t>
  </si>
  <si>
    <t>Zprostř.velkoob.a velkoob.v zast.se zákl.zem.pr.,živými zv.,text.sur.a pol.</t>
  </si>
  <si>
    <t>461100</t>
  </si>
  <si>
    <t>Zprostř.velkoob.a velkoob.v zast.s palivy,rudami,kovy a prům.chemikáliemi</t>
  </si>
  <si>
    <t>461200</t>
  </si>
  <si>
    <t>Zprostř.velkoobchodu a velkoobchod v zast.se dřevem a staveb.materiály</t>
  </si>
  <si>
    <t>461300</t>
  </si>
  <si>
    <t>Zprostř.velkoobchodu a velkoob.v zast.se stroji,prům.zař.,loděmi a letadly</t>
  </si>
  <si>
    <t>461400</t>
  </si>
  <si>
    <t>Zprostř.velkoob.a velkoob.v zast.s náb.,želez.zbožím a potř.převáž.pro dom.</t>
  </si>
  <si>
    <t>461500</t>
  </si>
  <si>
    <t>Zprostř.velkoob.a velkoob.v zast.s text.,oděvy,kožešinami,obuví a kož.výr.</t>
  </si>
  <si>
    <t>461600</t>
  </si>
  <si>
    <t>Zprostř.velkoob.a velkoob.v zast.s potr.,nápoji,tabákem a tabák.výrobky</t>
  </si>
  <si>
    <t>461700</t>
  </si>
  <si>
    <t>Zprostř.specializ.velkoob.a specializ.velkoob.v zast.s ost.výrobky</t>
  </si>
  <si>
    <t>461800</t>
  </si>
  <si>
    <t>Zprostř.nespecializ.velkoobchodu a nespecializ.velkoobchod v zast.</t>
  </si>
  <si>
    <t>461900</t>
  </si>
  <si>
    <t>Velkoobchod s obilím, surovým tabákem, osivy a krmivy</t>
  </si>
  <si>
    <t>462100</t>
  </si>
  <si>
    <t>Velkoobchod s květinami a jinými rostlinami</t>
  </si>
  <si>
    <t>462200</t>
  </si>
  <si>
    <t>Velkoobchod s živými zvířaty</t>
  </si>
  <si>
    <t>462300</t>
  </si>
  <si>
    <t>Velkoobchod se surovými kůžemi, kožešinami a usněmi</t>
  </si>
  <si>
    <t>462400</t>
  </si>
  <si>
    <t>Velkoobchod s ovocem a zeleninou</t>
  </si>
  <si>
    <t>463100</t>
  </si>
  <si>
    <t>Velkoobchod s masem a masnými výrobky</t>
  </si>
  <si>
    <t>463200</t>
  </si>
  <si>
    <t>Velkoobchod s mléčnými výrobky, vejci, jedlými oleji a tuky</t>
  </si>
  <si>
    <t>463300</t>
  </si>
  <si>
    <t>Velkoobchod s nápoji</t>
  </si>
  <si>
    <t>463400</t>
  </si>
  <si>
    <t>Velkoobchod s tabákovými výrobky</t>
  </si>
  <si>
    <t>463500</t>
  </si>
  <si>
    <t>Velkoobchod s cukrem, čokoládou a cukrovinkami</t>
  </si>
  <si>
    <t>463600</t>
  </si>
  <si>
    <t>Velkoobchod s kávou, čajem, kakaem a kořením</t>
  </si>
  <si>
    <t>463700</t>
  </si>
  <si>
    <t>Specializ.velkoobchod s jinými potravinami,včetně ryb,korýšů a měkkýšů</t>
  </si>
  <si>
    <t>463800</t>
  </si>
  <si>
    <t>Nespecializovaný velkoobchod s potravinami,nápoji a tabákovými výroby</t>
  </si>
  <si>
    <t>463900</t>
  </si>
  <si>
    <t>Velkoobchod s textilem</t>
  </si>
  <si>
    <t>464100</t>
  </si>
  <si>
    <t>Velkoobchod s oděvy a obuví</t>
  </si>
  <si>
    <t>464200</t>
  </si>
  <si>
    <t>Velkoobchod s elektrospotřebiči a elektronikou</t>
  </si>
  <si>
    <t>464300</t>
  </si>
  <si>
    <t>Velkoobchod s porcelán.,keram.a skleněnými výrobky a čisticími prostř.</t>
  </si>
  <si>
    <t>464400</t>
  </si>
  <si>
    <t>Velkoobchod s kosmetickými výrobky</t>
  </si>
  <si>
    <t>464500</t>
  </si>
  <si>
    <t>Velkoobchod s farmaceutickými výrobky</t>
  </si>
  <si>
    <t>464600</t>
  </si>
  <si>
    <t>Velkoobchod s nábytkem, koberci a svítidly</t>
  </si>
  <si>
    <t>464700</t>
  </si>
  <si>
    <t>Velkoobchod s hodinami, hodinkami a klenoty</t>
  </si>
  <si>
    <t>464800</t>
  </si>
  <si>
    <t>Velkoobchod s ostatními výrobky převážně pro domácnost</t>
  </si>
  <si>
    <t>464900</t>
  </si>
  <si>
    <t>Velkoobchod s počítači, počítačovým periferním zařízením a softwarem</t>
  </si>
  <si>
    <t>465100</t>
  </si>
  <si>
    <t>Velkoobchod s elektronickým a telekomunikačním zařízením a jeho díly</t>
  </si>
  <si>
    <t>465200</t>
  </si>
  <si>
    <t>Velkoobchod se zemědělskými stroji, strojním zařízením a příslušenstvím</t>
  </si>
  <si>
    <t>466100</t>
  </si>
  <si>
    <t>Velkoobchod s obráběcími stroji</t>
  </si>
  <si>
    <t>466200</t>
  </si>
  <si>
    <t>Velkoobchod s těžebními a stavebními stroji a zařízením</t>
  </si>
  <si>
    <t>466300</t>
  </si>
  <si>
    <t>Velkoobchod se strojním zařízením pro text.průmysl,šicími a plet.stroji</t>
  </si>
  <si>
    <t>466400</t>
  </si>
  <si>
    <t>Velkoobchod s kancelářským nábytkem</t>
  </si>
  <si>
    <t>466500</t>
  </si>
  <si>
    <t>Velkoobchod s ostatními kancelářskými stroji a zařízením</t>
  </si>
  <si>
    <t>466600</t>
  </si>
  <si>
    <t>Velkoobchod s ostatními stroji a zařízením</t>
  </si>
  <si>
    <t>466900</t>
  </si>
  <si>
    <t>Velkoobchod s pevnými, kapalnými a plynnými palivy a příbuznými výrobky</t>
  </si>
  <si>
    <t>467100</t>
  </si>
  <si>
    <t>Velkoobchod s rudami, kovy a hutními výrobky</t>
  </si>
  <si>
    <t>467200</t>
  </si>
  <si>
    <t>Velkoobchod se dřevem, stavebními materiály a sanitárním vybavením</t>
  </si>
  <si>
    <t>467300</t>
  </si>
  <si>
    <t>Velkoobchod s železářským zbožím,instalatér.a topenářskými potřebami</t>
  </si>
  <si>
    <t>467400</t>
  </si>
  <si>
    <t>Velkoobchod s chemickými výrobky</t>
  </si>
  <si>
    <t>467500</t>
  </si>
  <si>
    <t>Velkoobchod s ostatními meziprodukty</t>
  </si>
  <si>
    <t>467600</t>
  </si>
  <si>
    <t>Velkoobchod s odpadem a šrotem</t>
  </si>
  <si>
    <t>467700</t>
  </si>
  <si>
    <t>Maloobchod s převahou potravin,nápojů a tabák.výrobků v nespecializ.prod.</t>
  </si>
  <si>
    <t>471100</t>
  </si>
  <si>
    <t>Ostatní maloobchod v nespecializovaných prodejnách</t>
  </si>
  <si>
    <t>471900</t>
  </si>
  <si>
    <t>Maloobchod s ovocem a zeleninou</t>
  </si>
  <si>
    <t>472100</t>
  </si>
  <si>
    <t>Maloobchod s masem a masnými výrobky</t>
  </si>
  <si>
    <t>472200</t>
  </si>
  <si>
    <t>Maloobchod s rybami, korýši a měkkýši</t>
  </si>
  <si>
    <t>472300</t>
  </si>
  <si>
    <t>Maloobchod s chlebem, pečivem, cukrářskými výrobky a cukrovinkami</t>
  </si>
  <si>
    <t>472400</t>
  </si>
  <si>
    <t>Maloobchod s nápoji</t>
  </si>
  <si>
    <t>472500</t>
  </si>
  <si>
    <t>Maloobchod s tabákovými výrobky</t>
  </si>
  <si>
    <t>472600</t>
  </si>
  <si>
    <t>Ostatní maloobchod s potravinami ve specializovaných prodejnách</t>
  </si>
  <si>
    <t>472900</t>
  </si>
  <si>
    <t>Maloobchod s počítači, počítačovým periferním zařízením a softwarem</t>
  </si>
  <si>
    <t>474100</t>
  </si>
  <si>
    <t>Maloobchod s telekomunikačním zařízením</t>
  </si>
  <si>
    <t>474200</t>
  </si>
  <si>
    <t>Maloobchod s audio- a videozařízením</t>
  </si>
  <si>
    <t>474300</t>
  </si>
  <si>
    <t>Maloobchod s textilem</t>
  </si>
  <si>
    <t>475100</t>
  </si>
  <si>
    <t>Maloobchod s železářským zbožím, barvami, sklem a potřebami pro kutily</t>
  </si>
  <si>
    <t>475200</t>
  </si>
  <si>
    <t>Maloobchod s koberci, podlahovými krytinami a nástěnnými obklady</t>
  </si>
  <si>
    <t>475300</t>
  </si>
  <si>
    <t>Maloobchod s elektrospotřebiči a elektronikou</t>
  </si>
  <si>
    <t>475400</t>
  </si>
  <si>
    <t>Maloobchod s nábytkem,svítidly a ost.výr.přev.pro dom.ve specializ.prod.</t>
  </si>
  <si>
    <t>475900</t>
  </si>
  <si>
    <t>Maloobchod s knihami</t>
  </si>
  <si>
    <t>476100</t>
  </si>
  <si>
    <t>Maloobchod s novinami, časopisy a papírnickým zbožím</t>
  </si>
  <si>
    <t>476200</t>
  </si>
  <si>
    <t>Maloobchod s audio- a videozáznamy</t>
  </si>
  <si>
    <t>476300</t>
  </si>
  <si>
    <t>Maloobchod se sportovním vybavením</t>
  </si>
  <si>
    <t>476400</t>
  </si>
  <si>
    <t>Maloobchod s hrami a hračkami</t>
  </si>
  <si>
    <t>476500</t>
  </si>
  <si>
    <t>Maloobchod s oděvy</t>
  </si>
  <si>
    <t>477100</t>
  </si>
  <si>
    <t>Maloobchod s obuví a koženými výrobky</t>
  </si>
  <si>
    <t>477200</t>
  </si>
  <si>
    <t>Maloobchod s farmaceutickými přípravky</t>
  </si>
  <si>
    <t>477300</t>
  </si>
  <si>
    <t>Maloobchod se zdravotnickými a ortopedickými výrobky</t>
  </si>
  <si>
    <t>477400</t>
  </si>
  <si>
    <t>Maloobchod s kosmetickými a toaletními výrobky</t>
  </si>
  <si>
    <t>477500</t>
  </si>
  <si>
    <t>Maloob.s květinami,rostl.,osivy,hnoj.,zvířaty pro záj.chov a krmivy pro ně</t>
  </si>
  <si>
    <t>477600</t>
  </si>
  <si>
    <t>Maloobchod s hodinami, hodinkami a klenoty</t>
  </si>
  <si>
    <t>477700</t>
  </si>
  <si>
    <t>Ostatní maloobchod s novým zbožím ve specializovaných prodejnách</t>
  </si>
  <si>
    <t>477800</t>
  </si>
  <si>
    <t>Maloobchod s použitým zbožím v prodejnách</t>
  </si>
  <si>
    <t>477900</t>
  </si>
  <si>
    <t>Maloobchod s potravinami,nápoji a tabák.výrobky ve stáncích a na trzích</t>
  </si>
  <si>
    <t>478100</t>
  </si>
  <si>
    <t>Maloobchod s textilem, oděvy a obuví ve stáncích a na trzích</t>
  </si>
  <si>
    <t>478200</t>
  </si>
  <si>
    <t>Maloobchod s ostatním zbožím ve stáncích a na trzích</t>
  </si>
  <si>
    <t>478900</t>
  </si>
  <si>
    <t>Maloobchod prostřednictvím internetu nebo zásilkové služby</t>
  </si>
  <si>
    <t>479100</t>
  </si>
  <si>
    <t>Ostatní maloobchod mimo prodejny, stánky a trhy</t>
  </si>
  <si>
    <t>479900</t>
  </si>
  <si>
    <t>Městská a příměstská pozemní osobní doprava</t>
  </si>
  <si>
    <t>493100</t>
  </si>
  <si>
    <t>Taxislužba a pronájem osobních vozů s řidičem</t>
  </si>
  <si>
    <t>493200</t>
  </si>
  <si>
    <t>Ostatní pozemní osobní doprava j. n.</t>
  </si>
  <si>
    <t>493900</t>
  </si>
  <si>
    <t>Silniční nákladní doprava</t>
  </si>
  <si>
    <t>494100</t>
  </si>
  <si>
    <t>Stěhovací služby</t>
  </si>
  <si>
    <t>494200</t>
  </si>
  <si>
    <t>Těžba černého uhlí</t>
  </si>
  <si>
    <t>051010</t>
  </si>
  <si>
    <t>Úprava černého uhlí</t>
  </si>
  <si>
    <t>051020</t>
  </si>
  <si>
    <t>Letecká nákladní doprava</t>
  </si>
  <si>
    <t>512100</t>
  </si>
  <si>
    <t>Kosmická doprava</t>
  </si>
  <si>
    <t>512200</t>
  </si>
  <si>
    <t>Těžba hnědého uhlí, kromě lignitu</t>
  </si>
  <si>
    <t>052010</t>
  </si>
  <si>
    <t>Úprava hnědého uhlí, kromě lignitu</t>
  </si>
  <si>
    <t>052020</t>
  </si>
  <si>
    <t>Těžba lignitu</t>
  </si>
  <si>
    <t>052030</t>
  </si>
  <si>
    <t>Úprava lignitu</t>
  </si>
  <si>
    <t>052040</t>
  </si>
  <si>
    <t>Činnosti související s pozemní dopravou</t>
  </si>
  <si>
    <t>522100</t>
  </si>
  <si>
    <t>Činnosti související s vodní dopravou</t>
  </si>
  <si>
    <t>522200</t>
  </si>
  <si>
    <t>Činnosti související s leteckou dopravou</t>
  </si>
  <si>
    <t>522300</t>
  </si>
  <si>
    <t>Manipulace s nákladem</t>
  </si>
  <si>
    <t>522400</t>
  </si>
  <si>
    <t>Ostatní vedlejší činnosti v dopravě</t>
  </si>
  <si>
    <t>522900</t>
  </si>
  <si>
    <t>Poskytování cateringových služeb</t>
  </si>
  <si>
    <t>562100</t>
  </si>
  <si>
    <t>Poskytování ostatních stravovacích služeb</t>
  </si>
  <si>
    <t>562900</t>
  </si>
  <si>
    <t>Vydávání knih</t>
  </si>
  <si>
    <t>581100</t>
  </si>
  <si>
    <t>Vydávání adresářů a jiných seznamů</t>
  </si>
  <si>
    <t>581200</t>
  </si>
  <si>
    <t>Vydávání novin</t>
  </si>
  <si>
    <t>581300</t>
  </si>
  <si>
    <t>Vydávání časopisů a ostatních periodických publikací</t>
  </si>
  <si>
    <t>581400</t>
  </si>
  <si>
    <t>Ostatní vydavatelské činnosti</t>
  </si>
  <si>
    <t>581900</t>
  </si>
  <si>
    <t>Vydávání počítačových her</t>
  </si>
  <si>
    <t>582100</t>
  </si>
  <si>
    <t>Ostatní vydávání softwaru</t>
  </si>
  <si>
    <t>582900</t>
  </si>
  <si>
    <t>Produkce filmů, videozáznamů a televizních programů</t>
  </si>
  <si>
    <t>591100</t>
  </si>
  <si>
    <t>Postprodukce filmů, videozáznamů a televizních programů</t>
  </si>
  <si>
    <t>591200</t>
  </si>
  <si>
    <t>Distribuce filmů, videozáznamů a televizních programů</t>
  </si>
  <si>
    <t>591300</t>
  </si>
  <si>
    <t>Promítání filmů</t>
  </si>
  <si>
    <t>591400</t>
  </si>
  <si>
    <t>Programování</t>
  </si>
  <si>
    <t>620100</t>
  </si>
  <si>
    <t>Poradenství v oblasti informačních technologií</t>
  </si>
  <si>
    <t>620200</t>
  </si>
  <si>
    <t>Správa počítačového vybavení</t>
  </si>
  <si>
    <t>620300</t>
  </si>
  <si>
    <t>Ostatní činnosti v oblasti informačních technologií</t>
  </si>
  <si>
    <t>620900</t>
  </si>
  <si>
    <t>Činnosti související se zpracováním dat a hostingem</t>
  </si>
  <si>
    <t>631100</t>
  </si>
  <si>
    <t>Činnosti související s webovými portály</t>
  </si>
  <si>
    <t>631200</t>
  </si>
  <si>
    <t>Činnosti zpravodajských tiskových kanceláří a agentur</t>
  </si>
  <si>
    <t>639100</t>
  </si>
  <si>
    <t>Ostatní informační činnosti j. n.</t>
  </si>
  <si>
    <t>639900</t>
  </si>
  <si>
    <t>Centrální bankovnictví</t>
  </si>
  <si>
    <t>641100</t>
  </si>
  <si>
    <t>Ostatní peněžní zprostředkování</t>
  </si>
  <si>
    <t>641900</t>
  </si>
  <si>
    <t>Finanční leasing</t>
  </si>
  <si>
    <t>649100</t>
  </si>
  <si>
    <t>Ostatní poskytování úvěrů</t>
  </si>
  <si>
    <t>649200</t>
  </si>
  <si>
    <t>Ostatní finanční zprostředkování j. n.</t>
  </si>
  <si>
    <t>649900</t>
  </si>
  <si>
    <t>životní pojištění</t>
  </si>
  <si>
    <t>651100</t>
  </si>
  <si>
    <t>Neživotní pojištění</t>
  </si>
  <si>
    <t>651200</t>
  </si>
  <si>
    <t>Řízení a správa finančních trhů</t>
  </si>
  <si>
    <t>661100</t>
  </si>
  <si>
    <t>Obchodování s cennými papíry a komoditami na burzách</t>
  </si>
  <si>
    <t>661200</t>
  </si>
  <si>
    <t>Ostatní pomocné činnosti související s finančním zprostředkováním</t>
  </si>
  <si>
    <t>661900</t>
  </si>
  <si>
    <t>Vyhodnocování rizik a škod</t>
  </si>
  <si>
    <t>662100</t>
  </si>
  <si>
    <t>Činnosti zástupců pojišťovny a makléřů</t>
  </si>
  <si>
    <t>662200</t>
  </si>
  <si>
    <t>Ostatní pomocné činnosti související s pojišťovnictvím a penz.fin.</t>
  </si>
  <si>
    <t>662900</t>
  </si>
  <si>
    <t>Zprostředkovatelské činnosti realitních agentur</t>
  </si>
  <si>
    <t>683100</t>
  </si>
  <si>
    <t>Správa nemovitostí na základě smlouvy</t>
  </si>
  <si>
    <t>683200</t>
  </si>
  <si>
    <t>Poradenství v oblasti vztahů s veřejností a komunikace</t>
  </si>
  <si>
    <t>702100</t>
  </si>
  <si>
    <t>Ostatní poradenství v oblasti podnikání a řízení</t>
  </si>
  <si>
    <t>702200</t>
  </si>
  <si>
    <t>Těžba železných rud</t>
  </si>
  <si>
    <t>071010</t>
  </si>
  <si>
    <t>Úprava železných rud</t>
  </si>
  <si>
    <t>071020</t>
  </si>
  <si>
    <t>Architektonické činnosti</t>
  </si>
  <si>
    <t>711100</t>
  </si>
  <si>
    <t>Inženýrské činnosti a související technické poradenství</t>
  </si>
  <si>
    <t>711200</t>
  </si>
  <si>
    <t>Výzkum a vývoj v oblasti biotechnologie</t>
  </si>
  <si>
    <t>721100</t>
  </si>
  <si>
    <t>Těžba uranových a thoriových rud</t>
  </si>
  <si>
    <t>072110</t>
  </si>
  <si>
    <t>Úprava uranových a thoriových rud</t>
  </si>
  <si>
    <t>072120</t>
  </si>
  <si>
    <t>Ostatní výzkum a vývoj voblasti přírodních atechnických věd</t>
  </si>
  <si>
    <t>721900</t>
  </si>
  <si>
    <t>Těžba ostatních neželezných rud</t>
  </si>
  <si>
    <t>072910</t>
  </si>
  <si>
    <t>Úprava ostatních neželezných rud</t>
  </si>
  <si>
    <t>072920</t>
  </si>
  <si>
    <t>Činnosti reklamních agentur</t>
  </si>
  <si>
    <t>731100</t>
  </si>
  <si>
    <t>Zastupování médií při prodeji reklamního času a prostoru</t>
  </si>
  <si>
    <t>731200</t>
  </si>
  <si>
    <t>Pronájem a leasing automob.a jiných lehkých motor.vozidel,kromě motocyklů</t>
  </si>
  <si>
    <t>771100</t>
  </si>
  <si>
    <t>Pronájem a leasing nákladních automobilů</t>
  </si>
  <si>
    <t>771200</t>
  </si>
  <si>
    <t>Pronájem a leasing rekreačních a sportovních potřeb</t>
  </si>
  <si>
    <t>772100</t>
  </si>
  <si>
    <t>Pronájem videokazet a disků</t>
  </si>
  <si>
    <t>772200</t>
  </si>
  <si>
    <t>Pronájem a leasing ost.výrobků pro osob.potřebu a převážně pro domácnost</t>
  </si>
  <si>
    <t>772900</t>
  </si>
  <si>
    <t>Pronájem a leasing zemědělských strojů a zařízení</t>
  </si>
  <si>
    <t>773100</t>
  </si>
  <si>
    <t>Pronájem a leasing stavebních strojů a zařízení</t>
  </si>
  <si>
    <t>773200</t>
  </si>
  <si>
    <t>Pronájem a leasing kancelářských strojů a zařízení, včetně počítačů</t>
  </si>
  <si>
    <t>773300</t>
  </si>
  <si>
    <t>Pronájem a leasing vodních dopravních prostředků</t>
  </si>
  <si>
    <t>773400</t>
  </si>
  <si>
    <t>Pronájem a leasing leteckých dopravních prostředků</t>
  </si>
  <si>
    <t>773500</t>
  </si>
  <si>
    <t>Pronájem a leasing ostatních strojů, zařízení a výrobků j. n.</t>
  </si>
  <si>
    <t>773900</t>
  </si>
  <si>
    <t>Činnosti cestovních agentur</t>
  </si>
  <si>
    <t>791100</t>
  </si>
  <si>
    <t>Činnosti cestovních kanceláří</t>
  </si>
  <si>
    <t>791200</t>
  </si>
  <si>
    <t>Všeobecný úklid budov</t>
  </si>
  <si>
    <t>812100</t>
  </si>
  <si>
    <t>Specializované čištění a úklid budov a průmyslových zařízení</t>
  </si>
  <si>
    <t>812200</t>
  </si>
  <si>
    <t>Ostatní úklidové činnosti</t>
  </si>
  <si>
    <t>812900</t>
  </si>
  <si>
    <t>Univerzální administrativní činnosti</t>
  </si>
  <si>
    <t>821100</t>
  </si>
  <si>
    <t>Kopírování,příprava dokumentů a ost.specializ.kancel.podpůrné činnosti</t>
  </si>
  <si>
    <t>821900</t>
  </si>
  <si>
    <t>Inkasní činnosti, ověřování solventnosti zákazníka</t>
  </si>
  <si>
    <t>829100</t>
  </si>
  <si>
    <t>Balicí činnosti</t>
  </si>
  <si>
    <t>829200</t>
  </si>
  <si>
    <t>Ostatní podpůrné činnosti pro podnikání j. n.</t>
  </si>
  <si>
    <t>829900</t>
  </si>
  <si>
    <t>Všeobecné činnosti veřejné správy</t>
  </si>
  <si>
    <t>841100</t>
  </si>
  <si>
    <t>Regul.čin.souvis.s poskyt.zdr.péče,vzděl.,kulturou a soc.péčí,kromě soc.z.</t>
  </si>
  <si>
    <t>841200</t>
  </si>
  <si>
    <t>Regulace a podpora podnikatelského prostředí</t>
  </si>
  <si>
    <t>841300</t>
  </si>
  <si>
    <t>Činnosti v oblasti zahraničních věcí</t>
  </si>
  <si>
    <t>842100</t>
  </si>
  <si>
    <t>Činnosti v oblasti obrany</t>
  </si>
  <si>
    <t>842200</t>
  </si>
  <si>
    <t>Činnosti v oblasti spravedlnosti a soudnictví</t>
  </si>
  <si>
    <t>842300</t>
  </si>
  <si>
    <t>Činnosti v oblasti veřejného pořádku a bezpečnosti</t>
  </si>
  <si>
    <t>842400</t>
  </si>
  <si>
    <t>Činnosti v oblasti protipožární ochrany</t>
  </si>
  <si>
    <t>842500</t>
  </si>
  <si>
    <t>Sekundární všeobecné vzdělávání</t>
  </si>
  <si>
    <t>853100</t>
  </si>
  <si>
    <t>Sekundární odborné vzdělávání</t>
  </si>
  <si>
    <t>853200</t>
  </si>
  <si>
    <t>Postsekundární nikoli terciární vzdělávání</t>
  </si>
  <si>
    <t>854100</t>
  </si>
  <si>
    <t>Terciární vzdělávání</t>
  </si>
  <si>
    <t>854200</t>
  </si>
  <si>
    <t>Sportovní a rekreační vzdělávání</t>
  </si>
  <si>
    <t>855100</t>
  </si>
  <si>
    <t>Umělecké vzdělávání</t>
  </si>
  <si>
    <t>855200</t>
  </si>
  <si>
    <t>Činnosti autoškol a jiných škol řízení</t>
  </si>
  <si>
    <t>855300</t>
  </si>
  <si>
    <t>Ostatní vzdělávání j. n.</t>
  </si>
  <si>
    <t>855900</t>
  </si>
  <si>
    <t>Všeobecná ambulantní zdravotní péče</t>
  </si>
  <si>
    <t>862100</t>
  </si>
  <si>
    <t>Specializovaná ambulantní zdravotní péče</t>
  </si>
  <si>
    <t>862200</t>
  </si>
  <si>
    <t>Zubní péče</t>
  </si>
  <si>
    <t>862300</t>
  </si>
  <si>
    <t>Sociální služby poskytované dětem</t>
  </si>
  <si>
    <t>889100</t>
  </si>
  <si>
    <t>Ostatní ambulantní nebo terénní sociální služby j. n.</t>
  </si>
  <si>
    <t>889900</t>
  </si>
  <si>
    <t>Scénická umění</t>
  </si>
  <si>
    <t>900100</t>
  </si>
  <si>
    <t>Podpůrné činnosti pro scénická umění</t>
  </si>
  <si>
    <t>900200</t>
  </si>
  <si>
    <t>Umělecká tvorba</t>
  </si>
  <si>
    <t>900300</t>
  </si>
  <si>
    <t>Provozování kulturních zařízení</t>
  </si>
  <si>
    <t>900400</t>
  </si>
  <si>
    <t>Činnosti knihoven a archivů</t>
  </si>
  <si>
    <t>910100</t>
  </si>
  <si>
    <t>Činnosti muzeí</t>
  </si>
  <si>
    <t>910200</t>
  </si>
  <si>
    <t>Provozování kultur.památek,histor.staveb a obdobných turist.zajímavostí</t>
  </si>
  <si>
    <t>910300</t>
  </si>
  <si>
    <t>Činnosti botanických a zoologických zahrad,přír.rezervací a národ.parků</t>
  </si>
  <si>
    <t>910400</t>
  </si>
  <si>
    <t>Provozování sportovních zařízení</t>
  </si>
  <si>
    <t>931100</t>
  </si>
  <si>
    <t>Činnosti sportovních klubů</t>
  </si>
  <si>
    <t>931200</t>
  </si>
  <si>
    <t>Činnosti fitcenter</t>
  </si>
  <si>
    <t>931300</t>
  </si>
  <si>
    <t>Ostatní sportovní činnosti</t>
  </si>
  <si>
    <t>931900</t>
  </si>
  <si>
    <t>Činnosti lunaparků a zábavních parků</t>
  </si>
  <si>
    <t>932100</t>
  </si>
  <si>
    <t>Ostatní zábavní a rekreační činnosti j. n.</t>
  </si>
  <si>
    <t>932900</t>
  </si>
  <si>
    <t>Činnosti podnikatelských a zaměstnavatelských organizací</t>
  </si>
  <si>
    <t>941100</t>
  </si>
  <si>
    <t>Činnosti profesních organizací</t>
  </si>
  <si>
    <t>941200</t>
  </si>
  <si>
    <t>Činnosti náboženských organizací</t>
  </si>
  <si>
    <t>949100</t>
  </si>
  <si>
    <t>Činnosti politických stran a organizací</t>
  </si>
  <si>
    <t>949200</t>
  </si>
  <si>
    <t>Činnosti ost.org.sdružujících osoby za účelem prosazování spol.zájmů j.n.</t>
  </si>
  <si>
    <t>949900</t>
  </si>
  <si>
    <t>Opravy počítačů a periferních zařízení</t>
  </si>
  <si>
    <t>951100</t>
  </si>
  <si>
    <t>Opravy komunikačních zařízení</t>
  </si>
  <si>
    <t>951200</t>
  </si>
  <si>
    <t>Opravy spotřební elektroniky</t>
  </si>
  <si>
    <t>952100</t>
  </si>
  <si>
    <t>Opravy přístrojů a zařízení převážně pro domácnost, dům a zahradu</t>
  </si>
  <si>
    <t>952200</t>
  </si>
  <si>
    <t>Opravy obuvi a kožených výrobků</t>
  </si>
  <si>
    <t>952300</t>
  </si>
  <si>
    <t>Opravy nábytku a bytového zařízení</t>
  </si>
  <si>
    <t>952400</t>
  </si>
  <si>
    <t>Opravy hodin, hodinek a klenotnických výrobků</t>
  </si>
  <si>
    <t>952500</t>
  </si>
  <si>
    <t>Opravy ostatních výrobků pro osobní potřebu a převážně pro domácnost</t>
  </si>
  <si>
    <t>952900</t>
  </si>
  <si>
    <t>Praní a chemické čištění textilních a kožešinových výrobků</t>
  </si>
  <si>
    <t>960100</t>
  </si>
  <si>
    <t>Kadeřnické, kosmetické a podobné činnosti</t>
  </si>
  <si>
    <t>960200</t>
  </si>
  <si>
    <t>Pohřební a související činnosti</t>
  </si>
  <si>
    <t>960300</t>
  </si>
  <si>
    <t>Činnosti pro osobní a fyzickou pohodu</t>
  </si>
  <si>
    <t>960400</t>
  </si>
  <si>
    <t>Poskytování ostatních osobních služeb j. n.</t>
  </si>
  <si>
    <t>960900</t>
  </si>
  <si>
    <t>Činnosti domácností produk.blíže neurčené výrobky pro vlastní potřebu</t>
  </si>
  <si>
    <t>Výroba obuvi s usňovým svrškem</t>
  </si>
  <si>
    <t>152010</t>
  </si>
  <si>
    <t>Výroba obuvi z ostatních materiálů</t>
  </si>
  <si>
    <t>152090</t>
  </si>
  <si>
    <t>Výroba chemických buničin</t>
  </si>
  <si>
    <t>171110</t>
  </si>
  <si>
    <t>Výroba mechanických vláknin</t>
  </si>
  <si>
    <t>171120</t>
  </si>
  <si>
    <t>Výroba ostatních papírenských vláknin</t>
  </si>
  <si>
    <t>171130</t>
  </si>
  <si>
    <t>Výroba bioet.(biolihu)pro pohon motorů a pro výr.směsí a komp.paliv</t>
  </si>
  <si>
    <t>201410</t>
  </si>
  <si>
    <t>Výroba ostatních základních organických chemických látek</t>
  </si>
  <si>
    <t>201490</t>
  </si>
  <si>
    <t>Výr.metylesterů a etylesterů mast.kys.pro pohon motorů a pro výr.sm.p.</t>
  </si>
  <si>
    <t>205910</t>
  </si>
  <si>
    <t>Výroba jiných chemických výrobků j. n.</t>
  </si>
  <si>
    <t>205990</t>
  </si>
  <si>
    <t>Výroba surového železa, oceli a feroslitin</t>
  </si>
  <si>
    <t>241010</t>
  </si>
  <si>
    <t>Výroba plochých výrobků (kromě pásky za studena)</t>
  </si>
  <si>
    <t>241020</t>
  </si>
  <si>
    <t>Tváření výrobků za tepla</t>
  </si>
  <si>
    <t>241030</t>
  </si>
  <si>
    <t>Výroba odlitků z litiny s lupínkovým grafitem</t>
  </si>
  <si>
    <t>245110</t>
  </si>
  <si>
    <t>Výroba odlitků z litiny s kuličkovým grafitem</t>
  </si>
  <si>
    <t>245120</t>
  </si>
  <si>
    <t>Výroba ostatních odlitků z litiny</t>
  </si>
  <si>
    <t>245190</t>
  </si>
  <si>
    <t>Výroba odlitků z uhlíkatých ocelí</t>
  </si>
  <si>
    <t>245210</t>
  </si>
  <si>
    <t>Výroba odlitků z legovaných ocelí</t>
  </si>
  <si>
    <t>245220</t>
  </si>
  <si>
    <t>Opravy a údržba kolejových vozidel</t>
  </si>
  <si>
    <t>331710</t>
  </si>
  <si>
    <t>Opravy a údržba ostat.dopr.prostředků a zařízení j.n.kromě kolej.vozidel</t>
  </si>
  <si>
    <t>331790</t>
  </si>
  <si>
    <t>Výroba a rozvod tepla a klimatizovaného vzduchu,výroba ledu</t>
  </si>
  <si>
    <t>Výroba tepla</t>
  </si>
  <si>
    <t>353010</t>
  </si>
  <si>
    <t>Rozvod tepla</t>
  </si>
  <si>
    <t>353020</t>
  </si>
  <si>
    <t>Výroba klimatizovaného vzduchu</t>
  </si>
  <si>
    <t>353030</t>
  </si>
  <si>
    <t>Rozvod klimatizovaného vzduchu</t>
  </si>
  <si>
    <t>353040</t>
  </si>
  <si>
    <t>Výroba chladicí vody</t>
  </si>
  <si>
    <t>353050</t>
  </si>
  <si>
    <t>Rozvod chladicí vody</t>
  </si>
  <si>
    <t>353060</t>
  </si>
  <si>
    <t>Výroba ledu</t>
  </si>
  <si>
    <t>353070</t>
  </si>
  <si>
    <t>Výstavba nebytových budov</t>
  </si>
  <si>
    <t>412020</t>
  </si>
  <si>
    <t>Výstavba inženýrských sítí pro kapaliny</t>
  </si>
  <si>
    <t>422110</t>
  </si>
  <si>
    <t>Výstavba inženýrských sítí pro plyny</t>
  </si>
  <si>
    <t>422120</t>
  </si>
  <si>
    <t>Sklenářské práce</t>
  </si>
  <si>
    <t>433410</t>
  </si>
  <si>
    <t>Malířské a natěračské práce</t>
  </si>
  <si>
    <t>433420</t>
  </si>
  <si>
    <t>Montáž a demontáž lešení a bednění</t>
  </si>
  <si>
    <t>439910</t>
  </si>
  <si>
    <t>Jiné specializované stavební činnosti j. n.</t>
  </si>
  <si>
    <t>439990</t>
  </si>
  <si>
    <t>Zprostředkování velkoobchodu a velkoobchod v zastoupení s papír.výrobky</t>
  </si>
  <si>
    <t>461810</t>
  </si>
  <si>
    <t>Zprostř.specializ.velkoobchodu a velkoobchod v zast.s ost.výrobky j.n.</t>
  </si>
  <si>
    <t>461890</t>
  </si>
  <si>
    <t>Velkoobchod s oděvy</t>
  </si>
  <si>
    <t>464210</t>
  </si>
  <si>
    <t>Velkoobchod s obuví</t>
  </si>
  <si>
    <t>464220</t>
  </si>
  <si>
    <t>Velkoobchod s porcelánovými, keramickými a skleněnými výrobky</t>
  </si>
  <si>
    <t>464410</t>
  </si>
  <si>
    <t>Velkoobchod s pracími a čisticími prostředky</t>
  </si>
  <si>
    <t>464420</t>
  </si>
  <si>
    <t>Velkoobchod s pevnými palivy a příbuznými výrobky</t>
  </si>
  <si>
    <t>467110</t>
  </si>
  <si>
    <t>Velkoobchod s kapalnými palivy a příbuznými výrobky</t>
  </si>
  <si>
    <t>467120</t>
  </si>
  <si>
    <t>Velkoobchod s plynnými palivy a příbuznými výrobky</t>
  </si>
  <si>
    <t>467130</t>
  </si>
  <si>
    <t>Velkoobchod s papírenskými meziprodukty</t>
  </si>
  <si>
    <t>467610</t>
  </si>
  <si>
    <t>Velkoobchod s ostatními meziprodukty j. n.</t>
  </si>
  <si>
    <t>467690</t>
  </si>
  <si>
    <t>Maloobchod s fotografickým a optickým zařízením a potřebami</t>
  </si>
  <si>
    <t>477810</t>
  </si>
  <si>
    <t>Maloobchod s pevnými palivy</t>
  </si>
  <si>
    <t>477820</t>
  </si>
  <si>
    <t>Maloobchod s kapalnými palivy (kromě pohonných hmot)</t>
  </si>
  <si>
    <t>477830</t>
  </si>
  <si>
    <t>Maloobchod s plynnými palivy (kromě pohonných hmot)</t>
  </si>
  <si>
    <t>477840</t>
  </si>
  <si>
    <t>Ostatní maloobchod s novým zbožím ve specializovaných prodejnách j. n.</t>
  </si>
  <si>
    <t>477890</t>
  </si>
  <si>
    <t>Maloobchod prostřednictvím internetu</t>
  </si>
  <si>
    <t>479110</t>
  </si>
  <si>
    <t>Maloobchod prostřednictvím zásilkové služby(jiný než prostř.internetu)</t>
  </si>
  <si>
    <t>479120</t>
  </si>
  <si>
    <t>Meziměstská pravidelná pozemní osobní doprava</t>
  </si>
  <si>
    <t>493910</t>
  </si>
  <si>
    <t>Osobní doprava lanovkou nebo vlekem</t>
  </si>
  <si>
    <t>493920</t>
  </si>
  <si>
    <t>Nepravidelná pozemní osobní doprava</t>
  </si>
  <si>
    <t>493930</t>
  </si>
  <si>
    <t>Jiná pozemní osobní doprava j. n.</t>
  </si>
  <si>
    <t>493990</t>
  </si>
  <si>
    <t>Potrubní doprava ropovodem</t>
  </si>
  <si>
    <t>495010</t>
  </si>
  <si>
    <t>Potrubní doprava plynovodem</t>
  </si>
  <si>
    <t>495020</t>
  </si>
  <si>
    <t>Potrubní doprava ostatní</t>
  </si>
  <si>
    <t>495090</t>
  </si>
  <si>
    <t>Vnitrostátní pravidelná letecká osobní doprava</t>
  </si>
  <si>
    <t>511010</t>
  </si>
  <si>
    <t>Vnitrostátní nepravidelná letecká osobní doprava</t>
  </si>
  <si>
    <t>511020</t>
  </si>
  <si>
    <t>Mezinárodní pravidelná letecká osobní doprava</t>
  </si>
  <si>
    <t>511030</t>
  </si>
  <si>
    <t>Mezinárodní nepravidelná letecká osobní doprava</t>
  </si>
  <si>
    <t>511040</t>
  </si>
  <si>
    <t>Ostatní letecká osobní doprava</t>
  </si>
  <si>
    <t>511090</t>
  </si>
  <si>
    <t>Hotely</t>
  </si>
  <si>
    <t>551010</t>
  </si>
  <si>
    <t>Motely, botely</t>
  </si>
  <si>
    <t>551020</t>
  </si>
  <si>
    <t>Ostatní podobná ubytovací zařízení</t>
  </si>
  <si>
    <t>551090</t>
  </si>
  <si>
    <t>Ubytování v zařízených pronájmech</t>
  </si>
  <si>
    <t>559010</t>
  </si>
  <si>
    <t>Ubytování ve vysokoškolských kolejích, domovech mládeže</t>
  </si>
  <si>
    <t>559020</t>
  </si>
  <si>
    <t>Ostatní ubytování j. n.</t>
  </si>
  <si>
    <t>559090</t>
  </si>
  <si>
    <t>Stravování v závodních kuchyních</t>
  </si>
  <si>
    <t>562910</t>
  </si>
  <si>
    <t>Stravování ve školních zařízeních, menzách</t>
  </si>
  <si>
    <t>562920</t>
  </si>
  <si>
    <t>Poskytování jiných stravovacích služeb j. n.</t>
  </si>
  <si>
    <t>562990</t>
  </si>
  <si>
    <t>Poskytování hlasových služeb přes pevnou telekomunikační síť</t>
  </si>
  <si>
    <t>611010</t>
  </si>
  <si>
    <t>Pronájem pevné telekomunikační sítě</t>
  </si>
  <si>
    <t>611020</t>
  </si>
  <si>
    <t>Přenos dat přes pevnou telekomunikační síť</t>
  </si>
  <si>
    <t>611030</t>
  </si>
  <si>
    <t>Poskytování přístupu k internetu přes pevnou telekomunikační síť</t>
  </si>
  <si>
    <t>611040</t>
  </si>
  <si>
    <t>Ostatní činnosti související s pevnou telekomunikační sítí</t>
  </si>
  <si>
    <t>611090</t>
  </si>
  <si>
    <t>Poskytování hlasových služeb přes bezdrátovou telekomunikační síť</t>
  </si>
  <si>
    <t>612010</t>
  </si>
  <si>
    <t>Pronájem bezdrátové telekomunikační sítě</t>
  </si>
  <si>
    <t>612020</t>
  </si>
  <si>
    <t>Přenos dat přes bezdrátovou telekomunikační síť</t>
  </si>
  <si>
    <t>612030</t>
  </si>
  <si>
    <t>Poskytování přístupu k internetu přes bezdrátovou telekomunikační síť</t>
  </si>
  <si>
    <t>612040</t>
  </si>
  <si>
    <t>Ostatní činnosti související s bezdrátovou telekomunikační sítí</t>
  </si>
  <si>
    <t>612090</t>
  </si>
  <si>
    <t>Poskytování úvěrů společnostmi, které nepřijímají vklady</t>
  </si>
  <si>
    <t>649210</t>
  </si>
  <si>
    <t>Poskytování obchodních úvěrů</t>
  </si>
  <si>
    <t>649220</t>
  </si>
  <si>
    <t>Činnosti zastaváren</t>
  </si>
  <si>
    <t>649230</t>
  </si>
  <si>
    <t>Ostatní poskytování úvěrů j. n.</t>
  </si>
  <si>
    <t>649290</t>
  </si>
  <si>
    <t>Faktoringové činnosti</t>
  </si>
  <si>
    <t>649910</t>
  </si>
  <si>
    <t>Obchodování s cennými papíry na vlastní účet</t>
  </si>
  <si>
    <t>649920</t>
  </si>
  <si>
    <t>Jiné finanční zprostředkování j. n.</t>
  </si>
  <si>
    <t>649990</t>
  </si>
  <si>
    <t>Pronájem vlastních nebo pronajatých nemovitostí s bytovými prostory</t>
  </si>
  <si>
    <t>682010</t>
  </si>
  <si>
    <t>Pronájem vlastních nebo pronajatých nemovitostí s nebytovými prostory</t>
  </si>
  <si>
    <t>682020</t>
  </si>
  <si>
    <t>Správa vlastních nebo pronajatých nemovitostí s bytovými prostory</t>
  </si>
  <si>
    <t>682030</t>
  </si>
  <si>
    <t>Správa vlastních nebo pronajatých nemovitostí s nebytovými prostory</t>
  </si>
  <si>
    <t>682040</t>
  </si>
  <si>
    <t>Geologický průzkum</t>
  </si>
  <si>
    <t>711210</t>
  </si>
  <si>
    <t>Zeměměřické a kartografické činnosti</t>
  </si>
  <si>
    <t>711220</t>
  </si>
  <si>
    <t>Hydrometeorologické a meteorologické činnosti</t>
  </si>
  <si>
    <t>711230</t>
  </si>
  <si>
    <t>Ostatní inženýrské činnosti a související technické poradenství j. n.</t>
  </si>
  <si>
    <t>711290</t>
  </si>
  <si>
    <t>Zkoušky a analýzy vyhrazených technických zařízení</t>
  </si>
  <si>
    <t>712010</t>
  </si>
  <si>
    <t>Ostatní technické zkouky a analýzy</t>
  </si>
  <si>
    <t>712090</t>
  </si>
  <si>
    <t>Ostatní výzkum a vývoj v oblasti přírodních a technických věd</t>
  </si>
  <si>
    <t>Výzkum a vývoj v oblasti lékařských věd</t>
  </si>
  <si>
    <t>721910</t>
  </si>
  <si>
    <t>Výzkum a vývoj v oblasti technických věd</t>
  </si>
  <si>
    <t>721920</t>
  </si>
  <si>
    <t>Výzkum a vývoj v oblasti jiných přírodních věd</t>
  </si>
  <si>
    <t>721990</t>
  </si>
  <si>
    <t>Ostatní profesní,vědecké a technické činnosti j.n.</t>
  </si>
  <si>
    <t>Poradenství v oblasti bezpečnosti a ochrany zdraví při práci</t>
  </si>
  <si>
    <t>749010</t>
  </si>
  <si>
    <t>Poradenství v oblasti požární ochrany</t>
  </si>
  <si>
    <t>749020</t>
  </si>
  <si>
    <t>Jiné profesní, vědecké a technické činnosti j. n.</t>
  </si>
  <si>
    <t>749090</t>
  </si>
  <si>
    <t>Průvodcovské činnosti</t>
  </si>
  <si>
    <t>799010</t>
  </si>
  <si>
    <t>Ostatní rezervační a související činnosti j. n.</t>
  </si>
  <si>
    <t>799090</t>
  </si>
  <si>
    <t>Pomoc cizím zemím při katastrof.nebo v nouz.sit.přímo nebo prostř.mez.org.</t>
  </si>
  <si>
    <t>842110</t>
  </si>
  <si>
    <t>Rozvíjení vzájemného přátelství a porozumění mezi národy</t>
  </si>
  <si>
    <t>842120</t>
  </si>
  <si>
    <t>Ostatní činnosti v oblasti zahraničních věcí</t>
  </si>
  <si>
    <t>842190</t>
  </si>
  <si>
    <t>Základní vzdělávání na druhém stupni základních škol</t>
  </si>
  <si>
    <t>853110</t>
  </si>
  <si>
    <t>Střední všeobecné vzdělávání</t>
  </si>
  <si>
    <t>853120</t>
  </si>
  <si>
    <t>Střední odborné vzdělávání na učilištích</t>
  </si>
  <si>
    <t>853210</t>
  </si>
  <si>
    <t>Střední odborné vzdělávání na středních odborných školách</t>
  </si>
  <si>
    <t>853220</t>
  </si>
  <si>
    <t>Činnosti autoškol</t>
  </si>
  <si>
    <t>855310</t>
  </si>
  <si>
    <t>Činnosti leteckých škol</t>
  </si>
  <si>
    <t>855320</t>
  </si>
  <si>
    <t>Činnosti ostatních škol řízení</t>
  </si>
  <si>
    <t>855390</t>
  </si>
  <si>
    <t>Vzdělávání v jazykových školách</t>
  </si>
  <si>
    <t>855910</t>
  </si>
  <si>
    <t>Environmentální vzdělávání</t>
  </si>
  <si>
    <t>855920</t>
  </si>
  <si>
    <t>Inovační vzdělávání</t>
  </si>
  <si>
    <t>855930</t>
  </si>
  <si>
    <t>Jiné vzdělávání j. n.</t>
  </si>
  <si>
    <t>855990</t>
  </si>
  <si>
    <t>Činnosti související s ochranou veřejného zdraví</t>
  </si>
  <si>
    <t>869010</t>
  </si>
  <si>
    <t>Ostatní činnosti související se zdravotní péčí j. n.</t>
  </si>
  <si>
    <t>869090</t>
  </si>
  <si>
    <t>Sociální péče v zařízeních pro osoby s chronickým duševním onemocněním</t>
  </si>
  <si>
    <t>872010</t>
  </si>
  <si>
    <t>Sociální péče v zařízeních pro osoby závislé na návykových látkách</t>
  </si>
  <si>
    <t>872020</t>
  </si>
  <si>
    <t>Sociální péče v domovech pro seniory</t>
  </si>
  <si>
    <t>873010</t>
  </si>
  <si>
    <t>Sociální péče v domovech pro osoby se zdravotním postižením</t>
  </si>
  <si>
    <t>873020</t>
  </si>
  <si>
    <t>Mimoústavní sociální péče o seniory a zdravotně postižené osoby</t>
  </si>
  <si>
    <t>Ambulantní nebo terénní sociální služby pro seniory</t>
  </si>
  <si>
    <t>881010</t>
  </si>
  <si>
    <t>Ambulantní nebo terénní sociální služby pro osoby se zdrav.postižením</t>
  </si>
  <si>
    <t>881020</t>
  </si>
  <si>
    <t>Sociální služby pro uprchlíky, oběti katastrof</t>
  </si>
  <si>
    <t>889910</t>
  </si>
  <si>
    <t>Sociální prevence</t>
  </si>
  <si>
    <t>889920</t>
  </si>
  <si>
    <t>Sociální rehabilitace</t>
  </si>
  <si>
    <t>889930</t>
  </si>
  <si>
    <t>Jiné ambulantní nebo terénní sociální služby j. n.</t>
  </si>
  <si>
    <t>889990</t>
  </si>
  <si>
    <t>Činnosti botanických a zoologických zahrad,přírod.rezervací a národ.parků</t>
  </si>
  <si>
    <t>Činnosti botanických a zoologických zahrad</t>
  </si>
  <si>
    <t>910410</t>
  </si>
  <si>
    <t>Činnosti přírodních rezervací a národních parků</t>
  </si>
  <si>
    <t>910420</t>
  </si>
  <si>
    <t>Činnosti organizací dětí a mládeže</t>
  </si>
  <si>
    <t>949910</t>
  </si>
  <si>
    <t>Činnosti organizací na podporu kulturní činnosti</t>
  </si>
  <si>
    <t>949920</t>
  </si>
  <si>
    <t>Činnosti organizací na podporu rekreační a zájmové činnosti</t>
  </si>
  <si>
    <t>949930</t>
  </si>
  <si>
    <t>Činnosti spotřebitelských organizací</t>
  </si>
  <si>
    <t>949940</t>
  </si>
  <si>
    <t>Činnosti environmentálních a ekologických hnutí</t>
  </si>
  <si>
    <t>949950</t>
  </si>
  <si>
    <t>Čin.org.na ochranu a zlepšení postavení etnických,menšin.a jiných spec.sk.</t>
  </si>
  <si>
    <t>949960</t>
  </si>
  <si>
    <t>Činnosti občanských iniciativ, protestních hnutí</t>
  </si>
  <si>
    <t>949970</t>
  </si>
  <si>
    <t>Činnosti ostatních organizací j. n.</t>
  </si>
  <si>
    <t>949990</t>
  </si>
  <si>
    <t>kde je něco</t>
  </si>
  <si>
    <t>OK</t>
  </si>
  <si>
    <t>DP5</t>
  </si>
  <si>
    <t>fix</t>
  </si>
  <si>
    <t>DPF</t>
  </si>
  <si>
    <t>nevyplňuje se</t>
  </si>
  <si>
    <t>?</t>
  </si>
  <si>
    <t>Nevím kde</t>
  </si>
  <si>
    <t>kopie</t>
  </si>
  <si>
    <t>není</t>
  </si>
  <si>
    <t>nevyplňovat</t>
  </si>
  <si>
    <t>Nevíme</t>
  </si>
  <si>
    <t>neřešit</t>
  </si>
  <si>
    <t>O</t>
  </si>
  <si>
    <r>
      <t xml:space="preserve">Formulář je potřeba </t>
    </r>
    <r>
      <rPr>
        <b/>
        <sz val="11"/>
        <rFont val="Arial CE"/>
        <family val="2"/>
        <charset val="-18"/>
      </rPr>
      <t>vyplnit standardním způsobem</t>
    </r>
    <r>
      <rPr>
        <sz val="11"/>
        <rFont val="Arial CE"/>
        <family val="2"/>
        <charset val="-18"/>
      </rPr>
      <t xml:space="preserve"> ve všech položkách, které se běžně při daňovém přiznání tohoto typu vyplňují.</t>
    </r>
  </si>
  <si>
    <t xml:space="preserve">4. </t>
  </si>
  <si>
    <t>http://business.center.cz/business/sablony/s110-ucetni-zaverka-v-plnem-rozsahu.aspx</t>
  </si>
  <si>
    <t>https://adisepo.mfcr.cz/adistc/adis/idpr_epo/epo2/spol/soubor_vyber.faces</t>
  </si>
  <si>
    <t>Po načtení souboru aplikace EPO ověří, zda je vygenerovaný soubor v pořádku. V případě, že v pořádku není, nahlásí chybu s popisem, v čem by chyba měla spočívat. Chybu je potřeba odstranit buď (i) přímo v aplikaci EPO, nebo (ii) v tomto excelovském souboru a znova vygenerovat xml soubor dle bodu 5.</t>
  </si>
  <si>
    <t>i) prostřednictvím aplikace EPO se zaručeným elektronickým podpisem,</t>
  </si>
  <si>
    <t>daňový poradce, auditor Aspekt HM s.r.o.</t>
  </si>
  <si>
    <t>autor šablony</t>
  </si>
  <si>
    <t>XML</t>
  </si>
  <si>
    <t xml:space="preserve"> </t>
  </si>
  <si>
    <t>ROZVAHA</t>
  </si>
  <si>
    <t>AKTIVA</t>
  </si>
  <si>
    <t>PASIVA</t>
  </si>
  <si>
    <t>VÝKAZ ZISKU A ZTRÁTY</t>
  </si>
  <si>
    <t>ii) prostřednictvím datové schránky. V tomto případě doporučujeme společně s xml soubor zaslat i pdf soubor obsahující daňové přiznání, tj. listy DAP1-DAP4, příp. 1Př1-Poj_priz, je-li pro ně náplň.</t>
  </si>
  <si>
    <t>Datum:</t>
  </si>
  <si>
    <t>podle zákona č. 586/1992 Sb., o daních z příjmů, ve znění pozdějších předpisů (dále jen „zákon")</t>
  </si>
  <si>
    <t>dále jen „DAP"</t>
  </si>
  <si>
    <t>13 Ulice / část obce</t>
  </si>
  <si>
    <t>24 Ulice / část obce</t>
  </si>
  <si>
    <t>1. Výpočet dílčího základu daně z příjmů fyzických osob ze závislé činnosti (§ 6 zákona)</t>
  </si>
  <si>
    <t>Dílčí základ daně podle § 6 zákona (ř. 31 + ř. 32 - ř. 33)</t>
  </si>
  <si>
    <t>Dílčí základ daně ze závislé činnosti podle § 6 zákona po vynětí (ř. 36 - úhrn vyňatých příjmů ze zdrojů v zahraničí podle § 6 zákona nebo ř. 36)</t>
  </si>
  <si>
    <t>Dílčí základ daně nebo ztráta z nájmu podle § 9 zákona (ř. 206 přílohy č. 2 DAP)</t>
  </si>
  <si>
    <t>Úhrn dílčích základů daně podle § 7 až § 10 zákona po vynětí (ř. 41- úhrn vyňatých příjmů ze zdrojů v zahraničí podle § 7 až § 10 zákona nebo ř. 41)</t>
  </si>
  <si>
    <t>Úhrn příjmů podle § 6 zákona od všech zaměstnavatelů po vynětí (ř. 31- úhrn vyňatých příjmů podle § 6 od všech zaměstnavatelů)</t>
  </si>
  <si>
    <t>Základ daně po odečtení ztráty (ř. 42 - ř. 44)</t>
  </si>
  <si>
    <t>Odst. 5 zákona (penzijní připojištění, penzijní pojištění a doplňkové penzijní spoření)</t>
  </si>
  <si>
    <t>Úhrn nezdanitelných částí základu daně a položek odčitatelných od základu daně (ř. 46 + ř. 47 + ř. 48 + ř. 49 + ř. 50 + ř. 51 + ř. 52 + ř. 52a + ř. 53)</t>
  </si>
  <si>
    <t xml:space="preserve">Základ daně snížený o nezdanitelné části základu daně a položky odčitatelné od základu daně (ř. 45 - ř. 54) </t>
  </si>
  <si>
    <t>Daň podle §16 zákona (ř. 57) nebo částka z ř. 330 přílohy č. 3 DAP</t>
  </si>
  <si>
    <r>
      <t xml:space="preserve">Daň celkem zaokrouhlená </t>
    </r>
    <r>
      <rPr>
        <b/>
        <sz val="8"/>
        <rFont val="Arial CE"/>
        <family val="2"/>
        <charset val="-18"/>
      </rPr>
      <t>na celé Kč</t>
    </r>
    <r>
      <rPr>
        <sz val="8"/>
        <rFont val="Arial CE"/>
        <family val="2"/>
        <charset val="-18"/>
      </rPr>
      <t xml:space="preserve"> nahoru (ř. 58 + ř. 59)</t>
    </r>
  </si>
  <si>
    <t>Tab. č. 1  ÚDAJE O MANŽELCE (MANŽELOVI)</t>
  </si>
  <si>
    <t>písm. c) zákona (základní sleva na invaliditu - pro poživatele invalidního důchodu pro invaliditu prvního nebo druhého stupně)</t>
  </si>
  <si>
    <t>písm. d) zákona (rozšířená sleva na invaliditu - pro poživatele invalidního důchodu pro invaliditu třetího stupně)</t>
  </si>
  <si>
    <t>Daň po uplatnění slev podle § 35, § 35a, § 35b  a § 35ba zákona (ř. 60 - ř. 70)</t>
  </si>
  <si>
    <t>Tab. č. 2 ÚDAJE O DĚTECH ŽIJÍCÍCH S POPLATNÍKEM VE SPOLEČNĚ HOSPODAŘÍCÍ DOMÁCNOSTI</t>
  </si>
  <si>
    <t>Počet měsíců ve výši na jedno dítě</t>
  </si>
  <si>
    <t>Počet měsíců ve výši na druhé dítě</t>
  </si>
  <si>
    <t>Příjmení a jméno</t>
  </si>
  <si>
    <t>Sleva na dani (částka z ř. 72, uplatněná maximálně do výše daně na ř. 71)</t>
  </si>
  <si>
    <t>Daňový bonus (ř. 72 - ř. 73)</t>
  </si>
  <si>
    <t>Úhrn vyplacených měsíčních daňových bonusů podle § 35d zákona (včetně případného doplatku na daňovém bonusu)</t>
  </si>
  <si>
    <t>Rozdíl na daňovém bonusu (ř. 75 - ř. 76)</t>
  </si>
  <si>
    <t>Rozdíl řádků (ř. 79 - ř. 78): zvýšení (+) částka daně se zvyšuje, snížení (-) částka daně se snižuje</t>
  </si>
  <si>
    <t>Poslední známá daň - daňová ztráta podle § 5 zákona</t>
  </si>
  <si>
    <t>Rozdíl řádků (ř. 82 - ř. 81): zvýšení (+) - daňová ztráta se zvyšuje, snížení (-) daňová ztráta se snižuje</t>
  </si>
  <si>
    <t>Úhrn sražených záloh na daň z příjmů ze závislé činnosti (po slevách na dani)</t>
  </si>
  <si>
    <t>PŘÍLOHY DAP:</t>
  </si>
  <si>
    <t>Ve sloupci uveďte počet listů příloh:</t>
  </si>
  <si>
    <t>Příloha č.3 - „Výpočet daně z příjmů ze zahraničí (§ 38f zákona)" včetně Samostatných listů 1. oddílu</t>
  </si>
  <si>
    <t>Příloha č.1 - „Výpočet dílčího základu daně ze samostatné činnosti (§ 7 zákona)"</t>
  </si>
  <si>
    <t>„Potvrzení o zdanitelných příjmech ze závislé činnosti a o sražených zálohách na daň a daňovém zvýhodnění" za příslušné zdaňovací období od všech zaměstnavatelů (např. podle § 38j odst. 3 zákona)</t>
  </si>
  <si>
    <t>PROHLAŠUJI, ŽE VŠECHNY MNOU UVEDENÉ ÚDAJE V TOMTO PŘIZNÁNÍ JSOU PRAVDIVÉ A ÚPLNÉ A STVRZUJI JE SVÝM PODPISEM</t>
  </si>
  <si>
    <t>Kód podepisující osoby:</t>
  </si>
  <si>
    <r>
      <t>Údaje o podepisující osobě</t>
    </r>
    <r>
      <rPr>
        <b/>
        <vertAlign val="superscript"/>
        <sz val="9"/>
        <rFont val="Arial CE"/>
        <family val="2"/>
        <charset val="-18"/>
      </rPr>
      <t>3)</t>
    </r>
    <r>
      <rPr>
        <b/>
        <sz val="9"/>
        <rFont val="Arial CE"/>
        <family val="2"/>
        <charset val="-18"/>
      </rPr>
      <t>:</t>
    </r>
  </si>
  <si>
    <r>
      <t>s uvedením vztahu k právnické osobě</t>
    </r>
    <r>
      <rPr>
        <sz val="8"/>
        <rFont val="Arial CE"/>
        <family val="2"/>
        <charset val="-18"/>
      </rPr>
      <t xml:space="preserve"> (např. jednatel, pověřený pracovník apod.)</t>
    </r>
  </si>
  <si>
    <t>Otisk razítka</t>
  </si>
  <si>
    <r>
      <t>2)</t>
    </r>
    <r>
      <rPr>
        <sz val="7"/>
        <rFont val="Arial CE"/>
        <family val="2"/>
        <charset val="-18"/>
      </rPr>
      <t xml:space="preserve"> Údaj vyplňte, </t>
    </r>
    <r>
      <rPr>
        <b/>
        <sz val="7"/>
        <rFont val="Arial CE"/>
        <family val="2"/>
        <charset val="-18"/>
      </rPr>
      <t>pouze</t>
    </r>
    <r>
      <rPr>
        <sz val="7"/>
        <rFont val="Arial CE"/>
        <family val="2"/>
        <charset val="-18"/>
      </rPr>
      <t xml:space="preserve"> máte-li kód rozlišení typu DAP v případech uvedených v § 239b, § 239c a § 244 zákona č. 280/2009 Sb., daňového řádu, ve znění pozdějších předpisů</t>
    </r>
  </si>
  <si>
    <t>ŽÁDOST O VRÁCENÍ PŘEPLATKU NA DANI Z PŘIJMŮ FYZICKÝCH OSOB</t>
  </si>
  <si>
    <t>Podle ust. § 154 a 155  zákona č. 280/2009 Sb., daňového řádu, ve znění pozdějších předpisů, žádám o vrácení:</t>
  </si>
  <si>
    <t xml:space="preserve">Přeplatek zašlete na adresu: </t>
  </si>
  <si>
    <t>měna, ve které je účet veden</t>
  </si>
  <si>
    <r>
      <t>V..................................................................dne..................................... Podpis daňového subjektu (podepisující osoby</t>
    </r>
    <r>
      <rPr>
        <vertAlign val="superscript"/>
        <sz val="9"/>
        <rFont val="Arial CE"/>
        <family val="2"/>
        <charset val="-18"/>
      </rPr>
      <t>3)</t>
    </r>
    <r>
      <rPr>
        <sz val="9"/>
        <rFont val="Arial CE"/>
        <family val="2"/>
        <charset val="-18"/>
      </rPr>
      <t>) ......................................</t>
    </r>
  </si>
  <si>
    <t>Výpočet dílčího základu daně ze samostatné činnosti (§ 7 zákona)</t>
  </si>
  <si>
    <t>1. Výpočet dílčího základu daně z příjmů ze samostatné činnosti (§ 7 zákona)</t>
  </si>
  <si>
    <t>Rozdíl mezi příjmy a výdaji (ř. 101 - ř. 102) nebo výsledek hospodaření (zisk, ztráta)</t>
  </si>
  <si>
    <t>Část příjmů nebo výsledku hospodaření před zdaněním (zisk), která připadla na Vás jako na spolupracující osobu  podle § 13 zákona včetně člena rodiny zúčastněného na provozu rodinného závodu</t>
  </si>
  <si>
    <t>Část výdajů nebo výsledku hospodaření před zdaněním (ztráta), která připadla na Vás jako na spolupracující osobu  podle § 13 zákona včetně člena rodiny zúčastněného na provozu rodinného závodu</t>
  </si>
  <si>
    <t>Část výdajů nebo výsledku hospodaření před zdaněním (ztráta), kterou rozdělujete na spolupracující osobu (osoby) podle § 13 zákona včetně člena rodiny zúčastněného na provozu rodinného závodu</t>
  </si>
  <si>
    <t>Část příjmů nebo výsledku hospodaření před zdaněním (zisk), kterou rozdělujete na spolupracující osobu (osoby) podle § 13 zákona včetně člena rodiny zúčastněného na provozu rodinného závodu</t>
  </si>
  <si>
    <t>Dílčí základ daně (ztráta) z příjmů dle § 7 zákona (ř. 104 + ř. 105 - ř. 106 - ř. 107 + ř. 108 + ř. 109 - ř. 110 - ř. 111 + ř. 112)</t>
  </si>
  <si>
    <t>Název hlavní (převažující) činnosti</t>
  </si>
  <si>
    <t>C. Údaje o samostatné činnosti</t>
  </si>
  <si>
    <t>Pohledávky včetně poskytnutých úvěrů a zápůjček</t>
  </si>
  <si>
    <t>Dluhy včetně přijatých úvěrů a zápůjček</t>
  </si>
  <si>
    <t xml:space="preserve">č. ř. </t>
  </si>
  <si>
    <t>1) Z předtištěných možností v rámečku vyberte odpovídající variantu a označte křížkem</t>
  </si>
  <si>
    <t>Výpočet dílčích základů daně z příjmů z nájmu (§ 9 zákona) a z ostatních příjmů (§ 10 zákona)</t>
  </si>
  <si>
    <t>1. Výpočet dílčího základu daně z příjmů z nájmu (§ 9 zákona)</t>
  </si>
  <si>
    <r>
      <t>Uplatňuji výdaje procentem z příjmů (30 %)</t>
    </r>
    <r>
      <rPr>
        <vertAlign val="superscript"/>
        <sz val="8"/>
        <rFont val="Arial CE"/>
        <family val="2"/>
        <charset val="-18"/>
      </rPr>
      <t>1)</t>
    </r>
  </si>
  <si>
    <t>Příjmy podle § 9 zákona pouze z nájmu nemovitých věcí (z ř. 201)</t>
  </si>
  <si>
    <t>2. Výpočet dílčího základu daně z ostatních příjmů (§ 10 zákona)</t>
  </si>
  <si>
    <t>Rozdíl                                (sloupec 2 - sloupec 3)</t>
  </si>
  <si>
    <t>Výdaje podle § 10 zákona (maximálně do výše příjmů)</t>
  </si>
  <si>
    <t>2) Pokud jste uplatnil výdaje procentem z příjmů (týká se pouze zemědělské výroby), uveďte ve sloupci 5 (kód) písmeno „p". Pokud příjmy plynou z majetku, který je ve společném jmění manželů, uveďte ve sloupci 5 (kód) písmeno „s". Pokud příjmy plynou ze zdrojů v zahraničí, uveďte ve sloupci 5 (kód) písmeno „z".  Pokud je v tabulce uveden bezúplatný příjem a jedná se o nemovitou věc, uveďte ve sloupci 5 (kód) písmeno „n“.</t>
  </si>
  <si>
    <t xml:space="preserve">Výpočet daně z příjmů ze zdrojů v zahraničí (§ 38f zákona)  </t>
  </si>
  <si>
    <r>
      <t xml:space="preserve">Podle § 38f odst. 8 zákona se metoda prostého zápočtu provádí za každý stát samostatně. Proto v případě, že Vám plynou příjmy z více států, použijte k výpočtu za každý další stát Samostatný list </t>
    </r>
    <r>
      <rPr>
        <b/>
        <sz val="8"/>
        <rFont val="Arial CE"/>
        <family val="2"/>
        <charset val="-18"/>
      </rPr>
      <t>Přílohy č. 3</t>
    </r>
    <r>
      <rPr>
        <sz val="8"/>
        <rFont val="Arial CE"/>
        <family val="2"/>
        <charset val="-18"/>
      </rPr>
      <t xml:space="preserve"> zveřejněný na webové adrese </t>
    </r>
    <r>
      <rPr>
        <b/>
        <sz val="8"/>
        <rFont val="Arial CE"/>
        <family val="2"/>
        <charset val="-18"/>
      </rPr>
      <t>www.financnisprava.cz</t>
    </r>
    <r>
      <rPr>
        <b/>
        <sz val="8"/>
        <rFont val="Arial CE"/>
        <family val="2"/>
        <charset val="-18"/>
      </rPr>
      <t>.</t>
    </r>
  </si>
  <si>
    <t>Daň uznaná k zápočtu (úhrn řádků 326 i ze samostatných listů)</t>
  </si>
  <si>
    <t>Daň neuznaná k zápočtu (úhrn řádků 327 i ze samostatných listů)</t>
  </si>
  <si>
    <t>Poznámka: Při vyplňování postupujte dle pokynů k Příloze č. 3 DAP.</t>
  </si>
  <si>
    <t>Celková výše daňové ztráty vyměřené (vzniklé) nebo přiznané za zdaňovací období uvedené ve sl. 1</t>
  </si>
  <si>
    <t>o daních z příjmů, ve znění pozdějších předpisů (dále jen zákon)</t>
  </si>
  <si>
    <t>identifikační údaje (adresa)</t>
  </si>
  <si>
    <r>
      <t>1. Identifikační údaje</t>
    </r>
    <r>
      <rPr>
        <sz val="8"/>
        <rFont val="Arial"/>
        <family val="2"/>
        <charset val="-18"/>
      </rPr>
      <t xml:space="preserve"> - uveďte údaje (včetně adresy) identifikující zahraničního správce daně nebo zahraničního plátce daně anebo depozitáře, identifikační údaje uvedte i v případě, když nemáte doklady zahraničního správce daně ve lhůtě k podání podání daňového přiznání k dispozici</t>
    </r>
  </si>
  <si>
    <t>11.1. E-mail</t>
  </si>
  <si>
    <t>11.2 ID datové schránky</t>
  </si>
  <si>
    <t>12. Daňové přiznání zpracovává a podává daňový poradce</t>
  </si>
  <si>
    <t>13. Jsem povinen/povinna podávat daňové přiznání</t>
  </si>
  <si>
    <t>14. Jsem poplatníkem daně z příjmů stanovené paušální částkou</t>
  </si>
  <si>
    <t>15. Protokol o platbě daně z příjmů paušální částkou předložen dne</t>
  </si>
  <si>
    <t>16. Rozhodnutí finančního úřadu o prodloužení lhůty pro předložení daňového přiznání</t>
  </si>
  <si>
    <t>17. Účtování v hospodářském roce</t>
  </si>
  <si>
    <t>C. Údaje o výkonu samostatné výdělečné činnosti (SVČ)</t>
  </si>
  <si>
    <t xml:space="preserve">D. Vedlejší SVČ - podle ustanovení § 9 odst. 6 písm. a) až e)  zák. č. 155/1995 Sb. </t>
  </si>
  <si>
    <t>39. Úhrn zaplacených záloh na DP</t>
  </si>
  <si>
    <t>38. Pojistné na DP</t>
  </si>
  <si>
    <t>37. Vyměřovací základ ze SVČ</t>
  </si>
  <si>
    <t>pošlete poštovní pou-kázkou na adresu</t>
  </si>
  <si>
    <t>vraťte na účet</t>
  </si>
  <si>
    <t>IBAN (mezinárodní číslo účtu použijte při platbě do ciziny)</t>
  </si>
  <si>
    <t>(§24 odst. 2 a 3 zák. č. 592/1992 Sb ve znění pozdějších předpisů)</t>
  </si>
  <si>
    <t>Číslo pojištěnce (rodné číslo)</t>
  </si>
  <si>
    <t>Identifikační číslo osoby (IČO)</t>
  </si>
  <si>
    <t>Bankovní spojení: (předčíslí účtu - číso účtu / kód banky)</t>
  </si>
  <si>
    <t>Pojistné (zálohy) platím</t>
  </si>
  <si>
    <t>Důvod:</t>
  </si>
  <si>
    <t>5. Přeplatek (Doplatek)</t>
  </si>
  <si>
    <t xml:space="preserve">Přeplatek (Doplatek): Řádek 41 - Řádek 16                         </t>
  </si>
  <si>
    <t>6. Nová výše zálohy (viz Poučení)</t>
  </si>
  <si>
    <t>0,135 x 0,5 x Řádek 12 / Řádek 4 (zaokr. na Kč nahoru)</t>
  </si>
  <si>
    <t>b) výpočet</t>
  </si>
  <si>
    <t xml:space="preserve">            Typ zálohy                                                                                 Nová výše zálohy</t>
  </si>
  <si>
    <t>7. Datum vyplnění a podpis pojištěnce</t>
  </si>
  <si>
    <t>Poplatník:</t>
  </si>
  <si>
    <t>Celková daňová povinnost:</t>
  </si>
  <si>
    <t>FORMULÁŘ PRO NAČTENÍ DAT Z ÚČETNÍ ZÁVĚRKY PRO PODNIKATELE (ve zkrácené i v plném rozsahu)</t>
  </si>
  <si>
    <t>Postup:</t>
  </si>
  <si>
    <t xml:space="preserve">1. ve vyplněném souboru Účetní závěrky jděte na list „Export do DzPPO", klikněte na červenou buňku vlevo nahoře (buňka A1), stiskněte klávesy Ctrl+A a následně Ctrl+C. </t>
  </si>
  <si>
    <t>Podepisující osoba/vztah k účetní jednotce:</t>
  </si>
  <si>
    <t>2. v souběžně otevřeném souboru Daňového přiznání jděte na list „Účetní_závěrka", klikněte na červenou buňku vlevo nahoře (buňka A1) a stiskněte klávesy Ctrl+V.</t>
  </si>
  <si>
    <t>Poznámky ke sloupcům:</t>
  </si>
  <si>
    <t>Výkaz vyplňte prosím v celých Kč!</t>
  </si>
  <si>
    <t>Pohledávky (bez půjček)</t>
  </si>
  <si>
    <t>Úvěry a půjčky (poskytnuté)</t>
  </si>
  <si>
    <t>Závazky (bez úvěrů a půjček)</t>
  </si>
  <si>
    <t>Úvěry a půjčky (přijaté)</t>
  </si>
  <si>
    <t>Rozdíl (jmění)</t>
  </si>
  <si>
    <t>z toho: úroky</t>
  </si>
  <si>
    <t>z toho: odpisy dlouhodobého majetku</t>
  </si>
  <si>
    <t>z toho: zůstatková cena prodaného dlouhodobého majetku</t>
  </si>
  <si>
    <t>z toho: poměrná splátka leasingové akontace</t>
  </si>
  <si>
    <r>
      <rPr>
        <b/>
        <sz val="11"/>
        <rFont val="Arial CE"/>
        <family val="2"/>
        <charset val="-18"/>
      </rPr>
      <t>Speciální pozornost</t>
    </r>
    <r>
      <rPr>
        <sz val="11"/>
        <rFont val="Arial CE"/>
        <family val="2"/>
        <charset val="-18"/>
      </rPr>
      <t xml:space="preserve"> je potřeba věnovat těmto položkám (položky jsou na listu ZAKL_DATA vyžluceny a obsahují obsáhlé komentáře s návody na jejich vyplnění):</t>
    </r>
  </si>
  <si>
    <r>
      <rPr>
        <b/>
        <sz val="11"/>
        <rFont val="Arial CE"/>
        <family val="2"/>
        <charset val="-18"/>
      </rPr>
      <t>Finanční úřad</t>
    </r>
    <r>
      <rPr>
        <sz val="11"/>
        <rFont val="Arial CE"/>
        <family val="2"/>
        <charset val="-18"/>
      </rPr>
      <t xml:space="preserve"> (list ZAKL_DATA, položka B13, která se přenáší na list 1, položka A3)</t>
    </r>
  </si>
  <si>
    <t>Návod postupu pro generování XML exportu:</t>
  </si>
  <si>
    <r>
      <t>Formulář lze plnohodnotně používat pouze v programech Microsoft Excel verze 2007 a vyšší.</t>
    </r>
    <r>
      <rPr>
        <sz val="11"/>
        <rFont val="Arial CE"/>
        <family val="2"/>
        <charset val="-18"/>
      </rPr>
      <t xml:space="preserve"> Jakékoli připomínky k šabloně zasílejte prosím mailem na adresu: </t>
    </r>
    <r>
      <rPr>
        <b/>
        <sz val="11"/>
        <rFont val="Arial CE"/>
        <family val="2"/>
        <charset val="-18"/>
      </rPr>
      <t>priznani@aspekt.hm</t>
    </r>
  </si>
  <si>
    <r>
      <rPr>
        <b/>
        <sz val="11"/>
        <rFont val="Arial CE"/>
        <family val="2"/>
        <charset val="-18"/>
      </rPr>
      <t>Územní pracoviště</t>
    </r>
    <r>
      <rPr>
        <sz val="11"/>
        <rFont val="Arial CE"/>
        <family val="2"/>
        <charset val="-18"/>
      </rPr>
      <t xml:space="preserve"> (list ZAKL_DATA, položka B14, která se přenáší na list 1, položka A5)</t>
    </r>
  </si>
  <si>
    <r>
      <rPr>
        <b/>
        <sz val="11"/>
        <rFont val="Arial CE"/>
        <family val="2"/>
        <charset val="-18"/>
      </rPr>
      <t>Stát</t>
    </r>
    <r>
      <rPr>
        <sz val="11"/>
        <rFont val="Arial CE"/>
        <family val="2"/>
        <charset val="-18"/>
      </rPr>
      <t xml:space="preserve"> (list ZAKL_DATA, položka B20 která se přenáší na list 1, položka A36)</t>
    </r>
  </si>
  <si>
    <r>
      <rPr>
        <b/>
        <sz val="11"/>
        <rFont val="Arial CE"/>
        <family val="2"/>
        <charset val="-18"/>
      </rPr>
      <t>Předmět podnikání / Hlavní ekonomická činnost</t>
    </r>
    <r>
      <rPr>
        <sz val="11"/>
        <rFont val="Arial CE"/>
        <family val="2"/>
        <charset val="-18"/>
      </rPr>
      <t xml:space="preserve">  (list ZAKL_DATA, položka B29 která se přenáší na list 1, položka A51)</t>
    </r>
  </si>
  <si>
    <r>
      <t xml:space="preserve">Data v buňkách B13, B14, B20 a B29 je potřeba </t>
    </r>
    <r>
      <rPr>
        <b/>
        <sz val="11"/>
        <rFont val="Arial CE"/>
        <family val="2"/>
        <charset val="-18"/>
      </rPr>
      <t>vyplnit pomocí rozevíracího seznamu</t>
    </r>
    <r>
      <rPr>
        <sz val="11"/>
        <rFont val="Arial CE"/>
        <family val="2"/>
        <charset val="-18"/>
      </rPr>
      <t xml:space="preserve"> (= je potřeba kliknout na šipku, která se po vstupu na tyto buňky objeví vedle této buňky). Pokud buňka obsahuje některá stará data (např. zkopírovaná z jiného souboru), která nepochází ze seznamu, je potřeba je vymazat, čímž se seznam nabídne k použití. Vyplněním několika znaků lze omezit výběr ze seznamu pouze na položky, které tyto znaky obsahují (např. vypíšu-li řetězec „pra", nabízí se mi pouze slova obsahující tento řetězec, v daném případě mj. všechny FÚ v Praze a Prachaticích). </t>
    </r>
  </si>
  <si>
    <t>Pokud nemáte zájem načítat účetní závěrku do tohoto excelového formuláře, je potřeba po načtení importovaného souboru do aplikace EPO (viz bod 7) zde jít na záložku „Vybrané údaje z účetnictví" a zde buď ručně vyplnit svoje data ze své účetní závěrky, nebo listy účetní závěrku úplně smazat.</t>
  </si>
  <si>
    <r>
      <t xml:space="preserve">Jakmile máte vyplněna všechna data, </t>
    </r>
    <r>
      <rPr>
        <b/>
        <sz val="11"/>
        <rFont val="Arial CE"/>
        <family val="2"/>
        <charset val="-18"/>
      </rPr>
      <t>je potřeba si soubor ve formátu *.xlsx uložit</t>
    </r>
    <r>
      <rPr>
        <sz val="11"/>
        <rFont val="Arial CE"/>
        <family val="2"/>
        <charset val="-18"/>
      </rPr>
      <t xml:space="preserve"> funkcí Uložit (v kroku 6 po vygenerování xml souboru dojde ke ztrátě dat).</t>
    </r>
  </si>
  <si>
    <r>
      <t xml:space="preserve">Jakmile máte vyplněna všechna data, lze přistoupit ke </t>
    </r>
    <r>
      <rPr>
        <b/>
        <sz val="11"/>
        <rFont val="Arial CE"/>
        <family val="2"/>
        <charset val="-18"/>
      </rPr>
      <t>generování xml souboru</t>
    </r>
    <r>
      <rPr>
        <sz val="11"/>
        <rFont val="Arial CE"/>
        <family val="2"/>
        <charset val="-18"/>
      </rPr>
      <t>. Je potřeba provést funkci „Uložit jako" a v položce „Uložit jako typ" zvolit jako způsob uložení souboru volbu „</t>
    </r>
    <r>
      <rPr>
        <b/>
        <sz val="11"/>
        <rFont val="Arial CE"/>
        <family val="2"/>
        <charset val="-18"/>
      </rPr>
      <t>Datové soubory ve formátu xml</t>
    </r>
    <r>
      <rPr>
        <sz val="11"/>
        <rFont val="Arial CE"/>
        <family val="2"/>
        <charset val="-18"/>
      </rPr>
      <t>". Po odkliknutí tlačítka „Uložit" dojde k vygenerování xml souboru a jeho uložení na zvolenou cestu.</t>
    </r>
  </si>
  <si>
    <r>
      <t xml:space="preserve">Do vygenerovaného souboru doporučujeme </t>
    </r>
    <r>
      <rPr>
        <b/>
        <sz val="11"/>
        <rFont val="Arial CE"/>
        <family val="2"/>
        <charset val="-18"/>
      </rPr>
      <t>prostřednictvím aplikace EPO</t>
    </r>
    <r>
      <rPr>
        <sz val="11"/>
        <rFont val="Arial CE"/>
        <family val="2"/>
        <charset val="-18"/>
      </rPr>
      <t xml:space="preserve"> </t>
    </r>
    <r>
      <rPr>
        <b/>
        <sz val="11"/>
        <rFont val="Arial CE"/>
        <family val="2"/>
        <charset val="-18"/>
      </rPr>
      <t>též vložit povinné přílohy</t>
    </r>
    <r>
      <rPr>
        <sz val="11"/>
        <rFont val="Arial CE"/>
        <family val="2"/>
        <charset val="-18"/>
      </rPr>
      <t xml:space="preserve"> v pdf formátu (viz list DAP4), případně účetní závěrku v pdf formátu (pokud ji nenačtete rovnou do tohoto souboru - viz bod 4) - příslušný formulář lze stáhnout zde:</t>
    </r>
  </si>
  <si>
    <t>Vygenerovaný xml soubor lze podat dvojím způsobem:</t>
  </si>
  <si>
    <t>DIČ:</t>
  </si>
  <si>
    <r>
      <t>30  Transakce uskutečněné se zahraničními spojenými osobami</t>
    </r>
    <r>
      <rPr>
        <vertAlign val="superscript"/>
        <sz val="8"/>
        <rFont val="Arial CE"/>
        <family val="2"/>
        <charset val="-18"/>
      </rPr>
      <t>1</t>
    </r>
    <r>
      <rPr>
        <vertAlign val="superscript"/>
        <sz val="8"/>
        <rFont val="Arial CE"/>
        <family val="2"/>
        <charset val="-18"/>
      </rPr>
      <t>)</t>
    </r>
  </si>
  <si>
    <t>bez ZTP/P</t>
  </si>
  <si>
    <t>se ZTP/P</t>
  </si>
  <si>
    <t>Počet měsíců ve výši na třetí a další  dítě</t>
  </si>
  <si>
    <t>Potvrzení zaměstnavatele druhého z poplatníků pro uplatnění nároku na daňové zvýhodnění</t>
  </si>
  <si>
    <t>zde vložte jméno zdravotní pojišťovny včetně jejího kodu</t>
  </si>
  <si>
    <t>Datum převzetí, razítko a podpis pracovníka ZP</t>
  </si>
  <si>
    <t>Prohlašuji, že všechny údaje v tomto PŘEHLEDU jsou pravdivé a že ohlásím ZP všechny změny údajů, a to do 8 dnů ode dne, kdy jsem se o změněné skutečnosti dozvěděl.</t>
  </si>
  <si>
    <t>Z Řádku 4 počet měsíců, kdy byla OSVČ pojištěna u ZP</t>
  </si>
  <si>
    <t>m_deti2</t>
  </si>
  <si>
    <t>m_deti3</t>
  </si>
  <si>
    <t>m_deti1</t>
  </si>
  <si>
    <t>m_detiztpp1</t>
  </si>
  <si>
    <t>m_detiztpp2</t>
  </si>
  <si>
    <t>m_detiztpp3</t>
  </si>
  <si>
    <t>manz_d_nar</t>
  </si>
  <si>
    <t>vyzdite_ztpp3</t>
  </si>
  <si>
    <t>vyzdite_ztpp2</t>
  </si>
  <si>
    <t>vyzdite_d_nar</t>
  </si>
  <si>
    <t>vyzdite_pocmes2</t>
  </si>
  <si>
    <t>vyzdite_pocmes3</t>
  </si>
  <si>
    <t>potv_dazvyh</t>
  </si>
  <si>
    <t>kc_sraz368p</t>
  </si>
  <si>
    <t>Základ daně zaokrouhlený na celá sta Kč dolů</t>
  </si>
  <si>
    <t>PŘIZNÁNÍ K DANI Z PŘÍJMŮ FYZICKÝCH OSOB</t>
  </si>
  <si>
    <t>Formulář dále obsahuje (1) Přehled o příjmech a výdajích OSVČ pro sociální správu a (2) Přehled pro VZP a ostatní zdravotní pojišťovny</t>
  </si>
  <si>
    <t>Místně příslušná OSSZ / PSSZ / MSSZ Brno</t>
  </si>
  <si>
    <t>Variabilní symbol důchodového pojištění (DP)</t>
  </si>
  <si>
    <t>SOUBOR LZE PLNOHODNOTNĚ POUŽÍVAT JEN NA MICROSOFT EXCEL pro WINDOWS, VERZE 2007 a vyšší.</t>
  </si>
  <si>
    <t>VZP</t>
  </si>
  <si>
    <t>Jiné ZP</t>
  </si>
  <si>
    <t>41. Měsíční vyměřovací základ</t>
  </si>
  <si>
    <t xml:space="preserve">42. Měsíční záloha na DP </t>
  </si>
  <si>
    <t>43. Měsíční pojistné na NP</t>
  </si>
  <si>
    <r>
      <t xml:space="preserve">Vygenerovaný soubor </t>
    </r>
    <r>
      <rPr>
        <b/>
        <sz val="11"/>
        <rFont val="Arial CE"/>
        <family val="2"/>
        <charset val="-18"/>
      </rPr>
      <t>JE NUTNÉ</t>
    </r>
    <r>
      <rPr>
        <sz val="11"/>
        <rFont val="Arial CE"/>
        <family val="2"/>
        <charset val="-18"/>
      </rPr>
      <t xml:space="preserve"> </t>
    </r>
    <r>
      <rPr>
        <b/>
        <sz val="11"/>
        <rFont val="Arial CE"/>
        <family val="2"/>
        <charset val="-18"/>
      </rPr>
      <t>otestovat prostřednictvím aplikace EPO</t>
    </r>
    <r>
      <rPr>
        <sz val="11"/>
        <rFont val="Arial CE"/>
        <family val="2"/>
        <charset val="-18"/>
      </rPr>
      <t xml:space="preserve">  zde: </t>
    </r>
  </si>
  <si>
    <t xml:space="preserve">Většina chyb je způsobena tím, že aplikace EPO má příliš striktní kontroly (např. na vyživované děti) a hlásí chyby i v případě, kdy daná položka není vyplněna. Je to trochu specifikum formuláře DzPFO, v jiných formulářích se tento typ chyb v aplikaci EPO nevyskytuje. Bohužel prostředky, které jsou v excelu dostupné, neumožňují tyto chyby obejít.
Řešením proto je tyto "chyby" odstranit v aplikaci EPO, zpravidla stačí na každé straně, kde se chyby vyskytují, dát volbu „Kontrola stránky“ (zpravidla V. oddíl nebo Příloha 1), příp. prázdné stránky zcela smazat (zpravidla Příloha 2) </t>
  </si>
  <si>
    <t>P O T V R Z E N Í</t>
  </si>
  <si>
    <t>zaměstnavatele druhého z poplatníků pro uplatnění nároku na daňové zvýhodnění</t>
  </si>
  <si>
    <t>Identifikace plátce daně</t>
  </si>
  <si>
    <t xml:space="preserve">Daňové identifikační číslo plátce daně / plátcovy pokladny </t>
  </si>
  <si>
    <t>Fyzická osoba (příjmení, jméno), právnická osoba (název právnické osoby)</t>
  </si>
  <si>
    <t>Sídlo / adresa místa pobytu</t>
  </si>
  <si>
    <t>Adresa bydliště (místo trvalého pobytu)</t>
  </si>
  <si>
    <t xml:space="preserve">Toto potvrzení nahrazuje </t>
  </si>
  <si>
    <t>potvrzení vydané dne</t>
  </si>
  <si>
    <t>Vyhotovil:</t>
  </si>
  <si>
    <t>Jméno a adresa plátce:</t>
  </si>
  <si>
    <t>Dne:</t>
  </si>
  <si>
    <t>Daňové identifikační číslo plátce:</t>
  </si>
  <si>
    <t>Vlastnoruční podpis plátce daně / osoby oprávněné k podpisu</t>
  </si>
  <si>
    <t>Poučení:</t>
  </si>
  <si>
    <t>Č E S T N É  P R O H L Á Š E N Í</t>
  </si>
  <si>
    <t>Pan/paní:</t>
  </si>
  <si>
    <t>Bydliště:</t>
  </si>
  <si>
    <t>podpis</t>
  </si>
  <si>
    <t>17 E-mail</t>
  </si>
  <si>
    <t>28 E-mail</t>
  </si>
  <si>
    <t>Adresa místa pobytu k poslednímu dni kalendářního roku, za který se daň vyměřuje</t>
  </si>
  <si>
    <t>Odst. 6 zákona (soukromé životní pojištění)</t>
  </si>
  <si>
    <t>Odst. 8 zákona (úhrada za zkoušky ověřující výsledky dalšího vzdělávání)</t>
  </si>
  <si>
    <t>§ 34 odst. 4 zákona (výzkum a vývoj)</t>
  </si>
  <si>
    <t>§ 34 odst. 4 (odpočet na podporu odborného vzdělávání)</t>
  </si>
  <si>
    <t>69b</t>
  </si>
  <si>
    <t>písm. h) zákona (sleva ne evidenci tržeb)</t>
  </si>
  <si>
    <t>Daň po uplatnění slevy podle § 35c zákona (ř. 71 - ř. 73)</t>
  </si>
  <si>
    <t>Zbývá doplatit  (ř. 74 - ř. 77 - ř. 84 - ř. 85 - ř. 86 - ř. 87 - ř. 87a - ř. 87b - ř. 88 - ř. 89 - ř. 90): (+) zbývá doplatit, (-) zaplaceno více</t>
  </si>
  <si>
    <t>Příloha č.2 - „Výpočet dílčích základů daně z příjmů z nájmu (§ 9 zákona)  a z ostatních příjmů (§ 10 zákona)"</t>
  </si>
  <si>
    <t>Potvrzení o poskytnutém úvěru na bytové potřeby a o výši zaplacených úroků z tohoto úvěru</t>
  </si>
  <si>
    <t>Potvrzení o zaplacených příspěvcích na penzijní připojištění, penzijní pojištění, nebo doplňkové penzijní spoření</t>
  </si>
  <si>
    <t>Potvrzení o zaplacených příspěvcích na soukromé životní pojištění</t>
  </si>
  <si>
    <t>Potvrzení o úhradě za zkoušky ověřující výsledky dalšího vzdělávání</t>
  </si>
  <si>
    <t>Potvrzení předškolního zařízení o výši výdajů vynaložených za umístění vyživovaného dítěte</t>
  </si>
  <si>
    <t>D. Tabulka pro poplatníky, kteří vedou daňovou evidenci podle § 7b zákona</t>
  </si>
  <si>
    <t>Vyplňte pouze v případě, vedete-li daňovou evidenci podle § 7b zákona. Údaje, prosím, vyplňte v celých Kč.</t>
  </si>
  <si>
    <t>Úhrn částek podle § 5, § 23 zákona a ostatní úpravy podle zákona zvyšující rozdíl mezi příjmy a výdaji nebo výsledek hospodaření před zdaněním (zisk, ztráta)</t>
  </si>
  <si>
    <t>Úhrn částek podle § 5, § 23  zákona a ostatní úpravy podle zákona snižující rozdíl mezi příjmy a výdaji nebo výsledek hospodaření před zdaněním (zisk,  ztráta)</t>
  </si>
  <si>
    <t>Z částky daně zaplacené v zahraničí lze maximálně započítat                    [(ř. 57 + ř. 59) násobeno ř. 324, děleno 100]</t>
  </si>
  <si>
    <r>
      <t xml:space="preserve">Vypočtená částka </t>
    </r>
    <r>
      <rPr>
        <sz val="8"/>
        <rFont val="Arial CE"/>
        <family val="2"/>
        <charset val="-18"/>
      </rPr>
      <t xml:space="preserve">[(ř. 57 + ř. 59 ) - ř. 328] </t>
    </r>
  </si>
  <si>
    <t>Adresa místa pobytu na území České republiky, kde se poplatník obvykle ve zdaňovacím období zdržoval</t>
  </si>
  <si>
    <t>Dílčí základ daně nebo ztráta ze samostané činnosti podle § 7 zákona (ř. 113 přílohy č. 1 DAP)</t>
  </si>
  <si>
    <t>4.1 Datum narození</t>
  </si>
  <si>
    <t>4.2 Rodné číslo</t>
  </si>
  <si>
    <t>Ze dne</t>
  </si>
  <si>
    <t>Prodlouženo do dne</t>
  </si>
  <si>
    <t>21. Nárok na rodičovský příspěvek</t>
  </si>
  <si>
    <t>23. Osobní péče o osobu mladší 10 let, která je závislá na péči jiné osoby ve st. I, nebo o osobu, která je závislá na pomoci jiné osoby ve st. II - IV</t>
  </si>
  <si>
    <t xml:space="preserve">24. Vykon vojenské služby v ozbrojených silách ČR </t>
  </si>
  <si>
    <t>22. Nároku na PPM nebo nemocenské z důvodu těhotenství a porodu z nemocenského pojištění zaměstnanců, není-li nárok na PPM</t>
  </si>
  <si>
    <t>Hlavní činnost</t>
  </si>
  <si>
    <t>Vedlejší činnost</t>
  </si>
  <si>
    <t>F. Způsob použití přeplatku</t>
  </si>
  <si>
    <t>Za OSSZ zpracoval/a</t>
  </si>
  <si>
    <t>Číslo popisné / číslo orientační</t>
  </si>
  <si>
    <t>ŽÁDÁM o vrácení přepl. ve výši:</t>
  </si>
  <si>
    <r>
      <t xml:space="preserve">NEŽÁDÁM o vrácení přeplatku </t>
    </r>
    <r>
      <rPr>
        <b/>
        <sz val="7"/>
        <color indexed="10"/>
        <rFont val="Arial"/>
        <family val="2"/>
        <charset val="-18"/>
      </rPr>
      <t>(přeplatek bude použit na úhrady záloh v dal.období)</t>
    </r>
  </si>
  <si>
    <t>Poplatník je pojištěn u:</t>
  </si>
  <si>
    <t>Obchodní firma:</t>
  </si>
  <si>
    <t>Dodatek obchodní firmy:</t>
  </si>
  <si>
    <t>IČO:</t>
  </si>
  <si>
    <t>Jméno:</t>
  </si>
  <si>
    <t>Příjmení:</t>
  </si>
  <si>
    <t>Titul:</t>
  </si>
  <si>
    <t>Funkce:</t>
  </si>
  <si>
    <t>Telefon:</t>
  </si>
  <si>
    <t>Ulice:</t>
  </si>
  <si>
    <t>Číslo popisné:</t>
  </si>
  <si>
    <t>Obec:</t>
  </si>
  <si>
    <t>PSČ:</t>
  </si>
  <si>
    <t>Mobil:</t>
  </si>
  <si>
    <t>Email:</t>
  </si>
  <si>
    <t>Rodné příjmení:</t>
  </si>
  <si>
    <t>Datum narození:</t>
  </si>
  <si>
    <t>Variabilní symbol u OSSZ:</t>
  </si>
  <si>
    <t>Finanční úřad pro:</t>
  </si>
  <si>
    <t>Územní pracoviště v, ve, pro:</t>
  </si>
  <si>
    <t>Ulice/část obce:</t>
  </si>
  <si>
    <t>Stát:</t>
  </si>
  <si>
    <t>Okresní město:</t>
  </si>
  <si>
    <t>Kontaktní údaje:</t>
  </si>
  <si>
    <t>Fax:</t>
  </si>
  <si>
    <t>Identifikátor datové schránky:</t>
  </si>
  <si>
    <t>Předmět podnikání:</t>
  </si>
  <si>
    <t>Číslo účtu:</t>
  </si>
  <si>
    <t>Kod banky:</t>
  </si>
  <si>
    <t>Název banky (zkráceně):</t>
  </si>
  <si>
    <t>Mgr. Martin Štěpán</t>
  </si>
  <si>
    <t>Úhrn slev na dani podle § 35, § 35a, § 35b a § 35 ba zákona (ř. 62 + ř. 63 + ř. 64 + ř. 65a + ř. 65b + ř. 66 + ř. 67 + ř. 68 + ř. 69 + ř. 69a + 69b)</t>
  </si>
  <si>
    <t>Kód státu:</t>
  </si>
  <si>
    <t>Příjmy ze zdrojů v zahraničí -</t>
  </si>
  <si>
    <t>Z částky daně zaplacené v zahraničí lze maximálně započítat                                    [(ř. 57 + 59 ) násobeno ř. 324 děleno 100]</t>
  </si>
  <si>
    <t>25 5405/a MFin 5405/a - vzor č. 3</t>
  </si>
  <si>
    <t>Rozdíl řádků (ř. 323 - ř. 326)</t>
  </si>
  <si>
    <t>Údaje OSSZ / PSSZ /MSSZ Brno</t>
  </si>
  <si>
    <t>Poznámka : řádky 30 a 32 se vyplňují pouze v tom případě, byla-li vykonávána hlavní i vedlejší činnost (čtěte Pokyny)</t>
  </si>
  <si>
    <t>40. Rozdíl mezi pojistným a Úhrnem záloh ( 38 - 39 )</t>
  </si>
  <si>
    <t>Údaje OSSZ / PSSZ / MSSZ Brno</t>
  </si>
  <si>
    <t>Potvrzení o době trvání zaměstnání</t>
  </si>
  <si>
    <t>zakládajícím účast na nemocenském pojištění zaměstnanců</t>
  </si>
  <si>
    <t>pro účely posouzení výkonu samostatné výdělečné činnosti jako vedlejší</t>
  </si>
  <si>
    <t>Místně příslušná OSSZ/PSSZ/MSSZ Brno</t>
  </si>
  <si>
    <t>Razítko OSSZ/PSSZ/MSSZ Brno</t>
  </si>
  <si>
    <t>Variabilní symbol důchodové pojištění - vyplní OSSZ/PSSZ/MSSZ Brno</t>
  </si>
  <si>
    <t>A. Základní identifikace OSVČ</t>
  </si>
  <si>
    <t>trvala v kalendářních měsících</t>
  </si>
  <si>
    <t>1 - 12</t>
  </si>
  <si>
    <t>B. Zaměstnání</t>
  </si>
  <si>
    <t>Název a adresa zaměstnavatele</t>
  </si>
  <si>
    <t>Účast na nemocenském pojištění zaměstnanců v roce</t>
  </si>
  <si>
    <t>C. Datum vyplnění, podpis a razítko</t>
  </si>
  <si>
    <t>Upozornění - nutno doložit nejpozději do konce kalendářního měsíce následujícího po měsíci podání přehledu o příjmech a výdajích za kalendářní rok, ve kterém OSVČ chce, aby její samostatná výdělečná činnost byla posouzena jako vedlejší.</t>
  </si>
  <si>
    <t>PZOSVC v1.02</t>
  </si>
  <si>
    <t>Potvrzení o studiu</t>
  </si>
  <si>
    <t>B. Studium</t>
  </si>
  <si>
    <t>Název a adresa školy</t>
  </si>
  <si>
    <t>Ve školní roce</t>
  </si>
  <si>
    <t>ročníku</t>
  </si>
  <si>
    <t>PSOSVC v1.02</t>
  </si>
  <si>
    <t xml:space="preserve">27. Počet měsíců, v nichž je SVČ považována za </t>
  </si>
  <si>
    <r>
      <rPr>
        <sz val="8"/>
        <rFont val="Arial"/>
        <family val="2"/>
        <charset val="-18"/>
      </rPr>
      <t>závazek) na úhradu</t>
    </r>
    <r>
      <rPr>
        <b/>
        <sz val="8"/>
        <rFont val="Arial"/>
        <family val="2"/>
        <charset val="-18"/>
      </rPr>
      <t xml:space="preserve"> záloh na pojistné na měsíce</t>
    </r>
  </si>
  <si>
    <t>použijte (nemám-li vůči OSSZ/PSSZ/MSSZ Brno nebo ČSSZ splatný</t>
  </si>
  <si>
    <t>pro účely podání přiznání k dani z příjmů fyzických osob</t>
  </si>
  <si>
    <t>Pro účely podání přiznání k dani z příjmů fyzických osob za zdaňovací období roku</t>
  </si>
  <si>
    <r>
      <rPr>
        <b/>
        <sz val="9"/>
        <color theme="1"/>
        <rFont val="Arial"/>
        <family val="2"/>
        <charset val="-18"/>
      </rPr>
      <t xml:space="preserve">potvrzuji, </t>
    </r>
    <r>
      <rPr>
        <sz val="9"/>
        <color theme="1"/>
        <rFont val="Arial"/>
        <family val="2"/>
        <charset val="-18"/>
      </rPr>
      <t>že poplatník</t>
    </r>
  </si>
  <si>
    <t>v roce</t>
  </si>
  <si>
    <t xml:space="preserve">u výše uvedeného plátce daně daňové zvýhodnění na níže uvedené </t>
  </si>
  <si>
    <r>
      <rPr>
        <b/>
        <sz val="9"/>
        <color theme="1"/>
        <rFont val="Arial"/>
        <family val="2"/>
        <charset val="-18"/>
      </rPr>
      <t xml:space="preserve">vyživované děti poplatníkem, </t>
    </r>
    <r>
      <rPr>
        <sz val="9"/>
        <color theme="1"/>
        <rFont val="Arial"/>
        <family val="2"/>
        <charset val="-18"/>
      </rPr>
      <t>žijící s poplatníkem ve společně hospodařící domácnosti:</t>
    </r>
  </si>
  <si>
    <t>uplatnil/neuplatnil</t>
  </si>
  <si>
    <t>Počet měsíců ve výši na třetí dítě</t>
  </si>
  <si>
    <t>5</t>
  </si>
  <si>
    <t>6</t>
  </si>
  <si>
    <t>Telefon/email:</t>
  </si>
  <si>
    <t>25 5556 Mfin 5556 - vzor č. 2</t>
  </si>
  <si>
    <r>
      <t xml:space="preserve">Jde o </t>
    </r>
    <r>
      <rPr>
        <b/>
        <sz val="8"/>
        <color theme="1"/>
        <rFont val="Arial"/>
        <family val="2"/>
        <charset val="-18"/>
      </rPr>
      <t>nepovinný tiskopis</t>
    </r>
    <r>
      <rPr>
        <sz val="8"/>
        <color theme="1"/>
        <rFont val="Arial"/>
        <family val="2"/>
        <charset val="-18"/>
      </rPr>
      <t xml:space="preserve">, který je určen plátcům daně </t>
    </r>
    <r>
      <rPr>
        <b/>
        <sz val="8"/>
        <color theme="1"/>
        <rFont val="Arial"/>
        <family val="2"/>
        <charset val="-18"/>
      </rPr>
      <t>pro účely potvrzení daňového zvýhodnění v souvislosti s prokazováním nároku v rámci daňového přiznání</t>
    </r>
    <r>
      <rPr>
        <sz val="8"/>
        <color theme="1"/>
        <rFont val="Arial"/>
        <family val="2"/>
        <charset val="-18"/>
      </rPr>
      <t xml:space="preserve"> za okolností, že dítě (děti) v rámci jedné společně hospodařící domácnosti vyživuje více poplatníků. V souladu se zákonem č. 586/1992 Sb. o daních z příjmů, ve znění pozdějších předpisů ( dále jen "zákon") a v souladu s podepsaným Prohlášením poplatníka daně z příjmů fyzických osob ze závislé činnosti u plátce daně, uvede plátce daně, který vydává toto potvrzení - do tohoto potvrzení všechny vyživované děti poplatníkem podle § 35c odst. 6 zákona, žijící s poplatníkem ve společné hospodařící domácnosti, tzn. i vyživované děti poplatníka, na které poplatník u plátce daně daňový zvýhodnění neuplatňuje. </t>
    </r>
    <r>
      <rPr>
        <b/>
        <sz val="8"/>
        <color theme="1"/>
        <rFont val="Arial"/>
        <family val="2"/>
        <charset val="-18"/>
      </rPr>
      <t>U vyživovaných dětí poplatníkem, na které poplatník neuplatňuje daňové zvýhodnění, uveďte = "0".</t>
    </r>
  </si>
  <si>
    <t>Evidenční štítek</t>
  </si>
  <si>
    <t>kc_sleva_eet</t>
  </si>
  <si>
    <t>uv</t>
  </si>
  <si>
    <t>nevyplnuje se</t>
  </si>
  <si>
    <t>P</t>
  </si>
  <si>
    <t>Z</t>
  </si>
  <si>
    <t>M</t>
  </si>
  <si>
    <t>omezená verze s možností XML exportu včetně účetní závěrky pro podnikatele - sledujte návod na listu XML_export (resp. Účetní_závěrka)</t>
  </si>
  <si>
    <t>Tuto omezenou šablonu lze použít, pokud :</t>
  </si>
  <si>
    <t>* daňový základ nepřekročí částku 400.000,- Kč ( řádek 42 )</t>
  </si>
  <si>
    <t>* příjmy podle § 7 zákona nepřekročí částku 800.000,- Kč ( řádek 101 )</t>
  </si>
  <si>
    <t>* roční úhrn čistého obratu nepřekročí částku 800.000,- Kč</t>
  </si>
  <si>
    <t>* příjmy podle § 9 zákona nepřekročí částku 800.000,- Kč ( řádek 201 )</t>
  </si>
  <si>
    <t>* příjmy podle § 10 zákona nepřekročí částku 800.000,- Kč ( řádek 207 )</t>
  </si>
  <si>
    <t>Pokud dojde k překročených nastavených mezí, v některých polích se objeví text LIMIT, následkem čehož přestane formulář pracovat korektně.</t>
  </si>
  <si>
    <t>Neomezenou verzi formuláře lze stáhnout na této adrese</t>
  </si>
  <si>
    <t>Formulář je určen výhradně pro Microsoft Excel. V ostatních obdobných programech nemusí fungovat správně !</t>
  </si>
  <si>
    <t>Pomocná tabulka pro výpočet základu daně dle § 6</t>
  </si>
  <si>
    <t>Součet</t>
  </si>
  <si>
    <t>Zaměstnavatel1</t>
  </si>
  <si>
    <t>Zaměstnavatel2</t>
  </si>
  <si>
    <t>Zaměstnavatel3</t>
  </si>
  <si>
    <t>Zaměstnavatel4</t>
  </si>
  <si>
    <t>Zaměstnavatel5</t>
  </si>
  <si>
    <t>Úhrn příjmů od daného zaměstnavatele</t>
  </si>
  <si>
    <t>Dílčí základ daně podle § 6 zákona</t>
  </si>
  <si>
    <t>Sražená daň na DzP ze závislé činnosti - zálohová</t>
  </si>
  <si>
    <t>Sražená daň na DzP ze závislé činnosti - srážková</t>
  </si>
  <si>
    <t>Vyplacené měsíční daňové bonusy</t>
  </si>
  <si>
    <t xml:space="preserve">25. Nezaopatřenost dítěte podle § 20 odst. 4 písm. a) zák. č. 155/1995 Sb. </t>
  </si>
  <si>
    <t>25 5405 Mfin 5405 vzor č. 24</t>
  </si>
  <si>
    <t>formulář je platný pro zdaňovací období započatá v roce 2017</t>
  </si>
  <si>
    <r>
      <t>Dle názoru GFŘ</t>
    </r>
    <r>
      <rPr>
        <b/>
        <sz val="11"/>
        <rFont val="Arial CE"/>
        <family val="2"/>
        <charset val="-18"/>
      </rPr>
      <t xml:space="preserve"> je nedílnou součástí přiznání pro účetní jednotky  (= fyzické osoby vedoucí podvojné účetnictví ) i účetní závěrka</t>
    </r>
    <r>
      <rPr>
        <sz val="11"/>
        <rFont val="Arial CE"/>
        <family val="2"/>
        <charset val="-18"/>
      </rPr>
      <t>. Proto j</t>
    </r>
    <r>
      <rPr>
        <b/>
        <sz val="11"/>
        <rFont val="Arial CE"/>
        <family val="2"/>
        <charset val="-18"/>
      </rPr>
      <t>e potřeba na list Účetní_závěrka natáhnout data ze souboru účetní závěrky</t>
    </r>
    <r>
      <rPr>
        <sz val="11"/>
        <rFont val="Arial CE"/>
        <family val="2"/>
        <charset val="-18"/>
      </rPr>
      <t xml:space="preserve"> v plném rozsahu (viz soubor UCZAV_P716.xls) nebo ve zjednodušeném rozsahu (soubor UCZAV_ZF17.xls), a to dle postupu uvedeným na listu Účetní_závěrka. Příslušné formuláře lze stáhnout zde:</t>
    </r>
  </si>
  <si>
    <t>25 5405 MFin 5405 vzor č.24</t>
  </si>
  <si>
    <t>Potvrzení o vyplacených příjmech a sražené dani</t>
  </si>
  <si>
    <r>
      <t>Fyzická osoba oprávněná k podpisu</t>
    </r>
    <r>
      <rPr>
        <sz val="9"/>
        <rFont val="Arial CE"/>
        <family val="2"/>
        <charset val="-18"/>
      </rPr>
      <t xml:space="preserve"> </t>
    </r>
    <r>
      <rPr>
        <sz val="8"/>
        <rFont val="Arial CE"/>
        <family val="2"/>
        <charset val="-18"/>
      </rPr>
      <t>(je-li zástupce právnickou osobou)</t>
    </r>
    <r>
      <rPr>
        <sz val="9"/>
        <rFont val="Arial CE"/>
        <family val="2"/>
        <charset val="-18"/>
      </rPr>
      <t>,</t>
    </r>
  </si>
  <si>
    <t>ke dni  31.12.2017</t>
  </si>
  <si>
    <t>je součástí tiskopisu P Ř I Z N Á N Í k dani z příjmů fyzických osob za zdaňovací období 2017 - 25 5405 MFin 5405 vzor č. 24 („dále jen DAP")</t>
  </si>
  <si>
    <t>Uplatňuji nižší limit u výdajů stanovených procentem z příjmů</t>
  </si>
  <si>
    <t>25 5405/P1 MFin 5405/P1 - vzor č. 13</t>
  </si>
  <si>
    <t>je součástí tiskopisu P Ř I Z N Á N Í k dani z příjmů fyzických osob za zdaňovací období 2017 - 25 5405 MFin 5405 vzor č. 24 (dále jen „DAP")</t>
  </si>
  <si>
    <t>Příjmy podle § 9 zákona celkem</t>
  </si>
  <si>
    <t>25 5405/P2 MFin 5405/P2 - vzor č. 13</t>
  </si>
  <si>
    <t>je součástí tiskopisu P Ř I Z N Á N Í k dani z příjmů fyzických osob za zdaňovací období 2017  - 25 5405 MFin 5405 vzor č. 24 (dále jen „DAP").</t>
  </si>
  <si>
    <t>25 5405/P3 MFin 5405/P3 - vzor č. 13</t>
  </si>
  <si>
    <t>prohlašuji, že jsem v roce 2017 neuplatnil / neuplatnila daňové zvýhodnění na vyživované děti:</t>
  </si>
  <si>
    <t>Platební kalendář daňových povinností 2018 - 2019</t>
  </si>
  <si>
    <t>PRO POPLATNÍKY, KTEŘÍ MAJÍ TERMÍN PRO ODEVZDÁNÍ DAŇOVÉHO PŘIZNÁNÍ STANOVEN NA BŘEZEN 2018</t>
  </si>
  <si>
    <t>PRO POPLATNÍKY, KTEŘÍ MAJÍ TERMÍN PRO ODEVZDÁNÍ DAŇOVÉHO PŘIZNÁNÍ STANOVEN NA ČERVEN 2018</t>
  </si>
  <si>
    <t>DO DAŇOVÉHO PŘIZNÁNÍ K DANI Z PŘIJMŮ PRÁVNICKÝCH/FYZICKÝCH OSOB ZA ROK 2017</t>
  </si>
  <si>
    <t>P o t v r z e n í</t>
  </si>
  <si>
    <t>V souladu s ustanovením § 15a odst. 3 zákona č. 589/1992 Sb., ve znění pozdějších předpisů potvrzuje</t>
  </si>
  <si>
    <t>(zaměstnavatel - název sídlo)</t>
  </si>
  <si>
    <t>variabilní symbol</t>
  </si>
  <si>
    <t>že jeho zaměstnanec</t>
  </si>
  <si>
    <t>rodné číslo</t>
  </si>
  <si>
    <t>(jméno a příjmení)</t>
  </si>
  <si>
    <t>trvalý pobyt</t>
  </si>
  <si>
    <t>dosáhl v kalendářním roce</t>
  </si>
  <si>
    <t xml:space="preserve">ze zaměstnání, které zakládá účast na </t>
  </si>
  <si>
    <t xml:space="preserve">nemocenském a důchodovém pojištění/důchodovém pojištění *) </t>
  </si>
  <si>
    <t>úhrn vyměřovacích základů, z nichž bylo</t>
  </si>
  <si>
    <t>sraženo pojistné na sociálním zabezpečení a příspěvek na státní politiku zaměstnanosti, ve výši</t>
  </si>
  <si>
    <t>Kč. **)</t>
  </si>
  <si>
    <t>Dne</t>
  </si>
  <si>
    <t>(razítko a podpis zaměstnavatele)</t>
  </si>
  <si>
    <t>Za zaměstavatele vyřizuje:</t>
  </si>
  <si>
    <t>tel.:</t>
  </si>
  <si>
    <t>*) Nehodící se škrtněte</t>
  </si>
  <si>
    <t>**) Pokud úhrn vyměřovacích základů v kalendářím roce přesáhne maximální vyměřovací základ, uvede se maximální vyměřovací základ pro daný kalendářní rok stanovený podle § 15a odst. 1 zákona č. 589/1992 Sb., ve znění pozdějších předpisů.</t>
  </si>
  <si>
    <t>Přehled o příjmech a výdajích OSVČ za rok 2017</t>
  </si>
  <si>
    <t>18. V roce 2017 jsem vykonával/a SVČ</t>
  </si>
  <si>
    <t>E. Údaje o daňovém základu OSVČ za rok 2017 a další údaje podle ustanovení § 15 zákona č. 589/1992 Sb.</t>
  </si>
  <si>
    <t>89 324 17 I/2018</t>
  </si>
  <si>
    <t>Přehled o příjmech a výdajích OSVČ za rok 2017 - 2.strana</t>
  </si>
  <si>
    <t>1/18</t>
  </si>
  <si>
    <t>2/18</t>
  </si>
  <si>
    <t>3/18</t>
  </si>
  <si>
    <t>4/18</t>
  </si>
  <si>
    <t>5/18</t>
  </si>
  <si>
    <t>6/18</t>
  </si>
  <si>
    <t>7/18</t>
  </si>
  <si>
    <t>8/18</t>
  </si>
  <si>
    <t>9/18</t>
  </si>
  <si>
    <t>10/18</t>
  </si>
  <si>
    <t>11/18</t>
  </si>
  <si>
    <t>12/18</t>
  </si>
  <si>
    <t>1/18-12/18</t>
  </si>
  <si>
    <t>G. Výše zálohy na důchodové pojištění (DP) a pojistného na nemocenské pojištění (NP) na rok 2018</t>
  </si>
  <si>
    <t>H. Základní identifikace OSVČ, se kterou je vykonávána spolupráce</t>
  </si>
  <si>
    <t>I. Vedlejší SVČ - přihláška k účasti na DP OSVČ v roce 2017</t>
  </si>
  <si>
    <t>Vzhledem k tomu, že jsem v roce 2017 nedosáhl/a z výkonu vedlejší SVČ zákonem stanoveného příjmu pro povinnou účast na důchodovém pojištění OSVČ, přihlašuji se k této účasti dnem podání tohoto přehledu</t>
  </si>
  <si>
    <t>J. Údaje o opravném přehledu</t>
  </si>
  <si>
    <t>K. Podpisy a razítka</t>
  </si>
  <si>
    <t>Prohlašuji, že všechny údaje uvedené v tomto Přehledu jsou pravdivé a že příslušné správě sociálního zabezpečení ohlásím změny údajů, které by vedly ke zvýšení vyměřovacího základu za rok 2017, a to do 8 dnů ode dne, kdy jsem se o těchto změnách dozvěděl/a.</t>
  </si>
  <si>
    <t>Přeplatek (zbývající část přeplatku) ve vyšší výši než 100 Kč</t>
  </si>
  <si>
    <t>V roce 2018 budu vykonávat SVČ</t>
  </si>
  <si>
    <t>je OSVČ studentem/studentkou</t>
  </si>
  <si>
    <t>studium bylo ukončeno dnem</t>
  </si>
  <si>
    <t>studium bylo přerušeno dne</t>
  </si>
  <si>
    <t>V roce 2017 pro mne neplatila povinnost hradit zálohy na pojistné v měsících:</t>
  </si>
  <si>
    <t>V roce 2017 pro mne nebyl stanoven minimální vyměřovací základ v měsících:</t>
  </si>
  <si>
    <t>Příjmy za rok 2017</t>
  </si>
  <si>
    <t>Výdaje za rok 2017</t>
  </si>
  <si>
    <t>Počet měsíců trvání samostatné výdělečné činnosti v roce 2017</t>
  </si>
  <si>
    <t xml:space="preserve">14 116 Kč x Řádek 6         </t>
  </si>
  <si>
    <t>Vyměřovací základ OSVČ za rok 2017: 0,50 x Řádek 12 (pro &lt; Řádek 9, zapíše se Řádek 9)</t>
  </si>
  <si>
    <t>Pojistné za rok 2017: 0,135 x (Řádek 14 x Řádek 5) / Řádek 4 (zaokr. na Kč nahoru)</t>
  </si>
  <si>
    <t xml:space="preserve">Úhrn zaplacených záloh na pojistné v roce 2017 na účet VZP          </t>
  </si>
  <si>
    <t xml:space="preserve">Úhrn zaplacených záloh na pojistné v roce 2017 na účet ZP          </t>
  </si>
  <si>
    <t>a) 2 024 Kč</t>
  </si>
  <si>
    <t>VZP 87.51/2017</t>
  </si>
  <si>
    <t>ZP 87.51/2017</t>
  </si>
  <si>
    <t>sniz_lim7</t>
  </si>
  <si>
    <t>sniz_lim9</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</si>
</sst>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5" formatCode="#,##0\ &quot;Kč&quot;;\-#,##0\ &quot;Kč&quot;"/>
    <numFmt numFmtId="164" formatCode="mmmm\ d\,\ yyyy"/>
    <numFmt numFmtId="165" formatCode="d\.\ mmmm\ yyyy"/>
    <numFmt numFmtId="166" formatCode="d/m/yyyy;@"/>
    <numFmt numFmtId="167" formatCode="???,???,???"/>
    <numFmt numFmtId="177" formatCode="#,##0"/>
  </numFmts>
  <fonts count="112">
    <font>
      <sz val="10"/>
      <name val="Arial"/>
      <family val="2"/>
      <charset val="-18"/>
    </font>
    <font>
      <sz val="10"/>
      <color theme="1"/>
      <name val="Arial"/>
      <family val="2"/>
    </font>
    <font>
      <sz val="11"/>
      <color theme="1"/>
      <name val="Calibri"/>
      <family val="2"/>
      <charset val="-18"/>
      <scheme val="minor"/>
    </font>
    <font>
      <b/>
      <sz val="10"/>
      <name val="Arial"/>
      <family val="2"/>
      <charset val="-18"/>
    </font>
    <font>
      <i/>
      <sz val="10"/>
      <name val="Arial"/>
      <family val="2"/>
      <charset val="-18"/>
    </font>
    <font>
      <b/>
      <sz val="12"/>
      <name val="Arial"/>
      <family val="2"/>
      <charset val="-18"/>
    </font>
    <font>
      <sz val="10"/>
      <name val="Arial CE"/>
      <family val="2"/>
      <charset val="-18"/>
    </font>
    <font>
      <b/>
      <sz val="10"/>
      <name val="Arial CE"/>
      <family val="2"/>
      <charset val="-18"/>
    </font>
    <font>
      <b/>
      <sz val="8"/>
      <name val="Arial CE"/>
      <family val="2"/>
      <charset val="-18"/>
    </font>
    <font>
      <sz val="8"/>
      <name val="Arial CE"/>
      <family val="2"/>
      <charset val="-18"/>
    </font>
    <font>
      <sz val="6"/>
      <name val="Arial CE"/>
      <family val="2"/>
      <charset val="-18"/>
    </font>
    <font>
      <b/>
      <sz val="14"/>
      <name val="Arial CE"/>
      <family val="2"/>
      <charset val="-18"/>
    </font>
    <font>
      <sz val="8"/>
      <name val="Arial"/>
      <family val="2"/>
      <charset val="-18"/>
    </font>
    <font>
      <i/>
      <sz val="8"/>
      <name val="Arial CE"/>
      <family val="2"/>
      <charset val="-18"/>
    </font>
    <font>
      <b/>
      <sz val="9"/>
      <name val="Arial CE"/>
      <family val="2"/>
      <charset val="-18"/>
    </font>
    <font>
      <sz val="9"/>
      <name val="Arial CE"/>
      <family val="2"/>
      <charset val="-18"/>
    </font>
    <font>
      <sz val="6"/>
      <name val="Arial"/>
      <family val="2"/>
      <charset val="-18"/>
    </font>
    <font>
      <vertAlign val="superscript"/>
      <sz val="8"/>
      <name val="Arial CE"/>
      <family val="2"/>
      <charset val="-18"/>
    </font>
    <font>
      <b/>
      <sz val="22"/>
      <name val="Arial CE"/>
      <family val="2"/>
      <charset val="-18"/>
    </font>
    <font>
      <b/>
      <sz val="12"/>
      <name val="Arial CE"/>
      <family val="2"/>
      <charset val="-18"/>
    </font>
    <font>
      <sz val="7"/>
      <name val="Arial"/>
      <family val="2"/>
      <charset val="-18"/>
    </font>
    <font>
      <sz val="7"/>
      <name val="Arial CE"/>
      <family val="2"/>
      <charset val="-18"/>
    </font>
    <font>
      <b/>
      <u val="single"/>
      <sz val="14"/>
      <name val="Arial CE"/>
      <family val="2"/>
      <charset val="-18"/>
    </font>
    <font>
      <i/>
      <sz val="8"/>
      <name val="Arial"/>
      <family val="2"/>
    </font>
    <font>
      <vertAlign val="superscript"/>
      <sz val="7"/>
      <name val="Arial CE"/>
      <family val="2"/>
      <charset val="-18"/>
    </font>
    <font>
      <b/>
      <i/>
      <sz val="10"/>
      <name val="Arial CE"/>
      <family val="2"/>
      <charset val="-18"/>
    </font>
    <font>
      <i/>
      <sz val="10"/>
      <name val="Arial CE"/>
      <family val="2"/>
      <charset val="-18"/>
    </font>
    <font>
      <b/>
      <vertAlign val="superscript"/>
      <sz val="10"/>
      <name val="Arial"/>
      <family val="2"/>
    </font>
    <font>
      <sz val="9"/>
      <name val="Arial"/>
      <family val="2"/>
      <charset val="-18"/>
    </font>
    <font>
      <b/>
      <i/>
      <sz val="8"/>
      <name val="Arial"/>
      <family val="2"/>
    </font>
    <font>
      <b/>
      <i/>
      <sz val="8"/>
      <name val="Arial CE"/>
      <family val="2"/>
      <charset val="-18"/>
    </font>
    <font>
      <b/>
      <i/>
      <vertAlign val="superscript"/>
      <sz val="8"/>
      <name val="Arial CE"/>
      <family val="2"/>
      <charset val="-18"/>
    </font>
    <font>
      <i/>
      <sz val="7"/>
      <name val="Arial"/>
      <family val="2"/>
    </font>
    <font>
      <vertAlign val="superscript"/>
      <sz val="7"/>
      <name val="Arial"/>
      <family val="2"/>
    </font>
    <font>
      <b/>
      <u val="single"/>
      <sz val="12"/>
      <name val="Arial CE"/>
      <family val="2"/>
      <charset val="-18"/>
    </font>
    <font>
      <u val="single"/>
      <sz val="12"/>
      <name val="Arial"/>
      <family val="2"/>
      <charset val="-18"/>
    </font>
    <font>
      <u val="single"/>
      <sz val="10"/>
      <color indexed="12"/>
      <name val="Arial"/>
      <family val="2"/>
      <charset val="-18"/>
    </font>
    <font>
      <b/>
      <i/>
      <u val="single"/>
      <sz val="10"/>
      <name val="Arial CE"/>
      <family val="2"/>
      <charset val="-18"/>
    </font>
    <font>
      <sz val="8"/>
      <name val="Tahoma"/>
      <family val="2"/>
      <charset val="-18"/>
    </font>
    <font>
      <b/>
      <sz val="8"/>
      <name val="Tahoma"/>
      <family val="2"/>
      <charset val="-18"/>
    </font>
    <font>
      <b/>
      <vertAlign val="superscript"/>
      <sz val="8"/>
      <name val="Arial CE"/>
      <family val="2"/>
      <charset val="-18"/>
    </font>
    <font>
      <b/>
      <sz val="8"/>
      <name val="Arial"/>
      <family val="2"/>
      <charset val="-18"/>
    </font>
    <font>
      <vertAlign val="superscript"/>
      <sz val="8"/>
      <name val="Arial"/>
      <family val="2"/>
      <charset val="-18"/>
    </font>
    <font>
      <b/>
      <sz val="7"/>
      <name val="Arial CE"/>
      <family val="2"/>
      <charset val="-18"/>
    </font>
    <font>
      <sz val="8"/>
      <color indexed="10"/>
      <name val="Arial"/>
      <family val="2"/>
      <charset val="-18"/>
    </font>
    <font>
      <b/>
      <sz val="8"/>
      <color indexed="10"/>
      <name val="Arial"/>
      <family val="2"/>
    </font>
    <font>
      <sz val="10"/>
      <color indexed="10"/>
      <name val="Arial"/>
      <family val="2"/>
    </font>
    <font>
      <b/>
      <sz val="24"/>
      <name val="Arial CE"/>
      <family val="2"/>
      <charset val="-18"/>
    </font>
    <font>
      <sz val="14"/>
      <name val="Arial"/>
      <family val="2"/>
      <charset val="-18"/>
    </font>
    <font>
      <b/>
      <i/>
      <sz val="14"/>
      <name val="Arial"/>
      <family val="2"/>
      <charset val="-18"/>
    </font>
    <font>
      <b/>
      <i/>
      <sz val="10"/>
      <name val="Arial"/>
      <family val="2"/>
      <charset val="-18"/>
    </font>
    <font>
      <b/>
      <sz val="22"/>
      <name val="Arial"/>
      <family val="2"/>
      <charset val="-18"/>
    </font>
    <font>
      <b/>
      <sz val="14"/>
      <name val="Arial"/>
      <family val="2"/>
      <charset val="-18"/>
    </font>
    <font>
      <b/>
      <sz val="11"/>
      <name val="Arial"/>
      <family val="2"/>
      <charset val="-18"/>
    </font>
    <font>
      <sz val="22"/>
      <name val="Arial"/>
      <family val="2"/>
      <charset val="-18"/>
    </font>
    <font>
      <b/>
      <sz val="10"/>
      <color indexed="10"/>
      <name val="Arial"/>
      <family val="2"/>
      <charset val="-18"/>
    </font>
    <font>
      <i/>
      <sz val="8"/>
      <color indexed="10"/>
      <name val="Arial"/>
      <family val="2"/>
      <charset val="-18"/>
    </font>
    <font>
      <b/>
      <sz val="9"/>
      <name val="Arial"/>
      <family val="2"/>
      <charset val="-18"/>
    </font>
    <font>
      <b/>
      <sz val="18"/>
      <name val="Arial"/>
      <family val="2"/>
      <charset val="-18"/>
    </font>
    <font>
      <i/>
      <u val="single"/>
      <sz val="10"/>
      <name val="Arial"/>
      <family val="2"/>
      <charset val="-18"/>
    </font>
    <font>
      <b/>
      <u val="single"/>
      <sz val="10"/>
      <name val="Arial"/>
      <family val="2"/>
      <charset val="-18"/>
    </font>
    <font>
      <b/>
      <i/>
      <u val="single"/>
      <sz val="8"/>
      <name val="Arial"/>
      <family val="2"/>
      <charset val="-18"/>
    </font>
    <font>
      <b/>
      <sz val="9"/>
      <color indexed="10"/>
      <name val="Arial"/>
      <family val="2"/>
      <charset val="-18"/>
    </font>
    <font>
      <sz val="12"/>
      <name val="Arial"/>
      <family val="2"/>
      <charset val="-18"/>
    </font>
    <font>
      <b/>
      <sz val="7"/>
      <color indexed="10"/>
      <name val="Arial"/>
      <family val="2"/>
      <charset val="-18"/>
    </font>
    <font>
      <b/>
      <sz val="8"/>
      <color indexed="10"/>
      <name val="Arial CE"/>
      <family val="2"/>
      <charset val="-18"/>
    </font>
    <font>
      <b/>
      <i/>
      <sz val="8"/>
      <color indexed="10"/>
      <name val="Arial"/>
      <family val="2"/>
      <charset val="-18"/>
    </font>
    <font>
      <sz val="11"/>
      <name val="Courier New"/>
      <family val="3"/>
      <charset val="-18"/>
    </font>
    <font>
      <b/>
      <sz val="11"/>
      <name val="Courier New"/>
      <family val="3"/>
      <charset val="-18"/>
    </font>
    <font>
      <b/>
      <sz val="18"/>
      <color indexed="10"/>
      <name val="Arial"/>
      <family val="2"/>
      <charset val="-18"/>
    </font>
    <font>
      <b/>
      <sz val="20"/>
      <color indexed="10"/>
      <name val="Arial"/>
      <family val="2"/>
      <charset val="-18"/>
    </font>
    <font>
      <b/>
      <sz val="11"/>
      <color indexed="10"/>
      <name val="Arial"/>
      <family val="2"/>
      <charset val="-18"/>
    </font>
    <font>
      <sz val="11"/>
      <name val="Arial"/>
      <family val="2"/>
      <charset val="-18"/>
    </font>
    <font>
      <b/>
      <u val="single"/>
      <sz val="14"/>
      <color indexed="12"/>
      <name val="Arial"/>
      <family val="2"/>
      <charset val="-18"/>
    </font>
    <font>
      <sz val="9"/>
      <name val="Tahoma"/>
      <family val="2"/>
      <charset val="-18"/>
    </font>
    <font>
      <b/>
      <sz val="9"/>
      <name val="Tahoma"/>
      <family val="2"/>
      <charset val="-18"/>
    </font>
    <font>
      <i/>
      <sz val="9"/>
      <name val="Arial CE"/>
      <family val="2"/>
      <charset val="-18"/>
    </font>
    <font>
      <sz val="7"/>
      <color indexed="10"/>
      <name val="Arial"/>
      <family val="2"/>
      <charset val="-18"/>
    </font>
    <font>
      <vertAlign val="superscript"/>
      <sz val="9"/>
      <name val="Arial CE"/>
      <family val="2"/>
      <charset val="-18"/>
    </font>
    <font>
      <u val="single"/>
      <sz val="10"/>
      <color indexed="12"/>
      <name val="Arial CE"/>
      <family val="2"/>
      <charset val="-18"/>
    </font>
    <font>
      <sz val="11"/>
      <color theme="1"/>
      <name val="Tahoma"/>
      <family val="2"/>
      <charset val="-18"/>
    </font>
    <font>
      <sz val="11"/>
      <color rgb="FF000000"/>
      <name val="Tahoma"/>
      <family val="2"/>
      <charset val="-18"/>
    </font>
    <font>
      <sz val="10"/>
      <name val="Inherit"/>
      <family val="2"/>
    </font>
    <font>
      <sz val="9"/>
      <color theme="1"/>
      <name val="Arial"/>
      <family val="2"/>
      <charset val="-18"/>
    </font>
    <font>
      <sz val="9"/>
      <color theme="1"/>
      <name val="Arial CE"/>
      <family val="2"/>
      <charset val="-18"/>
    </font>
    <font>
      <sz val="11"/>
      <name val="Calibri"/>
      <family val="2"/>
      <charset val="-18"/>
      <scheme val="minor"/>
    </font>
    <font>
      <sz val="10"/>
      <name val="Tahoma"/>
      <family val="2"/>
      <charset val="-18"/>
    </font>
    <font>
      <sz val="10"/>
      <color rgb="FFFF0000"/>
      <name val="Arial"/>
      <family val="2"/>
      <charset val="-18"/>
    </font>
    <font>
      <i/>
      <sz val="9"/>
      <name val="Tahoma"/>
      <family val="2"/>
      <charset val="-18"/>
    </font>
    <font>
      <sz val="11"/>
      <name val="Arial CE"/>
      <family val="2"/>
      <charset val="-18"/>
    </font>
    <font>
      <b/>
      <sz val="11"/>
      <name val="Arial CE"/>
      <family val="2"/>
      <charset val="-18"/>
    </font>
    <font>
      <b/>
      <u val="single"/>
      <sz val="11"/>
      <color indexed="12"/>
      <name val="Arial"/>
      <family val="2"/>
      <charset val="-18"/>
    </font>
    <font>
      <b/>
      <u val="single"/>
      <sz val="11"/>
      <color indexed="12"/>
      <name val="Arial CE"/>
      <family val="2"/>
      <charset val="-18"/>
    </font>
    <font>
      <sz val="20"/>
      <name val="Arial"/>
      <family val="2"/>
      <charset val="-18"/>
    </font>
    <font>
      <sz val="16"/>
      <name val="Arial"/>
      <family val="2"/>
      <charset val="-18"/>
    </font>
    <font>
      <b/>
      <vertAlign val="superscript"/>
      <sz val="9"/>
      <name val="Arial CE"/>
      <family val="2"/>
      <charset val="-18"/>
    </font>
    <font>
      <b/>
      <sz val="14"/>
      <color rgb="FFFF0000"/>
      <name val="Arial"/>
      <family val="2"/>
      <charset val="-18"/>
    </font>
    <font>
      <b/>
      <sz val="14"/>
      <color rgb="FFFF0000"/>
      <name val="Arial CE"/>
      <family val="2"/>
      <charset val="-18"/>
    </font>
    <font>
      <b/>
      <sz val="10"/>
      <color rgb="FFFF0000"/>
      <name val="Arial"/>
      <family val="2"/>
      <charset val="-18"/>
    </font>
    <font>
      <b/>
      <sz val="9"/>
      <color rgb="FFFF0000"/>
      <name val="Arial CE"/>
      <family val="2"/>
      <charset val="-18"/>
    </font>
    <font>
      <b/>
      <sz val="18"/>
      <color theme="1"/>
      <name val="Arial"/>
      <family val="2"/>
      <charset val="-18"/>
    </font>
    <font>
      <b/>
      <sz val="11"/>
      <color theme="1"/>
      <name val="Arial"/>
      <family val="2"/>
      <charset val="-18"/>
    </font>
    <font>
      <b/>
      <i/>
      <sz val="9"/>
      <color theme="1"/>
      <name val="Arial"/>
      <family val="2"/>
      <charset val="-18"/>
    </font>
    <font>
      <b/>
      <sz val="9"/>
      <color theme="1"/>
      <name val="Arial"/>
      <family val="2"/>
      <charset val="-18"/>
    </font>
    <font>
      <sz val="8"/>
      <color theme="1"/>
      <name val="Arial"/>
      <family val="2"/>
      <charset val="-18"/>
    </font>
    <font>
      <b/>
      <sz val="8"/>
      <color theme="1"/>
      <name val="Arial"/>
      <family val="2"/>
      <charset val="-18"/>
    </font>
    <font>
      <sz val="10"/>
      <color theme="3"/>
      <name val="Arial"/>
      <family val="2"/>
      <charset val="-18"/>
    </font>
    <font>
      <sz val="9"/>
      <color theme="3"/>
      <name val="Arial CE"/>
      <family val="2"/>
      <charset val="-18"/>
    </font>
    <font>
      <b/>
      <sz val="12"/>
      <color theme="1"/>
      <name val="Arial"/>
      <family val="2"/>
      <charset val="-18"/>
    </font>
    <font>
      <b/>
      <i/>
      <sz val="9"/>
      <name val="Arial"/>
      <family val="2"/>
      <charset val="-18"/>
    </font>
    <font>
      <sz val="10"/>
      <color rgb="FF9C0006"/>
      <name val="Arial"/>
      <family val="2"/>
      <charset val="-18"/>
    </font>
    <font>
      <b/>
      <u val="single"/>
      <sz val="18"/>
      <name val="Arial"/>
      <family val="2"/>
      <charset val="-18"/>
    </font>
  </fonts>
  <fills count="30">
    <fill>
      <patternFill patternType="none"/>
    </fill>
    <fill>
      <patternFill patternType="gray125"/>
    </fill>
    <fill>
      <patternFill patternType="solid">
        <fgColor rgb="FFFFC7CE"/>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22"/>
        <bgColor indexed="64"/>
      </patternFill>
    </fill>
    <fill>
      <patternFill patternType="solid">
        <fgColor indexed="8"/>
        <bgColor indexed="64"/>
      </patternFill>
    </fill>
    <fill>
      <patternFill patternType="solid">
        <fgColor indexed="9"/>
        <bgColor indexed="64"/>
      </patternFill>
    </fill>
    <fill>
      <patternFill patternType="solid">
        <fgColor indexed="9"/>
        <bgColor indexed="64"/>
      </patternFill>
    </fill>
    <fill>
      <patternFill patternType="solid">
        <fgColor indexed="26"/>
        <bgColor indexed="64"/>
      </patternFill>
    </fill>
    <fill>
      <patternFill patternType="solid">
        <fgColor indexed="47"/>
        <bgColor indexed="64"/>
      </patternFill>
    </fill>
    <fill>
      <patternFill patternType="solid">
        <fgColor indexed="43"/>
        <bgColor indexed="64"/>
      </patternFill>
    </fill>
    <fill>
      <patternFill patternType="solid">
        <fgColor indexed="24"/>
        <bgColor indexed="64"/>
      </patternFill>
    </fill>
    <fill>
      <patternFill patternType="solid">
        <fgColor indexed="9"/>
        <bgColor indexed="64"/>
      </patternFill>
    </fill>
    <fill>
      <patternFill patternType="solid">
        <fgColor indexed="61"/>
        <bgColor indexed="64"/>
      </patternFill>
    </fill>
    <fill>
      <patternFill patternType="solid">
        <fgColor indexed="29"/>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
      <patternFill patternType="solid">
        <fgColor rgb="FFFF0000"/>
        <bgColor indexed="64"/>
      </patternFill>
    </fill>
    <fill>
      <patternFill patternType="solid">
        <fgColor theme="5" tint="0.799979984760284"/>
        <bgColor indexed="64"/>
      </patternFill>
    </fill>
    <fill>
      <patternFill patternType="solid">
        <fgColor theme="0" tint="-0.249939993023872"/>
        <bgColor indexed="64"/>
      </patternFill>
    </fill>
    <fill>
      <patternFill patternType="solid">
        <fgColor rgb="FFFFCCCC"/>
        <bgColor indexed="64"/>
      </patternFill>
    </fill>
    <fill>
      <patternFill patternType="solid">
        <fgColor theme="0"/>
        <bgColor indexed="64"/>
      </patternFill>
    </fill>
    <fill>
      <patternFill patternType="solid">
        <fgColor theme="0"/>
        <bgColor indexed="64"/>
      </patternFill>
    </fill>
    <fill>
      <patternFill patternType="solid">
        <fgColor theme="2"/>
        <bgColor indexed="64"/>
      </patternFill>
    </fill>
    <fill>
      <patternFill patternType="solid">
        <fgColor theme="0" tint="-0.0499799996614456"/>
        <bgColor indexed="64"/>
      </patternFill>
    </fill>
    <fill>
      <patternFill patternType="solid">
        <fgColor indexed="31"/>
        <bgColor indexed="64"/>
      </patternFill>
    </fill>
    <fill>
      <patternFill patternType="solid">
        <fgColor indexed="29"/>
        <bgColor indexed="64"/>
      </patternFill>
    </fill>
  </fills>
  <borders count="126">
    <border>
      <left/>
      <right/>
      <top/>
      <bottom/>
      <diagonal/>
    </border>
    <border>
      <left style="thin">
        <color auto="1"/>
      </left>
      <right style="medium">
        <color auto="1"/>
      </right>
      <top style="thin">
        <color auto="1"/>
      </top>
      <bottom style="thin">
        <color auto="1"/>
      </bottom>
    </border>
    <border>
      <left style="thin">
        <color auto="1"/>
      </left>
      <right style="thin">
        <color auto="1"/>
      </right>
      <top style="thin">
        <color auto="1"/>
      </top>
      <bottom style="thin">
        <color auto="1"/>
      </bottom>
    </border>
    <border>
      <left style="thin">
        <color auto="1"/>
      </left>
      <right style="thin">
        <color auto="1"/>
      </right>
      <top style="thin">
        <color auto="1"/>
      </top>
      <bottom style="medium">
        <color auto="1"/>
      </bottom>
    </border>
    <border>
      <left style="medium">
        <color auto="1"/>
      </left>
      <right/>
      <top style="medium">
        <color auto="1"/>
      </top>
      <bottom style="thin">
        <color auto="1"/>
      </bottom>
    </border>
    <border>
      <left style="medium">
        <color auto="1"/>
      </left>
      <right/>
      <top style="thin">
        <color auto="1"/>
      </top>
      <bottom style="medium">
        <color auto="1"/>
      </bottom>
    </border>
    <border>
      <left/>
      <right style="medium">
        <color auto="1"/>
      </right>
      <top style="medium">
        <color auto="1"/>
      </top>
      <bottom style="thin">
        <color auto="1"/>
      </bottom>
    </border>
    <border>
      <left style="thin">
        <color auto="1"/>
      </left>
      <right/>
      <top style="thin">
        <color auto="1"/>
      </top>
      <bottom style="medium">
        <color auto="1"/>
      </bottom>
    </border>
    <border>
      <left style="medium">
        <color auto="1"/>
      </left>
      <right/>
      <top style="thin">
        <color auto="1"/>
      </top>
      <bottom style="thin">
        <color auto="1"/>
      </bottom>
    </border>
    <border>
      <left style="thin">
        <color auto="1"/>
      </left>
      <right style="medium">
        <color auto="1"/>
      </right>
      <top style="thin">
        <color auto="1"/>
      </top>
      <bottom style="medium">
        <color auto="1"/>
      </bottom>
    </border>
    <border>
      <left style="medium">
        <color auto="1"/>
      </left>
      <right style="thin">
        <color auto="1"/>
      </right>
      <top style="thin">
        <color auto="1"/>
      </top>
      <bottom style="thin">
        <color auto="1"/>
      </bottom>
    </border>
    <border>
      <left style="medium">
        <color auto="1"/>
      </left>
      <right style="thin">
        <color auto="1"/>
      </right>
      <top style="thin">
        <color auto="1"/>
      </top>
      <bottom style="medium">
        <color auto="1"/>
      </bottom>
    </border>
    <border>
      <left style="thin">
        <color auto="1"/>
      </left>
      <right style="thin">
        <color auto="1"/>
      </right>
      <top style="medium">
        <color auto="1"/>
      </top>
      <bottom/>
    </border>
    <border>
      <left style="thin">
        <color auto="1"/>
      </left>
      <right style="medium">
        <color auto="1"/>
      </right>
      <top style="medium">
        <color auto="1"/>
      </top>
      <bottom/>
    </border>
    <border>
      <left style="thin">
        <color auto="1"/>
      </left>
      <right style="medium">
        <color auto="1"/>
      </right>
      <top/>
      <bottom style="medium">
        <color auto="1"/>
      </bottom>
    </border>
    <border>
      <left style="medium">
        <color auto="1"/>
      </left>
      <right/>
      <top style="thin">
        <color auto="1"/>
      </top>
      <bottom/>
    </border>
    <border>
      <left style="medium">
        <color auto="1"/>
      </left>
      <right/>
      <top style="medium">
        <color auto="1"/>
      </top>
      <bottom style="medium">
        <color auto="1"/>
      </bottom>
    </border>
    <border>
      <left style="thin">
        <color auto="1"/>
      </left>
      <right style="thin">
        <color auto="1"/>
      </right>
      <top style="medium">
        <color auto="1"/>
      </top>
      <bottom style="medium">
        <color auto="1"/>
      </bottom>
    </border>
    <border>
      <left/>
      <right style="medium">
        <color auto="1"/>
      </right>
      <top style="medium">
        <color auto="1"/>
      </top>
      <bottom style="medium">
        <color auto="1"/>
      </bottom>
    </border>
    <border>
      <left style="medium">
        <color auto="1"/>
      </left>
      <right/>
      <top/>
      <bottom/>
    </border>
    <border>
      <left/>
      <right/>
      <top style="medium">
        <color auto="1"/>
      </top>
      <bottom style="medium">
        <color auto="1"/>
      </bottom>
    </border>
    <border>
      <left style="thin">
        <color auto="1"/>
      </left>
      <right style="medium">
        <color auto="1"/>
      </right>
      <top style="medium">
        <color auto="1"/>
      </top>
      <bottom style="medium">
        <color auto="1"/>
      </bottom>
    </border>
    <border>
      <left/>
      <right/>
      <top style="medium">
        <color auto="1"/>
      </top>
      <bottom style="thin">
        <color auto="1"/>
      </bottom>
    </border>
    <border>
      <left/>
      <right/>
      <top style="thin">
        <color auto="1"/>
      </top>
      <bottom style="thin">
        <color auto="1"/>
      </bottom>
    </border>
    <border>
      <left/>
      <right/>
      <top style="thin">
        <color auto="1"/>
      </top>
      <bottom style="medium">
        <color auto="1"/>
      </bottom>
    </border>
    <border>
      <left/>
      <right/>
      <top style="thin">
        <color auto="1"/>
      </top>
      <bottom/>
    </border>
    <border>
      <left style="thin">
        <color auto="1"/>
      </left>
      <right/>
      <top style="thin">
        <color auto="1"/>
      </top>
      <bottom style="thin">
        <color auto="1"/>
      </bottom>
    </border>
    <border>
      <left style="thin">
        <color auto="1"/>
      </left>
      <right style="thin">
        <color auto="1"/>
      </right>
      <top style="medium">
        <color auto="1"/>
      </top>
      <bottom style="thin">
        <color auto="1"/>
      </bottom>
    </border>
    <border>
      <left style="medium">
        <color auto="1"/>
      </left>
      <right style="thin">
        <color auto="1"/>
      </right>
      <top style="medium">
        <color auto="1"/>
      </top>
      <bottom style="thin">
        <color auto="1"/>
      </bottom>
    </border>
    <border>
      <left style="thin">
        <color auto="1"/>
      </left>
      <right style="medium">
        <color auto="1"/>
      </right>
      <top style="thin">
        <color auto="1"/>
      </top>
      <bottom/>
    </border>
    <border>
      <left style="medium">
        <color auto="1"/>
      </left>
      <right style="thin">
        <color auto="1"/>
      </right>
      <top/>
      <bottom style="thin">
        <color auto="1"/>
      </bottom>
    </border>
    <border>
      <left style="thin">
        <color auto="1"/>
      </left>
      <right style="thin">
        <color auto="1"/>
      </right>
      <top/>
      <bottom style="medium">
        <color auto="1"/>
      </bottom>
    </border>
    <border>
      <left/>
      <right style="medium">
        <color auto="1"/>
      </right>
      <top/>
      <bottom/>
    </border>
    <border>
      <left style="thin">
        <color auto="1"/>
      </left>
      <right/>
      <top style="medium">
        <color auto="1"/>
      </top>
      <bottom style="thin">
        <color auto="1"/>
      </bottom>
    </border>
    <border>
      <left style="thin">
        <color auto="1"/>
      </left>
      <right/>
      <top/>
      <bottom/>
    </border>
    <border>
      <left style="medium">
        <color auto="1"/>
      </left>
      <right/>
      <top/>
      <bottom style="thin">
        <color auto="1"/>
      </bottom>
    </border>
    <border>
      <left style="thin">
        <color auto="1"/>
      </left>
      <right style="medium">
        <color auto="1"/>
      </right>
      <top style="medium">
        <color auto="1"/>
      </top>
      <bottom style="thin">
        <color auto="1"/>
      </bottom>
    </border>
    <border>
      <left/>
      <right style="thin">
        <color auto="1"/>
      </right>
      <top/>
      <bottom/>
    </border>
    <border>
      <left style="thin">
        <color auto="1"/>
      </left>
      <right style="thin">
        <color auto="1"/>
      </right>
      <top style="thin">
        <color auto="1"/>
      </top>
      <bottom/>
    </border>
    <border>
      <left style="thin">
        <color auto="1"/>
      </left>
      <right/>
      <top style="medium">
        <color auto="1"/>
      </top>
      <bottom style="medium">
        <color auto="1"/>
      </bottom>
    </border>
    <border>
      <left/>
      <right/>
      <top/>
      <bottom style="medium">
        <color auto="1"/>
      </bottom>
    </border>
    <border>
      <left style="medium">
        <color auto="1"/>
      </left>
      <right style="medium">
        <color auto="1"/>
      </right>
      <top style="medium">
        <color auto="1"/>
      </top>
      <bottom style="medium">
        <color auto="1"/>
      </bottom>
    </border>
    <border>
      <left/>
      <right/>
      <top/>
      <bottom style="thin">
        <color auto="1"/>
      </bottom>
    </border>
    <border>
      <left/>
      <right style="medium">
        <color auto="1"/>
      </right>
      <top style="thin">
        <color auto="1"/>
      </top>
      <bottom style="thin">
        <color auto="1"/>
      </bottom>
    </border>
    <border>
      <left/>
      <right style="medium">
        <color auto="1"/>
      </right>
      <top style="thin">
        <color auto="1"/>
      </top>
      <bottom style="medium">
        <color auto="1"/>
      </bottom>
    </border>
    <border>
      <left style="thin">
        <color auto="1"/>
      </left>
      <right style="thin">
        <color auto="1"/>
      </right>
      <top/>
      <bottom/>
    </border>
    <border>
      <left style="thin">
        <color auto="1"/>
      </left>
      <right style="medium">
        <color auto="1"/>
      </right>
      <top/>
      <bottom/>
    </border>
    <border>
      <left style="thin">
        <color auto="1"/>
      </left>
      <right/>
      <top/>
      <bottom style="thin">
        <color auto="1"/>
      </bottom>
    </border>
    <border>
      <left/>
      <right style="medium">
        <color auto="1"/>
      </right>
      <top/>
      <bottom style="thin">
        <color auto="1"/>
      </bottom>
    </border>
    <border>
      <left/>
      <right/>
      <top style="dotted">
        <color auto="1"/>
      </top>
      <bottom/>
    </border>
    <border>
      <left/>
      <right/>
      <top/>
      <bottom style="dotted">
        <color auto="1"/>
      </bottom>
    </border>
    <border>
      <left style="dotted">
        <color auto="1"/>
      </left>
      <right/>
      <top style="dotted">
        <color auto="1"/>
      </top>
      <bottom/>
    </border>
    <border>
      <left style="dotted">
        <color auto="1"/>
      </left>
      <right/>
      <top/>
      <bottom/>
    </border>
    <border>
      <left/>
      <right style="dotted">
        <color auto="1"/>
      </right>
      <top/>
      <bottom/>
    </border>
    <border>
      <left style="dotted">
        <color auto="1"/>
      </left>
      <right/>
      <top/>
      <bottom style="dotted">
        <color auto="1"/>
      </bottom>
    </border>
    <border>
      <left/>
      <right style="dotted">
        <color auto="1"/>
      </right>
      <top/>
      <bottom style="dotted">
        <color auto="1"/>
      </bottom>
    </border>
    <border>
      <left style="medium">
        <color auto="1"/>
      </left>
      <right style="thin">
        <color auto="1"/>
      </right>
      <top style="thin">
        <color auto="1"/>
      </top>
      <bottom/>
    </border>
    <border>
      <left/>
      <right style="thin">
        <color auto="1"/>
      </right>
      <top style="medium">
        <color auto="1"/>
      </top>
      <bottom style="medium">
        <color auto="1"/>
      </bottom>
    </border>
    <border>
      <left/>
      <right style="thin">
        <color auto="1"/>
      </right>
      <top style="thin">
        <color auto="1"/>
      </top>
      <bottom style="medium">
        <color auto="1"/>
      </bottom>
    </border>
    <border>
      <left style="medium">
        <color auto="1"/>
      </left>
      <right style="thin">
        <color auto="1"/>
      </right>
      <top style="medium">
        <color auto="1"/>
      </top>
      <bottom style="medium">
        <color auto="1"/>
      </bottom>
    </border>
    <border>
      <left style="thin">
        <color indexed="10"/>
      </left>
      <right style="thin">
        <color indexed="10"/>
      </right>
      <top style="thin">
        <color indexed="10"/>
      </top>
      <bottom style="thin">
        <color indexed="10"/>
      </bottom>
    </border>
    <border>
      <left style="thin">
        <color indexed="10"/>
      </left>
      <right/>
      <top/>
      <bottom/>
    </border>
    <border>
      <left/>
      <right style="thin">
        <color indexed="10"/>
      </right>
      <top/>
      <bottom/>
    </border>
    <border>
      <left style="medium">
        <color auto="1"/>
      </left>
      <right style="thin">
        <color auto="1"/>
      </right>
      <top style="medium">
        <color auto="1"/>
      </top>
      <bottom/>
    </border>
    <border>
      <left style="medium">
        <color auto="1"/>
      </left>
      <right style="thin">
        <color auto="1"/>
      </right>
      <top/>
      <bottom style="medium">
        <color auto="1"/>
      </bottom>
    </border>
    <border>
      <left style="thin">
        <color auto="1"/>
      </left>
      <right/>
      <top style="medium">
        <color auto="1"/>
      </top>
      <bottom/>
    </border>
    <border>
      <left style="thin">
        <color auto="1"/>
      </left>
      <right/>
      <top/>
      <bottom style="medium">
        <color auto="1"/>
      </bottom>
    </border>
    <border>
      <left/>
      <right/>
      <top style="thin">
        <color indexed="10"/>
      </top>
      <bottom/>
    </border>
    <border>
      <left style="thin">
        <color auto="1"/>
      </left>
      <right style="thin">
        <color indexed="59"/>
      </right>
      <top/>
      <bottom/>
    </border>
    <border>
      <left style="thin">
        <color auto="1"/>
      </left>
      <right style="thin">
        <color auto="1"/>
      </right>
      <top/>
      <bottom style="thin">
        <color auto="1"/>
      </bottom>
    </border>
    <border>
      <left style="thin">
        <color auto="1"/>
      </left>
      <right style="medium">
        <color auto="1"/>
      </right>
      <top/>
      <bottom style="thin">
        <color auto="1"/>
      </bottom>
    </border>
    <border>
      <left style="medium">
        <color auto="1"/>
      </left>
      <right style="medium">
        <color auto="1"/>
      </right>
      <top/>
      <bottom style="thin">
        <color auto="1"/>
      </bottom>
    </border>
    <border>
      <left/>
      <right style="thin">
        <color auto="1"/>
      </right>
      <top style="thin">
        <color auto="1"/>
      </top>
      <bottom style="thin">
        <color auto="1"/>
      </bottom>
    </border>
    <border>
      <left style="medium">
        <color auto="1"/>
      </left>
      <right style="medium">
        <color auto="1"/>
      </right>
      <top style="thin">
        <color auto="1"/>
      </top>
      <bottom style="thin">
        <color auto="1"/>
      </bottom>
    </border>
    <border>
      <left style="medium">
        <color auto="1"/>
      </left>
      <right style="medium">
        <color auto="1"/>
      </right>
      <top style="thin">
        <color auto="1"/>
      </top>
      <bottom style="medium">
        <color auto="1"/>
      </bottom>
    </border>
    <border>
      <left style="medium">
        <color auto="1"/>
      </left>
      <right/>
      <top style="medium">
        <color auto="1"/>
      </top>
      <bottom/>
    </border>
    <border>
      <left/>
      <right/>
      <top style="medium">
        <color auto="1"/>
      </top>
      <bottom/>
    </border>
    <border>
      <left/>
      <right style="medium">
        <color auto="1"/>
      </right>
      <top style="medium">
        <color auto="1"/>
      </top>
      <bottom/>
    </border>
    <border>
      <left style="medium">
        <color auto="1"/>
      </left>
      <right/>
      <top/>
      <bottom style="medium">
        <color auto="1"/>
      </bottom>
    </border>
    <border>
      <left/>
      <right style="medium">
        <color auto="1"/>
      </right>
      <top/>
      <bottom style="medium">
        <color auto="1"/>
      </bottom>
    </border>
    <border>
      <left style="medium">
        <color auto="1"/>
      </left>
      <right style="medium">
        <color auto="1"/>
      </right>
      <top/>
      <bottom/>
    </border>
    <border>
      <left/>
      <right/>
      <top/>
      <bottom style="hair">
        <color auto="1"/>
      </bottom>
    </border>
    <border>
      <left/>
      <right style="thin">
        <color auto="1"/>
      </right>
      <top/>
      <bottom style="thin">
        <color auto="1"/>
      </bottom>
    </border>
    <border>
      <left style="thin">
        <color auto="1"/>
      </left>
      <right/>
      <top style="thin">
        <color auto="1"/>
      </top>
      <bottom/>
    </border>
    <border>
      <left/>
      <right style="thin">
        <color auto="1"/>
      </right>
      <top style="thin">
        <color auto="1"/>
      </top>
      <bottom/>
    </border>
    <border>
      <left style="double">
        <color auto="1"/>
      </left>
      <right style="double">
        <color auto="1"/>
      </right>
      <top style="medium">
        <color auto="1"/>
      </top>
      <bottom style="thin">
        <color auto="1"/>
      </bottom>
    </border>
    <border>
      <left/>
      <right style="thin">
        <color auto="1"/>
      </right>
      <top style="medium">
        <color auto="1"/>
      </top>
      <bottom style="thin">
        <color auto="1"/>
      </bottom>
    </border>
    <border>
      <left style="double">
        <color auto="1"/>
      </left>
      <right style="double">
        <color auto="1"/>
      </right>
      <top style="thin">
        <color auto="1"/>
      </top>
      <bottom style="thin">
        <color auto="1"/>
      </bottom>
    </border>
    <border>
      <left style="double">
        <color auto="1"/>
      </left>
      <right style="double">
        <color auto="1"/>
      </right>
      <top style="thin">
        <color auto="1"/>
      </top>
      <bottom style="medium">
        <color auto="1"/>
      </bottom>
    </border>
    <border>
      <left style="dotted">
        <color auto="1"/>
      </left>
      <right/>
      <top style="dotted">
        <color auto="1"/>
      </top>
      <bottom style="dotted">
        <color auto="1"/>
      </bottom>
    </border>
    <border>
      <left/>
      <right style="dotted">
        <color auto="1"/>
      </right>
      <top style="dotted">
        <color auto="1"/>
      </top>
      <bottom style="dotted">
        <color auto="1"/>
      </bottom>
    </border>
    <border>
      <left/>
      <right style="dotted">
        <color auto="1"/>
      </right>
      <top style="dotted">
        <color auto="1"/>
      </top>
      <bottom/>
    </border>
    <border>
      <left/>
      <right style="thin">
        <color auto="1"/>
      </right>
      <top style="medium">
        <color auto="1"/>
      </top>
      <bottom/>
    </border>
    <border>
      <left style="medium">
        <color auto="1"/>
      </left>
      <right style="thin">
        <color auto="1"/>
      </right>
      <top/>
      <bottom/>
    </border>
    <border>
      <left/>
      <right/>
      <top style="hair">
        <color auto="1"/>
      </top>
      <bottom style="hair">
        <color auto="1"/>
      </bottom>
    </border>
    <border>
      <left/>
      <right style="medium">
        <color auto="1"/>
      </right>
      <top style="thin">
        <color auto="1"/>
      </top>
      <bottom/>
    </border>
    <border>
      <left style="thin">
        <color auto="1"/>
      </left>
      <right/>
      <top style="hair">
        <color auto="1"/>
      </top>
      <bottom style="hair">
        <color auto="1"/>
      </bottom>
    </border>
    <border>
      <left/>
      <right style="thin">
        <color auto="1"/>
      </right>
      <top style="hair">
        <color auto="1"/>
      </top>
      <bottom style="hair">
        <color auto="1"/>
      </bottom>
    </border>
    <border>
      <left style="thin">
        <color auto="1"/>
      </left>
      <right/>
      <top style="thin">
        <color auto="1"/>
      </top>
      <bottom style="hair">
        <color auto="1"/>
      </bottom>
    </border>
    <border>
      <left/>
      <right/>
      <top style="thin">
        <color auto="1"/>
      </top>
      <bottom style="hair">
        <color auto="1"/>
      </bottom>
    </border>
    <border>
      <left/>
      <right style="thin">
        <color auto="1"/>
      </right>
      <top style="thin">
        <color auto="1"/>
      </top>
      <bottom style="hair">
        <color auto="1"/>
      </bottom>
    </border>
    <border>
      <left style="hair">
        <color auto="1"/>
      </left>
      <right/>
      <top style="hair">
        <color auto="1"/>
      </top>
      <bottom/>
    </border>
    <border>
      <left/>
      <right/>
      <top style="hair">
        <color auto="1"/>
      </top>
      <bottom/>
    </border>
    <border>
      <left/>
      <right style="hair">
        <color auto="1"/>
      </right>
      <top style="hair">
        <color auto="1"/>
      </top>
      <bottom/>
    </border>
    <border>
      <left style="hair">
        <color auto="1"/>
      </left>
      <right/>
      <top/>
      <bottom/>
    </border>
    <border>
      <left/>
      <right style="hair">
        <color auto="1"/>
      </right>
      <top/>
      <bottom/>
    </border>
    <border>
      <left style="hair">
        <color auto="1"/>
      </left>
      <right/>
      <top/>
      <bottom style="hair">
        <color auto="1"/>
      </bottom>
    </border>
    <border>
      <left/>
      <right style="hair">
        <color auto="1"/>
      </right>
      <top/>
      <bottom style="hair">
        <color auto="1"/>
      </bottom>
    </border>
    <border>
      <left style="thin">
        <color indexed="59"/>
      </left>
      <right/>
      <top style="thin">
        <color indexed="59"/>
      </top>
      <bottom/>
    </border>
    <border>
      <left/>
      <right/>
      <top style="thin">
        <color indexed="59"/>
      </top>
      <bottom/>
    </border>
    <border>
      <left/>
      <right style="thin">
        <color indexed="59"/>
      </right>
      <top style="thin">
        <color indexed="59"/>
      </top>
      <bottom/>
    </border>
    <border>
      <left/>
      <right/>
      <top/>
      <bottom style="thin">
        <color indexed="10"/>
      </bottom>
    </border>
    <border>
      <left style="thin">
        <color indexed="59"/>
      </left>
      <right/>
      <top style="thin">
        <color indexed="59"/>
      </top>
      <bottom style="thin">
        <color indexed="59"/>
      </bottom>
    </border>
    <border>
      <left/>
      <right/>
      <top style="thin">
        <color indexed="59"/>
      </top>
      <bottom style="thin">
        <color indexed="59"/>
      </bottom>
    </border>
    <border>
      <left/>
      <right style="thin">
        <color indexed="59"/>
      </right>
      <top style="thin">
        <color indexed="59"/>
      </top>
      <bottom style="thin">
        <color indexed="59"/>
      </bottom>
    </border>
    <border>
      <left/>
      <right/>
      <top/>
      <bottom style="thin">
        <color indexed="59"/>
      </bottom>
    </border>
    <border>
      <left/>
      <right style="thin">
        <color auto="1"/>
      </right>
      <top/>
      <bottom style="thin">
        <color indexed="10"/>
      </bottom>
    </border>
    <border>
      <left style="dashed">
        <color auto="1"/>
      </left>
      <right/>
      <top style="dashed">
        <color auto="1"/>
      </top>
      <bottom style="dashed">
        <color auto="1"/>
      </bottom>
    </border>
    <border>
      <left/>
      <right style="dashed">
        <color auto="1"/>
      </right>
      <top style="dashed">
        <color auto="1"/>
      </top>
      <bottom style="dashed">
        <color auto="1"/>
      </bottom>
    </border>
    <border>
      <left style="thin">
        <color indexed="10"/>
      </left>
      <right/>
      <top style="thin">
        <color indexed="10"/>
      </top>
      <bottom style="thin">
        <color indexed="10"/>
      </bottom>
    </border>
    <border>
      <left/>
      <right/>
      <top style="thin">
        <color indexed="10"/>
      </top>
      <bottom style="thin">
        <color indexed="10"/>
      </bottom>
    </border>
    <border>
      <left/>
      <right style="thin">
        <color indexed="10"/>
      </right>
      <top style="thin">
        <color indexed="10"/>
      </top>
      <bottom style="thin">
        <color indexed="10"/>
      </bottom>
    </border>
    <border>
      <left style="thin">
        <color indexed="10"/>
      </left>
      <right/>
      <top style="thin">
        <color indexed="10"/>
      </top>
      <bottom/>
    </border>
    <border>
      <left/>
      <right style="thin">
        <color indexed="10"/>
      </right>
      <top style="thin">
        <color indexed="10"/>
      </top>
      <bottom/>
    </border>
    <border>
      <left style="thin">
        <color indexed="10"/>
      </left>
      <right/>
      <top/>
      <bottom style="thin">
        <color indexed="10"/>
      </bottom>
    </border>
    <border>
      <left/>
      <right style="thin">
        <color indexed="10"/>
      </right>
      <top/>
      <bottom style="thin">
        <color indexed="10"/>
      </bottom>
    </border>
  </borders>
  <cellStyleXfs count="18">
    <xf numFmtId="0" fontId="0" fillId="0" borderId="0">
      <alignment/>
      <protection/>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3" fontId="0" fillId="0" borderId="0" applyFill="0" applyBorder="0" applyAlignment="0" applyProtection="0">
      <alignment/>
    </xf>
    <xf numFmtId="5" fontId="0" fillId="0" borderId="0" applyFill="0" applyBorder="0" applyAlignment="0" applyProtection="0">
      <alignment/>
    </xf>
    <xf numFmtId="164" fontId="0" fillId="0" borderId="0" applyFill="0" applyBorder="0" applyAlignment="0" applyProtection="0">
      <alignment/>
    </xf>
    <xf numFmtId="2" fontId="0" fillId="0" borderId="0" applyFill="0" applyBorder="0" applyAlignment="0" applyProtection="0">
      <alignment/>
    </xf>
    <xf numFmtId="0" fontId="36" fillId="0" borderId="0" applyNumberFormat="0" applyFill="0" applyBorder="0" applyAlignment="0" applyProtection="0">
      <alignment/>
    </xf>
    <xf numFmtId="0" fontId="79" fillId="0" borderId="0" applyNumberFormat="0" applyFill="0" applyBorder="0" applyAlignment="0" applyProtection="0">
      <alignment/>
    </xf>
    <xf numFmtId="0" fontId="6" fillId="0" borderId="0">
      <alignment/>
      <protection/>
    </xf>
    <xf numFmtId="0" fontId="6" fillId="0" borderId="0">
      <alignment/>
      <protection/>
    </xf>
    <xf numFmtId="0" fontId="79" fillId="0" borderId="0" applyNumberFormat="0" applyFill="0" applyBorder="0" applyAlignment="0" applyProtection="0">
      <alignment/>
    </xf>
    <xf numFmtId="0" fontId="0" fillId="0" borderId="0">
      <alignment/>
      <protection/>
    </xf>
    <xf numFmtId="0" fontId="2" fillId="0" borderId="0">
      <alignment/>
      <protection/>
    </xf>
    <xf numFmtId="0" fontId="110" fillId="2" borderId="0" applyNumberFormat="0" applyBorder="0" applyAlignment="0" applyProtection="0">
      <alignment/>
    </xf>
  </cellStyleXfs>
  <cellXfs count="2272">
    <xf numFmtId="0" fontId="0" fillId="0" borderId="0" xfId="0">
      <alignment/>
    </xf>
    <xf numFmtId="0" fontId="0" fillId="3" borderId="0" xfId="0" applyFill="1" applyAlignment="1">
      <alignment vertical="top" wrapText="1"/>
    </xf>
    <xf numFmtId="0" fontId="0" fillId="0" borderId="0" xfId="0" applyFill="1">
      <alignment/>
    </xf>
    <xf numFmtId="0" fontId="16" fillId="0" borderId="0" xfId="0" applyFont="1" applyFill="1">
      <alignment/>
    </xf>
    <xf numFmtId="0" fontId="0" fillId="3" borderId="0" xfId="0" applyFill="1">
      <alignment/>
    </xf>
    <xf numFmtId="0" fontId="6" fillId="3" borderId="0" xfId="0" applyFont="1" applyFill="1">
      <alignment/>
    </xf>
    <xf numFmtId="0" fontId="7" fillId="3" borderId="0" xfId="0" applyFont="1" applyFill="1">
      <alignment/>
    </xf>
    <xf numFmtId="0" fontId="3" fillId="3" borderId="0" xfId="0" applyFont="1" applyFill="1">
      <alignment/>
    </xf>
    <xf numFmtId="0" fontId="16" fillId="3" borderId="0" xfId="0" applyFont="1" applyFill="1">
      <alignment/>
    </xf>
    <xf numFmtId="0" fontId="9" fillId="4" borderId="1" xfId="0" applyFont="1" applyFill="1" applyBorder="1" applyAlignment="1">
      <alignment horizontal="center"/>
    </xf>
    <xf numFmtId="0" fontId="6" fillId="3" borderId="2" xfId="0" applyFont="1" applyFill="1" applyBorder="1" applyAlignment="1" applyProtection="1">
      <alignment horizontal="center"/>
      <protection locked="0"/>
    </xf>
    <xf numFmtId="0" fontId="6" fillId="3" borderId="3" xfId="0" applyFont="1" applyFill="1" applyBorder="1" applyAlignment="1" applyProtection="1">
      <alignment horizontal="center"/>
      <protection locked="0"/>
    </xf>
    <xf numFmtId="0" fontId="9" fillId="4" borderId="0" xfId="0" applyFont="1" applyFill="1" applyAlignment="1">
      <alignment horizontal="center"/>
    </xf>
    <xf numFmtId="0" fontId="7" fillId="4" borderId="0" xfId="0" applyFont="1" applyFill="1" applyAlignment="1">
      <alignment horizontal="center"/>
    </xf>
    <xf numFmtId="49" fontId="9" fillId="3" borderId="4" xfId="0" applyNumberFormat="1" applyFont="1" applyFill="1" applyBorder="1" applyAlignment="1">
      <alignment horizontal="left" vertical="top"/>
    </xf>
    <xf numFmtId="49" fontId="9" fillId="3" borderId="5" xfId="0" applyNumberFormat="1" applyFont="1" applyFill="1" applyBorder="1" applyAlignment="1">
      <alignment horizontal="left" vertical="top"/>
    </xf>
    <xf numFmtId="49" fontId="6" fillId="3" borderId="6" xfId="0" applyNumberFormat="1" applyFont="1" applyFill="1" applyBorder="1" applyAlignment="1" applyProtection="1">
      <alignment horizontal="center"/>
      <protection locked="0"/>
    </xf>
    <xf numFmtId="49" fontId="9" fillId="3" borderId="7" xfId="0" applyNumberFormat="1" applyFont="1" applyFill="1" applyBorder="1" applyAlignment="1">
      <alignment horizontal="left" vertical="top" wrapText="1"/>
    </xf>
    <xf numFmtId="0" fontId="9" fillId="4" borderId="8"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5"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9" xfId="0" applyFont="1" applyFill="1" applyBorder="1" applyAlignment="1">
      <alignment horizontal="center" vertical="center"/>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0" fillId="3" borderId="0" xfId="0" applyFill="1" applyProtection="1">
      <alignment/>
      <protection/>
    </xf>
    <xf numFmtId="0" fontId="6" fillId="3" borderId="0" xfId="0" applyFont="1" applyFill="1" applyProtection="1">
      <alignment/>
      <protection/>
    </xf>
    <xf numFmtId="0" fontId="12" fillId="3" borderId="0" xfId="0" applyFont="1" applyFill="1" applyProtection="1">
      <alignment/>
      <protection/>
    </xf>
    <xf numFmtId="0" fontId="0" fillId="5" borderId="0" xfId="0" applyFill="1">
      <alignment/>
    </xf>
    <xf numFmtId="0" fontId="0" fillId="6" borderId="0" xfId="0" applyFill="1">
      <alignment/>
    </xf>
    <xf numFmtId="0" fontId="6" fillId="5" borderId="0" xfId="0" applyFont="1" applyFill="1">
      <alignment/>
    </xf>
    <xf numFmtId="0" fontId="7" fillId="5" borderId="0" xfId="0" applyFont="1" applyFill="1" applyAlignment="1">
      <alignment horizontal="right"/>
    </xf>
    <xf numFmtId="16" fontId="6" fillId="5" borderId="0" xfId="0" applyNumberFormat="1" applyFont="1" applyFill="1" applyAlignment="1">
      <alignment horizontal="center"/>
    </xf>
    <xf numFmtId="0" fontId="12" fillId="7" borderId="2" xfId="0" applyFont="1" applyFill="1" applyBorder="1" applyAlignment="1" applyProtection="1">
      <alignment horizontal="center"/>
      <protection/>
    </xf>
    <xf numFmtId="0" fontId="12" fillId="7" borderId="1" xfId="0" applyFont="1" applyFill="1" applyBorder="1" applyAlignment="1" applyProtection="1">
      <alignment horizontal="center"/>
      <protection/>
    </xf>
    <xf numFmtId="0" fontId="9" fillId="4" borderId="10" xfId="0" applyFont="1" applyFill="1" applyBorder="1" applyAlignment="1" applyProtection="1">
      <alignment horizontal="center"/>
      <protection/>
    </xf>
    <xf numFmtId="0" fontId="9" fillId="4" borderId="11" xfId="0" applyFont="1" applyFill="1" applyBorder="1" applyAlignment="1" applyProtection="1">
      <alignment horizontal="center"/>
      <protection/>
    </xf>
    <xf numFmtId="49" fontId="6" fillId="3"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6" fillId="3" borderId="1" xfId="0" applyNumberFormat="1" applyFont="1" applyFill="1" applyBorder="1" applyAlignment="1" applyProtection="1">
      <alignment horizontal="center"/>
      <protection locked="0"/>
    </xf>
    <xf numFmtId="10" fontId="6" fillId="3" borderId="2" xfId="0" applyNumberFormat="1" applyFont="1" applyFill="1" applyBorder="1" applyAlignment="1" applyProtection="1">
      <alignment horizontal="center"/>
      <protection locked="0"/>
    </xf>
    <xf numFmtId="10" fontId="6" fillId="3" borderId="3" xfId="0" applyNumberFormat="1" applyFont="1" applyFill="1" applyBorder="1" applyAlignment="1" applyProtection="1">
      <alignment horizontal="center"/>
      <protection locked="0"/>
    </xf>
    <xf numFmtId="10" fontId="6" fillId="3" borderId="9"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9" fillId="4" borderId="1" xfId="0" applyFont="1" applyFill="1" applyBorder="1" applyAlignment="1" applyProtection="1">
      <alignment horizontal="center" vertical="center" wrapText="1"/>
      <protection/>
    </xf>
    <xf numFmtId="0" fontId="12" fillId="8" borderId="12" xfId="0" applyFont="1" applyFill="1" applyBorder="1" applyAlignment="1" applyProtection="1">
      <alignment vertical="top"/>
      <protection/>
    </xf>
    <xf numFmtId="0" fontId="12" fillId="8" borderId="13" xfId="0" applyFont="1" applyFill="1" applyBorder="1" applyAlignment="1" applyProtection="1">
      <alignment vertical="top"/>
      <protection/>
    </xf>
    <xf numFmtId="10" fontId="0" fillId="8" borderId="14" xfId="0" applyNumberFormat="1" applyFill="1" applyBorder="1" applyAlignment="1" applyProtection="1">
      <alignment horizontal="right"/>
      <protection locked="0"/>
    </xf>
    <xf numFmtId="0" fontId="9" fillId="4" borderId="10" xfId="0" applyFont="1" applyFill="1" applyBorder="1" applyAlignment="1" applyProtection="1">
      <alignment horizontal="center" vertical="center"/>
      <protection/>
    </xf>
    <xf numFmtId="0" fontId="9" fillId="4" borderId="11" xfId="0" applyFont="1" applyFill="1" applyBorder="1" applyAlignment="1" applyProtection="1">
      <alignment horizontal="center" vertical="center"/>
      <protection/>
    </xf>
    <xf numFmtId="0" fontId="9" fillId="4" borderId="8" xfId="0" applyFont="1" applyFill="1" applyBorder="1" applyAlignment="1" applyProtection="1">
      <alignment horizontal="center" vertical="center"/>
      <protection/>
    </xf>
    <xf numFmtId="0" fontId="9" fillId="4" borderId="5" xfId="0" applyFont="1" applyFill="1" applyBorder="1" applyAlignment="1" applyProtection="1">
      <alignment horizontal="center" vertical="center"/>
      <protection/>
    </xf>
    <xf numFmtId="0" fontId="9" fillId="4" borderId="15" xfId="0" applyFont="1" applyFill="1" applyBorder="1" applyAlignment="1" applyProtection="1">
      <alignment horizontal="center" vertical="center"/>
      <protection/>
    </xf>
    <xf numFmtId="0" fontId="0" fillId="9" borderId="0" xfId="0" applyFill="1">
      <alignment/>
    </xf>
    <xf numFmtId="0" fontId="6" fillId="9" borderId="0" xfId="0" applyFont="1" applyFill="1">
      <alignment/>
    </xf>
    <xf numFmtId="0" fontId="19" fillId="10" borderId="0" xfId="0" applyFont="1" applyFill="1">
      <alignment/>
    </xf>
    <xf numFmtId="0" fontId="7" fillId="10" borderId="16" xfId="0" applyFont="1" applyFill="1" applyBorder="1">
      <alignment/>
    </xf>
    <xf numFmtId="0" fontId="7" fillId="10" borderId="17" xfId="0" applyFont="1" applyFill="1" applyBorder="1" applyAlignment="1">
      <alignment horizontal="center"/>
    </xf>
    <xf numFmtId="0" fontId="7" fillId="10" borderId="18" xfId="0" applyFont="1" applyFill="1" applyBorder="1" applyAlignment="1">
      <alignment horizontal="center"/>
    </xf>
    <xf numFmtId="0" fontId="6" fillId="10" borderId="4" xfId="0" applyFont="1" applyFill="1" applyBorder="1">
      <alignment/>
    </xf>
    <xf numFmtId="0" fontId="6" fillId="10" borderId="8" xfId="0" applyFont="1" applyFill="1" applyBorder="1">
      <alignment/>
    </xf>
    <xf numFmtId="0" fontId="25" fillId="10" borderId="8" xfId="0" applyFont="1" applyFill="1" applyBorder="1">
      <alignment/>
    </xf>
    <xf numFmtId="0" fontId="6" fillId="10" borderId="5" xfId="0" applyFont="1" applyFill="1" applyBorder="1">
      <alignment/>
    </xf>
    <xf numFmtId="0" fontId="7" fillId="10" borderId="19" xfId="0" applyFont="1" applyFill="1" applyBorder="1">
      <alignment/>
    </xf>
    <xf numFmtId="0" fontId="6" fillId="10" borderId="20" xfId="0" applyFont="1" applyFill="1" applyBorder="1">
      <alignment/>
    </xf>
    <xf numFmtId="0" fontId="7" fillId="10" borderId="21" xfId="0" applyFont="1" applyFill="1" applyBorder="1" applyAlignment="1">
      <alignment horizontal="center"/>
    </xf>
    <xf numFmtId="0" fontId="6" fillId="10" borderId="22" xfId="0" applyFont="1" applyFill="1" applyBorder="1">
      <alignment/>
    </xf>
    <xf numFmtId="0" fontId="6" fillId="10" borderId="23" xfId="0" applyFont="1" applyFill="1" applyBorder="1">
      <alignment/>
    </xf>
    <xf numFmtId="0" fontId="6" fillId="10" borderId="24" xfId="0" applyFont="1" applyFill="1" applyBorder="1">
      <alignment/>
    </xf>
    <xf numFmtId="0" fontId="6" fillId="10" borderId="0" xfId="0" applyFont="1" applyFill="1" applyBorder="1">
      <alignment/>
    </xf>
    <xf numFmtId="0" fontId="26" fillId="10" borderId="8" xfId="0" applyFont="1" applyFill="1" applyBorder="1">
      <alignment/>
    </xf>
    <xf numFmtId="0" fontId="26" fillId="10" borderId="25" xfId="0" applyFont="1" applyFill="1" applyBorder="1">
      <alignment/>
    </xf>
    <xf numFmtId="0" fontId="25" fillId="10" borderId="15" xfId="0" applyFont="1" applyFill="1" applyBorder="1">
      <alignment/>
    </xf>
    <xf numFmtId="3" fontId="6" fillId="8" borderId="2" xfId="0" applyNumberFormat="1" applyFont="1" applyFill="1" applyBorder="1" applyAlignment="1" applyProtection="1">
      <alignment horizontal="center" vertical="center"/>
      <protection/>
    </xf>
    <xf numFmtId="3" fontId="6" fillId="8" borderId="3" xfId="0" applyNumberFormat="1" applyFont="1" applyFill="1" applyBorder="1" applyAlignment="1" applyProtection="1">
      <alignment horizontal="center" vertical="center"/>
      <protection/>
    </xf>
    <xf numFmtId="0" fontId="6" fillId="4" borderId="1" xfId="0" applyFont="1" applyFill="1" applyBorder="1" applyAlignment="1" applyProtection="1">
      <alignment horizontal="left"/>
      <protection/>
    </xf>
    <xf numFmtId="0" fontId="9" fillId="4" borderId="24" xfId="0" applyFont="1" applyFill="1" applyBorder="1" applyAlignment="1" applyProtection="1">
      <alignment vertical="center"/>
      <protection/>
    </xf>
    <xf numFmtId="0" fontId="7" fillId="4" borderId="0" xfId="0" applyFont="1" applyFill="1" applyAlignment="1">
      <alignment horizontal="right"/>
    </xf>
    <xf numFmtId="0" fontId="3" fillId="4" borderId="0" xfId="0" applyFont="1" applyFill="1" applyBorder="1" applyAlignment="1">
      <alignment horizontal="center"/>
    </xf>
    <xf numFmtId="0" fontId="9" fillId="4" borderId="0" xfId="0" applyFont="1" applyFill="1" applyAlignment="1">
      <alignment horizontal="left"/>
    </xf>
    <xf numFmtId="0" fontId="7" fillId="3" borderId="2" xfId="0" applyFont="1" applyFill="1" applyBorder="1" applyAlignment="1" applyProtection="1">
      <alignment horizontal="center" vertical="center"/>
      <protection locked="0"/>
    </xf>
    <xf numFmtId="0" fontId="9" fillId="4" borderId="0" xfId="0" applyFont="1" applyFill="1" applyAlignment="1">
      <alignment horizontal="center" wrapText="1"/>
    </xf>
    <xf numFmtId="0" fontId="9" fillId="4" borderId="25" xfId="0" applyFont="1" applyFill="1" applyBorder="1" applyAlignment="1">
      <alignment horizontal="center" wrapText="1"/>
    </xf>
    <xf numFmtId="0" fontId="0" fillId="7" borderId="25" xfId="0" applyFill="1" applyBorder="1" applyAlignment="1">
      <alignment horizontal="left" wrapText="1"/>
    </xf>
    <xf numFmtId="0" fontId="0" fillId="8" borderId="0" xfId="0" applyFill="1">
      <alignment/>
    </xf>
    <xf numFmtId="0" fontId="9" fillId="4" borderId="15" xfId="0" applyFont="1" applyFill="1" applyBorder="1" applyAlignment="1">
      <alignment horizontal="center" vertical="center"/>
    </xf>
    <xf numFmtId="0" fontId="9" fillId="4" borderId="26" xfId="0" applyFont="1" applyFill="1" applyBorder="1" applyAlignment="1">
      <alignment horizontal="center"/>
    </xf>
    <xf numFmtId="0" fontId="9" fillId="4" borderId="15" xfId="0" applyFont="1" applyFill="1" applyBorder="1" applyAlignment="1">
      <alignment horizontal="center" vertical="center" wrapText="1"/>
    </xf>
    <xf numFmtId="3" fontId="6" fillId="8" borderId="1" xfId="0" applyNumberFormat="1" applyFont="1" applyFill="1" applyBorder="1" applyAlignment="1" applyProtection="1">
      <alignment horizontal="center" vertical="center"/>
      <protection/>
    </xf>
    <xf numFmtId="3" fontId="9" fillId="7" borderId="27" xfId="0" applyNumberFormat="1" applyFont="1" applyFill="1" applyBorder="1" applyAlignment="1" applyProtection="1">
      <alignment horizontal="center" vertical="center" wrapText="1" shrinkToFit="1"/>
      <protection/>
    </xf>
    <xf numFmtId="0" fontId="12" fillId="7" borderId="6" xfId="0" applyFont="1" applyFill="1" applyBorder="1" applyAlignment="1">
      <alignment horizontal="center" wrapText="1" shrinkToFit="1"/>
    </xf>
    <xf numFmtId="0" fontId="9" fillId="4" borderId="16" xfId="0" applyFont="1" applyFill="1" applyBorder="1" applyAlignment="1" applyProtection="1">
      <alignment horizontal="center" vertical="center"/>
      <protection/>
    </xf>
    <xf numFmtId="0" fontId="23" fillId="0" borderId="0" xfId="0" applyFont="1">
      <alignment/>
    </xf>
    <xf numFmtId="0" fontId="23" fillId="8" borderId="0" xfId="0" applyFont="1" applyFill="1">
      <alignment/>
    </xf>
    <xf numFmtId="0" fontId="9" fillId="4" borderId="28" xfId="0" applyFont="1" applyFill="1" applyBorder="1" applyAlignment="1" applyProtection="1">
      <alignment horizontal="center" vertical="center"/>
      <protection/>
    </xf>
    <xf numFmtId="0" fontId="6" fillId="4" borderId="29" xfId="0" applyFont="1" applyFill="1" applyBorder="1" applyAlignment="1" applyProtection="1">
      <alignment horizontal="left"/>
      <protection/>
    </xf>
    <xf numFmtId="0" fontId="6" fillId="4" borderId="21" xfId="0" applyFont="1" applyFill="1" applyBorder="1" applyAlignment="1" applyProtection="1">
      <alignment horizontal="left"/>
      <protection/>
    </xf>
    <xf numFmtId="0" fontId="9" fillId="4" borderId="1" xfId="0" applyFont="1" applyFill="1" applyBorder="1" applyAlignment="1">
      <alignment horizontal="center"/>
    </xf>
    <xf numFmtId="0" fontId="0" fillId="0" borderId="0" xfId="0" applyAlignment="1">
      <alignment/>
    </xf>
    <xf numFmtId="0" fontId="0" fillId="8" borderId="0" xfId="0" applyFill="1" applyAlignment="1">
      <alignment/>
    </xf>
    <xf numFmtId="0" fontId="0" fillId="7" borderId="30" xfId="0" applyFill="1" applyBorder="1" applyAlignment="1">
      <alignment/>
    </xf>
    <xf numFmtId="0" fontId="9" fillId="4" borderId="10" xfId="0" applyFont="1" applyFill="1" applyBorder="1" applyAlignment="1" applyProtection="1">
      <alignment horizontal="center"/>
      <protection/>
    </xf>
    <xf numFmtId="0" fontId="6" fillId="8" borderId="2" xfId="0" applyFont="1" applyFill="1" applyBorder="1" applyAlignment="1" applyProtection="1">
      <alignment horizontal="center" vertical="center"/>
      <protection locked="0"/>
    </xf>
    <xf numFmtId="0" fontId="7" fillId="3" borderId="21" xfId="0" applyFont="1" applyFill="1" applyBorder="1" applyAlignment="1" applyProtection="1">
      <alignment horizontal="center" vertical="center"/>
      <protection locked="0"/>
    </xf>
    <xf numFmtId="3" fontId="6" fillId="8" borderId="9" xfId="0" applyNumberFormat="1" applyFont="1" applyFill="1" applyBorder="1" applyAlignment="1" applyProtection="1">
      <alignment horizontal="center" vertical="center"/>
      <protection/>
    </xf>
    <xf numFmtId="49" fontId="0" fillId="8" borderId="31" xfId="0" applyNumberFormat="1" applyFill="1" applyBorder="1" applyAlignment="1" applyProtection="1">
      <alignment horizontal="right"/>
      <protection locked="0"/>
    </xf>
    <xf numFmtId="49" fontId="0" fillId="8" borderId="2" xfId="0" applyNumberFormat="1" applyFont="1" applyFill="1" applyBorder="1" applyAlignment="1" applyProtection="1">
      <alignment horizontal="center"/>
      <protection locked="0"/>
    </xf>
    <xf numFmtId="49" fontId="0" fillId="8" borderId="2" xfId="0" applyNumberFormat="1" applyFont="1" applyFill="1" applyBorder="1" applyAlignment="1" applyProtection="1">
      <alignment horizontal="center"/>
      <protection locked="0"/>
    </xf>
    <xf numFmtId="10" fontId="0" fillId="8" borderId="2" xfId="0" applyNumberFormat="1" applyFont="1" applyFill="1" applyBorder="1" applyAlignment="1" applyProtection="1">
      <alignment horizontal="center"/>
      <protection locked="0"/>
    </xf>
    <xf numFmtId="10" fontId="0" fillId="8" borderId="1" xfId="0" applyNumberFormat="1" applyFont="1" applyFill="1" applyBorder="1" applyAlignment="1" applyProtection="1">
      <alignment horizontal="center"/>
      <protection locked="0"/>
    </xf>
    <xf numFmtId="49" fontId="0" fillId="8" borderId="3" xfId="0" applyNumberFormat="1" applyFont="1" applyFill="1" applyBorder="1" applyAlignment="1" applyProtection="1">
      <alignment horizontal="center"/>
      <protection locked="0"/>
    </xf>
    <xf numFmtId="0" fontId="6" fillId="3" borderId="1" xfId="0" applyFont="1" applyFill="1" applyBorder="1" applyAlignment="1" applyProtection="1">
      <alignment horizontal="center" vertical="center"/>
      <protection locked="0"/>
    </xf>
    <xf numFmtId="0" fontId="6" fillId="3" borderId="0" xfId="0" applyFont="1" applyFill="1" applyProtection="1">
      <alignment/>
      <protection locked="0"/>
    </xf>
    <xf numFmtId="0" fontId="0" fillId="6" borderId="0" xfId="0" applyFill="1" applyAlignment="1">
      <alignment wrapText="1"/>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6" fillId="4" borderId="0" xfId="0" applyFont="1" applyFill="1" applyBorder="1" applyAlignment="1">
      <alignment vertical="center"/>
    </xf>
    <xf numFmtId="0" fontId="0" fillId="3" borderId="0" xfId="0" applyFill="1" applyAlignment="1">
      <alignment vertical="center"/>
    </xf>
    <xf numFmtId="0" fontId="0" fillId="0" borderId="0" xfId="0" applyFill="1" applyAlignment="1">
      <alignment vertical="center"/>
    </xf>
    <xf numFmtId="0" fontId="12" fillId="7" borderId="20" xfId="0" applyFont="1" applyFill="1" applyBorder="1" applyAlignment="1">
      <alignment vertical="center"/>
    </xf>
    <xf numFmtId="3" fontId="6" fillId="3" borderId="2" xfId="0" applyNumberFormat="1" applyFont="1" applyFill="1" applyBorder="1" applyAlignment="1" applyProtection="1">
      <alignment horizontal="center" vertical="center"/>
      <protection locked="0"/>
    </xf>
    <xf numFmtId="0" fontId="0" fillId="6" borderId="0" xfId="0" applyFill="1" applyAlignment="1">
      <alignment vertical="center"/>
    </xf>
    <xf numFmtId="49" fontId="9" fillId="3" borderId="33" xfId="0" applyNumberFormat="1" applyFont="1" applyFill="1" applyBorder="1" applyAlignment="1">
      <alignment horizontal="left" vertical="top" wrapText="1"/>
    </xf>
    <xf numFmtId="0" fontId="0" fillId="3" borderId="0" xfId="0" applyFill="1" applyAlignment="1" applyProtection="1">
      <alignment vertical="center"/>
      <protection/>
    </xf>
    <xf numFmtId="0" fontId="3" fillId="0" borderId="2" xfId="0" applyFont="1" applyBorder="1" applyAlignment="1" applyProtection="1">
      <alignment horizontal="center" vertical="center"/>
      <protection locked="0"/>
    </xf>
    <xf numFmtId="0" fontId="0" fillId="7" borderId="34" xfId="0" applyFill="1" applyBorder="1" applyAlignment="1">
      <alignment vertical="center" wrapText="1"/>
    </xf>
    <xf numFmtId="0" fontId="9" fillId="4" borderId="35" xfId="0" applyFont="1" applyFill="1" applyBorder="1" applyAlignment="1" applyProtection="1">
      <alignment horizontal="center" vertical="center"/>
      <protection/>
    </xf>
    <xf numFmtId="0" fontId="8" fillId="4" borderId="0" xfId="0" applyFont="1" applyFill="1" applyBorder="1" applyAlignment="1">
      <alignment wrapText="1" shrinkToFit="1"/>
    </xf>
    <xf numFmtId="0" fontId="9" fillId="4" borderId="4" xfId="0" applyFont="1" applyFill="1" applyBorder="1" applyAlignment="1" applyProtection="1">
      <alignment horizontal="center" vertical="center"/>
      <protection/>
    </xf>
    <xf numFmtId="0" fontId="9" fillId="4" borderId="27" xfId="0" applyFont="1" applyFill="1" applyBorder="1" applyAlignment="1" applyProtection="1">
      <alignment horizontal="center" wrapText="1"/>
      <protection/>
    </xf>
    <xf numFmtId="0" fontId="9" fillId="4" borderId="4" xfId="0" applyFont="1" applyFill="1" applyBorder="1" applyAlignment="1" applyProtection="1">
      <alignment horizontal="center" vertical="center"/>
      <protection/>
    </xf>
    <xf numFmtId="0" fontId="9" fillId="4" borderId="36" xfId="0" applyFont="1" applyFill="1" applyBorder="1" applyAlignment="1">
      <alignment horizontal="center" vertical="center"/>
    </xf>
    <xf numFmtId="0" fontId="12" fillId="7" borderId="0" xfId="0" applyFont="1" applyFill="1" applyAlignment="1">
      <alignment horizontal="right" vertical="center"/>
    </xf>
    <xf numFmtId="0" fontId="0" fillId="0" borderId="0" xfId="0" applyAlignment="1">
      <alignment wrapText="1"/>
    </xf>
    <xf numFmtId="0" fontId="12" fillId="7" borderId="37" xfId="0" applyFont="1" applyFill="1" applyBorder="1" applyAlignment="1">
      <alignment horizontal="right" vertical="center" wrapText="1"/>
    </xf>
    <xf numFmtId="0" fontId="0" fillId="11" borderId="0" xfId="0" applyFill="1">
      <alignment/>
    </xf>
    <xf numFmtId="0" fontId="45" fillId="11" borderId="0" xfId="0" applyFont="1" applyFill="1">
      <alignment/>
    </xf>
    <xf numFmtId="0" fontId="45" fillId="6" borderId="0" xfId="0" applyFont="1" applyFill="1">
      <alignment/>
    </xf>
    <xf numFmtId="0" fontId="0" fillId="11" borderId="0" xfId="0" applyFill="1" applyAlignment="1">
      <alignment vertical="center"/>
    </xf>
    <xf numFmtId="0" fontId="6" fillId="7" borderId="2" xfId="0" applyFont="1" applyFill="1" applyBorder="1" applyAlignment="1" applyProtection="1">
      <alignment horizontal="center" vertical="center"/>
      <protection/>
    </xf>
    <xf numFmtId="0" fontId="6" fillId="7" borderId="3" xfId="0" applyFont="1" applyFill="1" applyBorder="1" applyAlignment="1" applyProtection="1">
      <alignment horizontal="center" vertical="center"/>
      <protection/>
    </xf>
    <xf numFmtId="14" fontId="9" fillId="4" borderId="0" xfId="0" applyNumberFormat="1" applyFont="1" applyFill="1" applyBorder="1" applyAlignment="1" applyProtection="1">
      <alignment horizontal="right"/>
      <protection/>
    </xf>
    <xf numFmtId="49" fontId="6" fillId="3" borderId="0" xfId="0" applyNumberFormat="1" applyFont="1" applyFill="1" applyBorder="1" applyAlignment="1" applyProtection="1">
      <alignment horizontal="center"/>
      <protection/>
    </xf>
    <xf numFmtId="49" fontId="0" fillId="8" borderId="0" xfId="0" applyNumberFormat="1" applyFill="1" applyBorder="1" applyAlignment="1" applyProtection="1">
      <alignment horizontal="center"/>
      <protection/>
    </xf>
    <xf numFmtId="0" fontId="6" fillId="7" borderId="2" xfId="0" applyFont="1" applyFill="1" applyBorder="1" applyAlignment="1" applyProtection="1">
      <alignment vertical="center"/>
      <protection/>
    </xf>
    <xf numFmtId="0" fontId="6" fillId="7" borderId="38" xfId="0" applyFont="1" applyFill="1" applyBorder="1" applyAlignment="1" applyProtection="1">
      <alignment vertical="center"/>
      <protection/>
    </xf>
    <xf numFmtId="0" fontId="6" fillId="7" borderId="3" xfId="0" applyFont="1" applyFill="1" applyBorder="1" applyAlignment="1" applyProtection="1">
      <alignment vertical="center"/>
      <protection/>
    </xf>
    <xf numFmtId="0" fontId="0" fillId="8" borderId="39" xfId="0" applyFont="1" applyFill="1" applyBorder="1" applyAlignment="1" applyProtection="1">
      <alignment horizontal="center"/>
      <protection locked="0"/>
    </xf>
    <xf numFmtId="0" fontId="9" fillId="4" borderId="40" xfId="0" applyFont="1" applyFill="1" applyBorder="1" applyAlignment="1">
      <alignment wrapText="1"/>
    </xf>
    <xf numFmtId="0" fontId="12" fillId="7" borderId="40" xfId="0" applyFont="1" applyFill="1" applyBorder="1" applyAlignment="1">
      <alignment/>
    </xf>
    <xf numFmtId="0" fontId="9" fillId="4" borderId="10" xfId="0" applyFont="1" applyFill="1" applyBorder="1" applyAlignment="1">
      <alignment horizontal="center" vertical="center"/>
    </xf>
    <xf numFmtId="0" fontId="9" fillId="4" borderId="11" xfId="0" applyFont="1" applyFill="1" applyBorder="1" applyAlignment="1">
      <alignment horizontal="center" vertical="center"/>
    </xf>
    <xf numFmtId="0" fontId="6" fillId="3" borderId="39" xfId="0" applyFont="1" applyFill="1" applyBorder="1" applyAlignment="1" applyProtection="1">
      <alignment horizontal="center" wrapText="1"/>
      <protection locked="0"/>
    </xf>
    <xf numFmtId="0" fontId="6" fillId="3" borderId="41" xfId="0" applyFont="1" applyFill="1" applyBorder="1" applyAlignment="1" applyProtection="1">
      <alignment horizontal="center" wrapText="1"/>
      <protection locked="0"/>
    </xf>
    <xf numFmtId="3" fontId="6" fillId="4" borderId="0" xfId="0" applyNumberFormat="1" applyFont="1" applyFill="1" applyBorder="1" applyAlignment="1">
      <alignment horizontal="center" vertical="center"/>
    </xf>
    <xf numFmtId="0" fontId="0" fillId="7" borderId="42" xfId="0" applyFill="1" applyBorder="1" applyAlignment="1">
      <alignment/>
    </xf>
    <xf numFmtId="0" fontId="0" fillId="0" borderId="0" xfId="0" applyAlignment="1">
      <alignment vertical="center"/>
    </xf>
    <xf numFmtId="0" fontId="0" fillId="8" borderId="0" xfId="0" applyFill="1" applyAlignment="1">
      <alignment vertical="center"/>
    </xf>
    <xf numFmtId="0" fontId="0" fillId="8" borderId="2" xfId="0" applyFill="1" applyBorder="1" applyAlignment="1" applyProtection="1">
      <alignment vertical="center"/>
      <protection locked="0"/>
    </xf>
    <xf numFmtId="0" fontId="0" fillId="4" borderId="0" xfId="0" applyFill="1">
      <alignment/>
    </xf>
    <xf numFmtId="0" fontId="0" fillId="7" borderId="2" xfId="0" applyFill="1" applyBorder="1" applyAlignment="1">
      <alignment vertical="center"/>
    </xf>
    <xf numFmtId="4" fontId="6" fillId="3" borderId="27" xfId="0" applyNumberFormat="1" applyFont="1" applyFill="1" applyBorder="1" applyProtection="1">
      <alignment/>
      <protection locked="0"/>
    </xf>
    <xf numFmtId="4" fontId="6" fillId="3" borderId="6" xfId="0" applyNumberFormat="1" applyFont="1" applyFill="1" applyBorder="1" applyProtection="1">
      <alignment/>
      <protection locked="0"/>
    </xf>
    <xf numFmtId="4" fontId="6" fillId="3" borderId="2" xfId="0" applyNumberFormat="1" applyFont="1" applyFill="1" applyBorder="1" applyProtection="1">
      <alignment/>
      <protection locked="0"/>
    </xf>
    <xf numFmtId="4" fontId="6" fillId="3" borderId="43" xfId="0" applyNumberFormat="1" applyFont="1" applyFill="1" applyBorder="1" applyProtection="1">
      <alignment/>
      <protection locked="0"/>
    </xf>
    <xf numFmtId="4" fontId="7" fillId="3" borderId="2" xfId="0" applyNumberFormat="1" applyFont="1" applyFill="1" applyBorder="1">
      <alignment/>
    </xf>
    <xf numFmtId="4" fontId="7" fillId="3" borderId="43" xfId="0" applyNumberFormat="1" applyFont="1" applyFill="1" applyBorder="1">
      <alignment/>
    </xf>
    <xf numFmtId="4" fontId="6" fillId="3" borderId="3" xfId="0" applyNumberFormat="1" applyFont="1" applyFill="1" applyBorder="1">
      <alignment/>
    </xf>
    <xf numFmtId="4" fontId="6" fillId="3" borderId="44" xfId="0" applyNumberFormat="1" applyFont="1" applyFill="1" applyBorder="1">
      <alignment/>
    </xf>
    <xf numFmtId="4" fontId="6" fillId="10" borderId="45" xfId="0" applyNumberFormat="1" applyFont="1" applyFill="1" applyBorder="1">
      <alignment/>
    </xf>
    <xf numFmtId="4" fontId="6" fillId="10" borderId="32" xfId="0" applyNumberFormat="1" applyFont="1" applyFill="1" applyBorder="1">
      <alignment/>
    </xf>
    <xf numFmtId="4" fontId="6" fillId="3" borderId="36" xfId="0" applyNumberFormat="1" applyFont="1" applyFill="1" applyBorder="1" applyProtection="1">
      <alignment/>
      <protection locked="0"/>
    </xf>
    <xf numFmtId="4" fontId="6" fillId="3" borderId="1" xfId="0" applyNumberFormat="1" applyFont="1" applyFill="1" applyBorder="1" applyProtection="1">
      <alignment/>
      <protection locked="0"/>
    </xf>
    <xf numFmtId="4" fontId="7" fillId="3" borderId="29" xfId="0" applyNumberFormat="1" applyFont="1" applyFill="1" applyBorder="1" applyProtection="1">
      <alignment/>
      <protection/>
    </xf>
    <xf numFmtId="4" fontId="6" fillId="3" borderId="9" xfId="0" applyNumberFormat="1" applyFont="1" applyFill="1" applyBorder="1">
      <alignment/>
    </xf>
    <xf numFmtId="4" fontId="6" fillId="10" borderId="46" xfId="0" applyNumberFormat="1" applyFont="1" applyFill="1" applyBorder="1">
      <alignment/>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9" fillId="4" borderId="15" xfId="0" applyFont="1" applyFill="1" applyBorder="1" applyAlignment="1" applyProtection="1">
      <alignment horizontal="center" vertical="center"/>
      <protection/>
    </xf>
    <xf numFmtId="0" fontId="6" fillId="4" borderId="47" xfId="0" applyFont="1" applyFill="1" applyBorder="1" applyAlignment="1" applyProtection="1">
      <alignment horizontal="center" vertical="center"/>
      <protection/>
    </xf>
    <xf numFmtId="0" fontId="0" fillId="7" borderId="48" xfId="0" applyFill="1" applyBorder="1" applyAlignment="1">
      <alignment/>
    </xf>
    <xf numFmtId="0" fontId="3" fillId="0" borderId="21" xfId="0" applyFont="1" applyBorder="1" applyAlignment="1" applyProtection="1">
      <alignment horizontal="center" vertical="center"/>
      <protection locked="0"/>
    </xf>
    <xf numFmtId="0" fontId="12" fillId="7" borderId="0" xfId="0" applyFont="1" applyFill="1" applyAlignment="1">
      <alignment horizontal="left" vertical="center"/>
    </xf>
    <xf numFmtId="0" fontId="20" fillId="8" borderId="0" xfId="0" applyFont="1" applyFill="1">
      <alignment/>
    </xf>
    <xf numFmtId="0" fontId="20" fillId="0" borderId="0" xfId="0" applyFont="1">
      <alignment/>
    </xf>
    <xf numFmtId="10" fontId="6" fillId="3" borderId="2" xfId="0" applyNumberFormat="1" applyFont="1" applyFill="1" applyBorder="1" applyAlignment="1" applyProtection="1">
      <alignment horizontal="center" vertical="center"/>
      <protection/>
    </xf>
    <xf numFmtId="0" fontId="7" fillId="4" borderId="0" xfId="0" applyFont="1" applyFill="1" applyAlignment="1">
      <alignment horizontal="center" vertical="center"/>
    </xf>
    <xf numFmtId="14" fontId="7" fillId="3" borderId="2" xfId="0" applyNumberFormat="1" applyFont="1" applyFill="1" applyBorder="1" applyAlignment="1" applyProtection="1">
      <alignment horizontal="center" vertical="center"/>
      <protection locked="0"/>
    </xf>
    <xf numFmtId="0" fontId="48" fillId="6" borderId="0" xfId="0" applyFont="1" applyFill="1">
      <alignment/>
    </xf>
    <xf numFmtId="0" fontId="48" fillId="0" borderId="0" xfId="0" applyFont="1">
      <alignment/>
    </xf>
    <xf numFmtId="0" fontId="52" fillId="8" borderId="41" xfId="0" applyFont="1" applyFill="1" applyBorder="1" applyAlignment="1" applyProtection="1">
      <alignment horizontal="center" vertical="center"/>
      <protection/>
    </xf>
    <xf numFmtId="0" fontId="0" fillId="0" borderId="41" xfId="0" applyBorder="1" applyAlignment="1" applyProtection="1">
      <alignment vertical="center"/>
      <protection/>
    </xf>
    <xf numFmtId="0" fontId="52" fillId="8" borderId="2" xfId="0" applyFont="1" applyFill="1" applyBorder="1" applyAlignment="1">
      <alignment horizontal="center" vertical="center"/>
    </xf>
    <xf numFmtId="49" fontId="0" fillId="6" borderId="0" xfId="0" applyNumberFormat="1" applyFont="1" applyFill="1">
      <alignment/>
    </xf>
    <xf numFmtId="49" fontId="0" fillId="11" borderId="0" xfId="0" applyNumberFormat="1" applyFont="1" applyFill="1">
      <alignment/>
    </xf>
    <xf numFmtId="0" fontId="50" fillId="3" borderId="0" xfId="0" applyFont="1" applyFill="1">
      <alignment/>
    </xf>
    <xf numFmtId="0" fontId="50" fillId="3" borderId="0" xfId="0" applyFont="1" applyFill="1" applyAlignment="1">
      <alignment/>
    </xf>
    <xf numFmtId="0" fontId="0" fillId="8" borderId="41" xfId="0" applyFill="1" applyBorder="1" applyAlignment="1" applyProtection="1">
      <alignment horizontal="center" vertical="center"/>
      <protection locked="0"/>
    </xf>
    <xf numFmtId="0" fontId="9" fillId="3" borderId="10" xfId="0" applyFont="1" applyFill="1" applyBorder="1" applyAlignment="1">
      <alignment horizontal="center" vertical="center"/>
    </xf>
    <xf numFmtId="0" fontId="0" fillId="0" borderId="0" xfId="0" applyAlignment="1">
      <alignment horizontal="center" vertical="center"/>
    </xf>
    <xf numFmtId="0" fontId="23" fillId="8" borderId="0" xfId="0" applyFont="1" applyFill="1" applyAlignment="1">
      <alignment horizontal="center" vertical="center"/>
    </xf>
    <xf numFmtId="0" fontId="59" fillId="6" borderId="0" xfId="0" applyFont="1" applyFill="1">
      <alignment/>
    </xf>
    <xf numFmtId="0" fontId="3" fillId="8" borderId="0" xfId="0" applyFont="1" applyFill="1" applyAlignment="1">
      <alignment horizontal="center" vertical="center"/>
    </xf>
    <xf numFmtId="0" fontId="60" fillId="8" borderId="0" xfId="0" applyFont="1" applyFill="1" applyAlignment="1">
      <alignment horizontal="center" vertical="center"/>
    </xf>
    <xf numFmtId="0" fontId="0" fillId="8" borderId="0" xfId="0" applyFill="1" applyAlignment="1">
      <alignment horizontal="right" vertical="center"/>
    </xf>
    <xf numFmtId="0" fontId="0" fillId="8" borderId="49" xfId="0" applyFill="1" applyBorder="1" applyAlignment="1" applyProtection="1">
      <alignment vertical="center"/>
      <protection locked="0"/>
    </xf>
    <xf numFmtId="0" fontId="0" fillId="8" borderId="0" xfId="0" applyFill="1" applyBorder="1" applyAlignment="1" applyProtection="1">
      <alignment vertical="center"/>
      <protection locked="0"/>
    </xf>
    <xf numFmtId="0" fontId="59" fillId="8" borderId="0" xfId="0" applyFont="1" applyFill="1" applyBorder="1" applyAlignment="1" applyProtection="1">
      <alignment vertical="center"/>
      <protection locked="0"/>
    </xf>
    <xf numFmtId="0" fontId="59" fillId="8" borderId="0" xfId="0" applyFont="1" applyFill="1" applyAlignment="1">
      <alignment vertical="center"/>
    </xf>
    <xf numFmtId="0" fontId="59" fillId="8" borderId="0" xfId="0" applyFont="1" applyFill="1" applyAlignment="1">
      <alignment horizontal="right" vertical="center"/>
    </xf>
    <xf numFmtId="0" fontId="0" fillId="8" borderId="50" xfId="0" applyFill="1" applyBorder="1" applyAlignment="1" applyProtection="1">
      <alignment vertical="center"/>
      <protection locked="0"/>
    </xf>
    <xf numFmtId="0" fontId="23" fillId="12" borderId="0" xfId="0" applyFont="1" applyFill="1" applyAlignment="1">
      <alignment vertical="center"/>
    </xf>
    <xf numFmtId="0" fontId="23" fillId="12" borderId="0" xfId="0" applyFont="1" applyFill="1" applyAlignment="1">
      <alignment horizontal="right" vertical="center"/>
    </xf>
    <xf numFmtId="0" fontId="23" fillId="7" borderId="0" xfId="0" applyFont="1" applyFill="1" applyAlignment="1">
      <alignment vertical="center"/>
    </xf>
    <xf numFmtId="0" fontId="23" fillId="7" borderId="0" xfId="0" applyFont="1" applyFill="1" applyAlignment="1">
      <alignment horizontal="right" vertical="center"/>
    </xf>
    <xf numFmtId="0" fontId="23" fillId="8" borderId="0" xfId="0" applyFont="1" applyFill="1" applyAlignment="1">
      <alignment vertical="center"/>
    </xf>
    <xf numFmtId="0" fontId="0" fillId="7" borderId="51" xfId="0" applyFill="1" applyBorder="1" applyAlignment="1" applyProtection="1">
      <alignment vertical="center"/>
      <protection locked="0"/>
    </xf>
    <xf numFmtId="0" fontId="0" fillId="7" borderId="52" xfId="0" applyFill="1" applyBorder="1" applyAlignment="1" applyProtection="1">
      <alignment vertical="center"/>
      <protection locked="0"/>
    </xf>
    <xf numFmtId="0" fontId="0" fillId="12" borderId="53" xfId="0" applyFill="1" applyBorder="1" applyAlignment="1" applyProtection="1">
      <alignment vertical="center"/>
      <protection locked="0"/>
    </xf>
    <xf numFmtId="14" fontId="0" fillId="7" borderId="52" xfId="0" applyNumberFormat="1" applyFill="1" applyBorder="1" applyAlignment="1" applyProtection="1">
      <alignment horizontal="left" vertical="center"/>
      <protection locked="0"/>
    </xf>
    <xf numFmtId="49" fontId="0" fillId="7" borderId="52" xfId="0" applyNumberFormat="1" applyFill="1" applyBorder="1" applyAlignment="1" applyProtection="1">
      <alignment horizontal="left" vertical="center"/>
      <protection locked="0"/>
    </xf>
    <xf numFmtId="49" fontId="0" fillId="12" borderId="53" xfId="0" applyNumberFormat="1" applyFill="1" applyBorder="1" applyAlignment="1" applyProtection="1">
      <alignment vertical="center"/>
      <protection locked="0"/>
    </xf>
    <xf numFmtId="0" fontId="0" fillId="13" borderId="52" xfId="0" applyFill="1" applyBorder="1" applyAlignment="1" applyProtection="1">
      <alignment vertical="center"/>
      <protection locked="0"/>
    </xf>
    <xf numFmtId="0" fontId="0" fillId="13" borderId="53" xfId="0" applyFill="1" applyBorder="1" applyAlignment="1" applyProtection="1">
      <alignment vertical="center"/>
      <protection locked="0"/>
    </xf>
    <xf numFmtId="49" fontId="0" fillId="13" borderId="52" xfId="0" applyNumberFormat="1" applyFill="1" applyBorder="1" applyAlignment="1" applyProtection="1">
      <alignment horizontal="left" vertical="center"/>
      <protection locked="0"/>
    </xf>
    <xf numFmtId="3" fontId="0" fillId="13" borderId="53" xfId="0" applyNumberFormat="1" applyFill="1" applyBorder="1" applyAlignment="1" applyProtection="1">
      <alignment horizontal="left" vertical="center"/>
      <protection locked="0"/>
    </xf>
    <xf numFmtId="3" fontId="0" fillId="13" borderId="52" xfId="0" applyNumberFormat="1" applyFill="1" applyBorder="1" applyAlignment="1" applyProtection="1">
      <alignment horizontal="left" vertical="center"/>
      <protection locked="0"/>
    </xf>
    <xf numFmtId="0" fontId="0" fillId="13" borderId="53" xfId="0" applyFill="1" applyBorder="1" applyAlignment="1" applyProtection="1">
      <alignment horizontal="left" vertical="center"/>
      <protection locked="0"/>
    </xf>
    <xf numFmtId="49" fontId="0" fillId="13" borderId="53" xfId="0" applyNumberFormat="1" applyFill="1" applyBorder="1" applyAlignment="1" applyProtection="1">
      <alignment horizontal="left" vertical="center"/>
      <protection locked="0"/>
    </xf>
    <xf numFmtId="0" fontId="0" fillId="13" borderId="54" xfId="0" applyFill="1" applyBorder="1" applyAlignment="1" applyProtection="1">
      <alignment vertical="center"/>
      <protection locked="0"/>
    </xf>
    <xf numFmtId="0" fontId="0" fillId="13" borderId="55" xfId="0" applyFill="1" applyBorder="1" applyAlignment="1" applyProtection="1">
      <alignment vertical="center"/>
      <protection locked="0"/>
    </xf>
    <xf numFmtId="0" fontId="23" fillId="13" borderId="0" xfId="0" applyFont="1" applyFill="1" applyAlignment="1">
      <alignment vertical="center"/>
    </xf>
    <xf numFmtId="0" fontId="23" fillId="13" borderId="0" xfId="0" applyFont="1" applyFill="1" applyAlignment="1">
      <alignment horizontal="right" vertical="center"/>
    </xf>
    <xf numFmtId="0" fontId="3" fillId="0" borderId="1" xfId="0" applyFont="1" applyBorder="1" applyAlignment="1" applyProtection="1">
      <alignment horizontal="center" vertical="center"/>
      <protection locked="0"/>
    </xf>
    <xf numFmtId="0" fontId="3" fillId="0" borderId="9" xfId="0" applyFont="1" applyBorder="1" applyAlignment="1">
      <alignment horizontal="center" vertical="center"/>
    </xf>
    <xf numFmtId="0" fontId="28" fillId="7" borderId="36" xfId="0" applyFont="1" applyFill="1" applyBorder="1" applyAlignment="1">
      <alignment horizontal="center" vertical="center"/>
    </xf>
    <xf numFmtId="0" fontId="12" fillId="8" borderId="28" xfId="0" applyFont="1" applyFill="1" applyBorder="1" applyAlignment="1">
      <alignment horizontal="center" vertical="center"/>
    </xf>
    <xf numFmtId="0" fontId="12" fillId="8" borderId="27" xfId="0" applyFont="1" applyFill="1" applyBorder="1" applyAlignment="1">
      <alignment horizontal="center" vertical="center"/>
    </xf>
    <xf numFmtId="0" fontId="12" fillId="8" borderId="36" xfId="0" applyFont="1" applyFill="1" applyBorder="1" applyAlignment="1">
      <alignment horizontal="center" vertical="center"/>
    </xf>
    <xf numFmtId="1" fontId="6" fillId="3" borderId="2" xfId="0" applyNumberFormat="1" applyFont="1" applyFill="1" applyBorder="1" applyAlignment="1" applyProtection="1">
      <alignment horizontal="center" vertical="center"/>
      <protection locked="0"/>
    </xf>
    <xf numFmtId="3" fontId="6" fillId="3" borderId="2" xfId="0" applyNumberFormat="1" applyFont="1" applyFill="1" applyBorder="1" applyAlignment="1" applyProtection="1">
      <alignment horizontal="center" vertical="center"/>
      <protection locked="0"/>
    </xf>
    <xf numFmtId="3" fontId="6" fillId="3" borderId="1" xfId="0" applyNumberFormat="1" applyFont="1" applyFill="1" applyBorder="1" applyAlignment="1" applyProtection="1">
      <alignment horizontal="center" vertical="center"/>
      <protection locked="0"/>
    </xf>
    <xf numFmtId="1" fontId="0" fillId="8" borderId="2" xfId="0" applyNumberFormat="1" applyFill="1" applyBorder="1" applyAlignment="1" applyProtection="1">
      <alignment horizontal="center" vertical="center"/>
      <protection locked="0"/>
    </xf>
    <xf numFmtId="0" fontId="9" fillId="3" borderId="11" xfId="0" applyFont="1" applyFill="1" applyBorder="1" applyAlignment="1">
      <alignment horizontal="center" vertical="center"/>
    </xf>
    <xf numFmtId="3" fontId="6" fillId="3" borderId="3" xfId="0" applyNumberFormat="1" applyFont="1" applyFill="1" applyBorder="1" applyAlignment="1">
      <alignment horizontal="center" vertical="center"/>
    </xf>
    <xf numFmtId="3" fontId="6" fillId="3" borderId="9" xfId="0" applyNumberFormat="1" applyFont="1" applyFill="1" applyBorder="1" applyAlignment="1">
      <alignment horizontal="center" vertical="center"/>
    </xf>
    <xf numFmtId="0" fontId="28" fillId="8" borderId="28" xfId="0" applyFont="1" applyFill="1" applyBorder="1" applyAlignment="1">
      <alignment horizontal="center" vertical="center"/>
    </xf>
    <xf numFmtId="0" fontId="28" fillId="8" borderId="27" xfId="0" applyFont="1" applyFill="1" applyBorder="1" applyAlignment="1">
      <alignment horizontal="center" vertical="center"/>
    </xf>
    <xf numFmtId="0" fontId="28" fillId="8" borderId="36" xfId="0" applyFont="1" applyFill="1" applyBorder="1" applyAlignment="1">
      <alignment horizontal="center" vertical="center"/>
    </xf>
    <xf numFmtId="0" fontId="28" fillId="8" borderId="56" xfId="0" applyFont="1" applyFill="1" applyBorder="1" applyAlignment="1">
      <alignment horizontal="center" vertical="center"/>
    </xf>
    <xf numFmtId="0" fontId="28" fillId="8" borderId="38" xfId="0" applyFont="1" applyFill="1" applyBorder="1" applyAlignment="1">
      <alignment horizontal="center" vertical="center"/>
    </xf>
    <xf numFmtId="0" fontId="28" fillId="8" borderId="29" xfId="0" applyFont="1" applyFill="1" applyBorder="1" applyAlignment="1">
      <alignment horizontal="center" vertical="center"/>
    </xf>
    <xf numFmtId="0" fontId="0" fillId="8" borderId="28" xfId="0" applyFill="1" applyBorder="1" applyAlignment="1" applyProtection="1">
      <alignment horizontal="center" vertical="center"/>
      <protection locked="0"/>
    </xf>
    <xf numFmtId="0" fontId="0" fillId="8" borderId="27" xfId="0" applyFill="1" applyBorder="1" applyAlignment="1" applyProtection="1">
      <alignment vertical="center"/>
      <protection locked="0"/>
    </xf>
    <xf numFmtId="3" fontId="0" fillId="8" borderId="27" xfId="0" applyNumberFormat="1" applyFill="1" applyBorder="1" applyAlignment="1" applyProtection="1">
      <alignment horizontal="center" vertical="center"/>
      <protection locked="0"/>
    </xf>
    <xf numFmtId="3" fontId="0" fillId="8" borderId="36" xfId="0" applyNumberFormat="1" applyFill="1" applyBorder="1" applyAlignment="1" applyProtection="1">
      <alignment horizontal="center" vertical="center"/>
      <protection locked="0"/>
    </xf>
    <xf numFmtId="0" fontId="0" fillId="8" borderId="10" xfId="0" applyFill="1" applyBorder="1" applyAlignment="1" applyProtection="1">
      <alignment horizontal="center" vertical="center"/>
      <protection locked="0"/>
    </xf>
    <xf numFmtId="3" fontId="0" fillId="8" borderId="2" xfId="0" applyNumberFormat="1" applyFill="1" applyBorder="1" applyAlignment="1" applyProtection="1">
      <alignment horizontal="center" vertical="center"/>
      <protection locked="0"/>
    </xf>
    <xf numFmtId="3" fontId="0" fillId="8" borderId="1" xfId="0" applyNumberFormat="1" applyFill="1" applyBorder="1" applyAlignment="1" applyProtection="1">
      <alignment horizontal="center" vertical="center"/>
      <protection locked="0"/>
    </xf>
    <xf numFmtId="0" fontId="0" fillId="8" borderId="11" xfId="0" applyFill="1" applyBorder="1" applyAlignment="1" applyProtection="1">
      <alignment horizontal="center" vertical="center"/>
      <protection locked="0"/>
    </xf>
    <xf numFmtId="0" fontId="0" fillId="8" borderId="3" xfId="0" applyFill="1" applyBorder="1" applyAlignment="1" applyProtection="1">
      <alignment vertical="center"/>
      <protection locked="0"/>
    </xf>
    <xf numFmtId="3" fontId="0" fillId="8" borderId="3" xfId="0" applyNumberFormat="1" applyFill="1" applyBorder="1" applyAlignment="1" applyProtection="1">
      <alignment horizontal="center" vertical="center"/>
      <protection locked="0"/>
    </xf>
    <xf numFmtId="3" fontId="0" fillId="8" borderId="9" xfId="0" applyNumberFormat="1" applyFill="1" applyBorder="1" applyAlignment="1" applyProtection="1">
      <alignment horizontal="center" vertical="center"/>
      <protection locked="0"/>
    </xf>
    <xf numFmtId="0" fontId="9" fillId="3" borderId="4" xfId="0" applyNumberFormat="1" applyFont="1" applyFill="1" applyBorder="1" applyAlignment="1">
      <alignment horizontal="left" vertical="top"/>
    </xf>
    <xf numFmtId="0" fontId="12" fillId="8" borderId="33" xfId="0" applyNumberFormat="1" applyFont="1" applyFill="1" applyBorder="1" applyAlignment="1" applyProtection="1">
      <alignment horizontal="left" vertical="top" wrapText="1"/>
      <protection/>
    </xf>
    <xf numFmtId="0" fontId="12" fillId="8" borderId="22" xfId="0" applyNumberFormat="1" applyFont="1" applyFill="1" applyBorder="1" applyAlignment="1" applyProtection="1">
      <alignment horizontal="left" vertical="top" wrapText="1"/>
      <protection/>
    </xf>
    <xf numFmtId="0" fontId="9" fillId="3" borderId="5" xfId="0" applyNumberFormat="1" applyFont="1" applyFill="1" applyBorder="1" applyAlignment="1">
      <alignment horizontal="left" vertical="top"/>
    </xf>
    <xf numFmtId="0" fontId="9" fillId="3" borderId="24" xfId="0" applyNumberFormat="1" applyFont="1" applyFill="1" applyBorder="1" applyAlignment="1" applyProtection="1">
      <alignment horizontal="left" vertical="top" wrapText="1"/>
      <protection/>
    </xf>
    <xf numFmtId="0" fontId="9" fillId="3" borderId="33" xfId="0" applyNumberFormat="1" applyFont="1" applyFill="1" applyBorder="1" applyAlignment="1">
      <alignment horizontal="left" vertical="top" wrapText="1"/>
    </xf>
    <xf numFmtId="0" fontId="9" fillId="3" borderId="7" xfId="0" applyNumberFormat="1" applyFont="1" applyFill="1" applyBorder="1" applyAlignment="1">
      <alignment horizontal="left" vertical="top" wrapText="1"/>
    </xf>
    <xf numFmtId="0" fontId="9" fillId="3" borderId="24" xfId="0" applyNumberFormat="1" applyFont="1" applyFill="1" applyBorder="1" applyAlignment="1">
      <alignment horizontal="left" vertical="top"/>
    </xf>
    <xf numFmtId="0" fontId="9" fillId="3" borderId="16" xfId="0" applyNumberFormat="1" applyFont="1" applyFill="1" applyBorder="1" applyAlignment="1">
      <alignment horizontal="left" vertical="top"/>
    </xf>
    <xf numFmtId="0" fontId="9" fillId="3" borderId="39" xfId="0" applyNumberFormat="1" applyFont="1" applyFill="1" applyBorder="1" applyAlignment="1">
      <alignment horizontal="left" vertical="top" wrapText="1"/>
    </xf>
    <xf numFmtId="0" fontId="9" fillId="3" borderId="39" xfId="0" applyNumberFormat="1" applyFont="1" applyFill="1" applyBorder="1" applyAlignment="1">
      <alignment vertical="top" wrapText="1"/>
    </xf>
    <xf numFmtId="0" fontId="6" fillId="8" borderId="57" xfId="0" applyNumberFormat="1" applyFont="1" applyFill="1" applyBorder="1" applyAlignment="1" applyProtection="1">
      <alignment horizontal="center" wrapText="1"/>
      <protection locked="0"/>
    </xf>
    <xf numFmtId="0" fontId="9" fillId="3" borderId="39" xfId="0" applyNumberFormat="1" applyFont="1" applyFill="1" applyBorder="1" applyAlignment="1">
      <alignment horizontal="left" vertical="top"/>
    </xf>
    <xf numFmtId="0" fontId="6" fillId="3" borderId="18" xfId="0" applyNumberFormat="1" applyFont="1" applyFill="1" applyBorder="1" applyAlignment="1" applyProtection="1">
      <alignment horizontal="center"/>
      <protection locked="0"/>
    </xf>
    <xf numFmtId="3" fontId="6" fillId="3" borderId="58" xfId="0" applyNumberFormat="1" applyFont="1" applyFill="1" applyBorder="1" applyAlignment="1" applyProtection="1">
      <alignment horizontal="center" wrapText="1"/>
      <protection locked="0"/>
    </xf>
    <xf numFmtId="0" fontId="9" fillId="4" borderId="59" xfId="0" applyFont="1" applyFill="1" applyBorder="1" applyAlignment="1">
      <alignment horizontal="center" vertical="center"/>
    </xf>
    <xf numFmtId="0" fontId="8" fillId="4" borderId="8" xfId="0" applyFont="1" applyFill="1" applyBorder="1" applyAlignment="1" applyProtection="1">
      <alignment horizontal="center" vertical="center"/>
      <protection/>
    </xf>
    <xf numFmtId="0" fontId="8" fillId="4" borderId="15" xfId="0" applyFont="1" applyFill="1" applyBorder="1" applyAlignment="1" applyProtection="1">
      <alignment horizontal="center" vertical="center"/>
      <protection/>
    </xf>
    <xf numFmtId="0" fontId="8" fillId="4" borderId="16" xfId="0" applyFont="1" applyFill="1" applyBorder="1" applyAlignment="1" applyProtection="1">
      <alignment horizontal="center" vertical="center"/>
      <protection/>
    </xf>
    <xf numFmtId="0" fontId="0" fillId="0" borderId="41" xfId="0" applyBorder="1" applyAlignment="1" applyProtection="1">
      <alignment horizontal="center" vertical="center"/>
      <protection locked="0"/>
    </xf>
    <xf numFmtId="0" fontId="3" fillId="8" borderId="60" xfId="0" applyFont="1" applyFill="1" applyBorder="1" applyAlignment="1" applyProtection="1">
      <alignment horizontal="center" vertical="center"/>
      <protection locked="0"/>
    </xf>
    <xf numFmtId="0" fontId="52" fillId="8" borderId="0" xfId="0" applyFont="1" applyFill="1" applyAlignment="1">
      <alignment horizontal="center" vertical="center"/>
    </xf>
    <xf numFmtId="0" fontId="63" fillId="3" borderId="0" xfId="0" applyFont="1" applyFill="1" applyAlignment="1">
      <alignment vertical="center"/>
    </xf>
    <xf numFmtId="0" fontId="0" fillId="3" borderId="0" xfId="0" applyFill="1" applyAlignment="1">
      <alignment/>
    </xf>
    <xf numFmtId="0" fontId="0" fillId="8" borderId="0" xfId="0" applyFill="1" applyBorder="1" applyAlignment="1">
      <alignment horizontal="right"/>
    </xf>
    <xf numFmtId="0" fontId="65" fillId="14" borderId="0" xfId="0" applyFont="1" applyFill="1" applyBorder="1" applyAlignment="1">
      <alignment horizontal="center" vertical="center"/>
    </xf>
    <xf numFmtId="0" fontId="14" fillId="14" borderId="60" xfId="0" applyFont="1" applyFill="1" applyBorder="1" applyAlignment="1" applyProtection="1">
      <alignment horizontal="center" vertical="center"/>
      <protection locked="0"/>
    </xf>
    <xf numFmtId="0" fontId="0" fillId="8" borderId="61" xfId="0" applyFill="1" applyBorder="1">
      <alignment/>
    </xf>
    <xf numFmtId="0" fontId="0" fillId="8" borderId="0" xfId="0" applyFill="1" applyBorder="1">
      <alignment/>
    </xf>
    <xf numFmtId="0" fontId="0" fillId="8" borderId="62" xfId="0" applyFill="1" applyBorder="1">
      <alignment/>
    </xf>
    <xf numFmtId="0" fontId="45" fillId="8" borderId="0" xfId="0" applyFont="1" applyFill="1" applyBorder="1" applyAlignment="1">
      <alignment horizontal="center"/>
    </xf>
    <xf numFmtId="0" fontId="0" fillId="8" borderId="61" xfId="0" applyFill="1" applyBorder="1" applyAlignment="1">
      <alignment vertical="center"/>
    </xf>
    <xf numFmtId="0" fontId="0" fillId="15" borderId="0" xfId="0" applyFill="1" applyBorder="1">
      <alignment/>
    </xf>
    <xf numFmtId="0" fontId="3" fillId="8" borderId="60" xfId="0" applyFont="1" applyFill="1" applyBorder="1" applyAlignment="1" applyProtection="1">
      <alignment horizontal="center" vertical="center"/>
      <protection locked="0"/>
    </xf>
    <xf numFmtId="0" fontId="9" fillId="16" borderId="5" xfId="0" applyFont="1" applyFill="1" applyBorder="1" applyAlignment="1" applyProtection="1">
      <alignment horizontal="center" vertical="center"/>
      <protection/>
    </xf>
    <xf numFmtId="0" fontId="9" fillId="16" borderId="5" xfId="0" applyFont="1" applyFill="1" applyBorder="1" applyAlignment="1" applyProtection="1">
      <alignment horizontal="center" vertical="center"/>
      <protection/>
    </xf>
    <xf numFmtId="10" fontId="6" fillId="3" borderId="2" xfId="0" applyNumberFormat="1" applyFont="1" applyFill="1" applyBorder="1" applyAlignment="1" applyProtection="1">
      <alignment horizontal="center" vertical="center"/>
      <protection locked="0"/>
    </xf>
    <xf numFmtId="0" fontId="63" fillId="3" borderId="0" xfId="0" applyFont="1" applyFill="1" applyAlignment="1" applyProtection="1">
      <alignment horizontal="left" vertical="center"/>
      <protection locked="0"/>
    </xf>
    <xf numFmtId="0" fontId="6" fillId="3" borderId="0" xfId="0" applyFont="1" applyFill="1" applyAlignment="1">
      <alignment vertical="center"/>
    </xf>
    <xf numFmtId="3" fontId="6" fillId="3" borderId="0" xfId="0" applyNumberFormat="1" applyFont="1" applyFill="1" applyAlignment="1">
      <alignment vertical="center"/>
    </xf>
    <xf numFmtId="0" fontId="7" fillId="3" borderId="63"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3" xfId="0" applyFont="1" applyFill="1" applyBorder="1" applyAlignment="1">
      <alignment horizontal="center" vertical="center"/>
    </xf>
    <xf numFmtId="0" fontId="6" fillId="3" borderId="64" xfId="0" applyFont="1" applyFill="1" applyBorder="1" applyAlignment="1">
      <alignment vertical="center"/>
    </xf>
    <xf numFmtId="0" fontId="7" fillId="3" borderId="31" xfId="0" applyFont="1" applyFill="1" applyBorder="1" applyAlignment="1">
      <alignment horizontal="center" vertical="center"/>
    </xf>
    <xf numFmtId="0" fontId="7" fillId="3" borderId="14" xfId="0" applyFont="1" applyFill="1" applyBorder="1" applyAlignment="1">
      <alignment horizontal="center" vertical="center"/>
    </xf>
    <xf numFmtId="165" fontId="0" fillId="3" borderId="10" xfId="8" applyNumberFormat="1" applyFont="1" applyFill="1" applyBorder="1" applyAlignment="1">
      <alignment horizontal="center" vertical="center"/>
    </xf>
    <xf numFmtId="3" fontId="6" fillId="3" borderId="2" xfId="0" applyNumberFormat="1" applyFont="1" applyFill="1" applyBorder="1" applyAlignment="1">
      <alignment horizontal="center" vertical="center"/>
    </xf>
    <xf numFmtId="3" fontId="6" fillId="3" borderId="1" xfId="0" applyNumberFormat="1" applyFont="1" applyFill="1" applyBorder="1" applyAlignment="1">
      <alignment horizontal="center" vertical="center"/>
    </xf>
    <xf numFmtId="165" fontId="0" fillId="3" borderId="10" xfId="8" applyNumberFormat="1" applyFont="1" applyFill="1" applyBorder="1" applyAlignment="1">
      <alignment horizontal="center" vertical="center" wrapText="1"/>
    </xf>
    <xf numFmtId="165" fontId="6" fillId="3" borderId="10" xfId="0" applyNumberFormat="1" applyFont="1" applyFill="1" applyBorder="1" applyAlignment="1">
      <alignment horizontal="center" vertical="center"/>
    </xf>
    <xf numFmtId="3" fontId="0" fillId="3" borderId="2" xfId="0" applyNumberFormat="1" applyFill="1" applyBorder="1" applyAlignment="1">
      <alignment horizontal="center" vertical="center"/>
    </xf>
    <xf numFmtId="165" fontId="6" fillId="3" borderId="56" xfId="0" applyNumberFormat="1" applyFont="1" applyFill="1" applyBorder="1" applyAlignment="1">
      <alignment horizontal="center" vertical="center"/>
    </xf>
    <xf numFmtId="3" fontId="6" fillId="3" borderId="38" xfId="0" applyNumberFormat="1" applyFont="1" applyFill="1" applyBorder="1" applyAlignment="1">
      <alignment horizontal="center" vertical="center"/>
    </xf>
    <xf numFmtId="3" fontId="6" fillId="3" borderId="29" xfId="0" applyNumberFormat="1" applyFont="1" applyFill="1" applyBorder="1" applyAlignment="1">
      <alignment horizontal="center" vertical="center"/>
    </xf>
    <xf numFmtId="165" fontId="6" fillId="3" borderId="11"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0" fontId="0" fillId="8" borderId="0" xfId="0" applyFont="1" applyFill="1" applyBorder="1">
      <alignment/>
    </xf>
    <xf numFmtId="0" fontId="3" fillId="8" borderId="0" xfId="0" applyFont="1" applyFill="1" applyBorder="1" applyAlignment="1">
      <alignment horizontal="center" vertical="center"/>
    </xf>
    <xf numFmtId="0" fontId="0" fillId="8" borderId="0" xfId="0" applyFont="1" applyFill="1" applyBorder="1">
      <alignment/>
    </xf>
    <xf numFmtId="0" fontId="3" fillId="8" borderId="2" xfId="0" applyFont="1" applyFill="1" applyBorder="1" applyAlignment="1" applyProtection="1">
      <alignment horizontal="center" vertical="center"/>
      <protection locked="0"/>
    </xf>
    <xf numFmtId="0" fontId="3" fillId="8" borderId="2" xfId="0" applyFont="1" applyFill="1" applyBorder="1" applyAlignment="1" applyProtection="1">
      <alignment horizontal="center" vertical="center"/>
      <protection locked="0"/>
    </xf>
    <xf numFmtId="0" fontId="7" fillId="3" borderId="65" xfId="0" applyFont="1" applyFill="1" applyBorder="1" applyAlignment="1">
      <alignment horizontal="center" vertical="center"/>
    </xf>
    <xf numFmtId="0" fontId="7" fillId="3" borderId="66" xfId="0" applyFont="1" applyFill="1" applyBorder="1" applyAlignment="1">
      <alignment horizontal="center" vertical="center"/>
    </xf>
    <xf numFmtId="0" fontId="0" fillId="3" borderId="0" xfId="0" applyFill="1" applyProtection="1">
      <alignment/>
      <protection locked="0"/>
    </xf>
    <xf numFmtId="0" fontId="56" fillId="8" borderId="0" xfId="0" applyFont="1" applyFill="1" applyBorder="1" applyAlignment="1">
      <alignment horizontal="center"/>
    </xf>
    <xf numFmtId="0" fontId="67" fillId="8" borderId="0" xfId="0" applyFont="1" applyFill="1" applyBorder="1" applyAlignment="1">
      <alignment vertical="center"/>
    </xf>
    <xf numFmtId="49" fontId="67" fillId="8" borderId="0" xfId="0" applyNumberFormat="1" applyFont="1" applyFill="1" applyBorder="1" applyAlignment="1">
      <alignment vertical="center"/>
    </xf>
    <xf numFmtId="0" fontId="67" fillId="8" borderId="0" xfId="0" applyFont="1" applyFill="1" applyBorder="1" applyAlignment="1">
      <alignment horizontal="center" vertical="center"/>
    </xf>
    <xf numFmtId="4" fontId="6" fillId="3" borderId="2" xfId="0" applyNumberFormat="1" applyFont="1" applyFill="1" applyBorder="1" applyAlignment="1" applyProtection="1">
      <alignment horizontal="center" vertical="center"/>
      <protection/>
    </xf>
    <xf numFmtId="4" fontId="6" fillId="3" borderId="38"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xf>
    <xf numFmtId="4" fontId="6" fillId="3" borderId="17" xfId="0"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45" fillId="8" borderId="0" xfId="0" applyFont="1" applyFill="1" applyBorder="1" applyAlignment="1">
      <alignment/>
    </xf>
    <xf numFmtId="0" fontId="45" fillId="8" borderId="62" xfId="0" applyFont="1" applyFill="1" applyBorder="1" applyAlignment="1">
      <alignment/>
    </xf>
    <xf numFmtId="0" fontId="0" fillId="8" borderId="61" xfId="0" applyFill="1" applyBorder="1" applyAlignment="1">
      <alignment/>
    </xf>
    <xf numFmtId="0" fontId="0" fillId="8" borderId="62" xfId="0" applyFill="1" applyBorder="1" applyAlignment="1">
      <alignment/>
    </xf>
    <xf numFmtId="0" fontId="20" fillId="8" borderId="0" xfId="0" applyFont="1" applyFill="1" applyBorder="1" applyAlignment="1">
      <alignment vertical="center"/>
    </xf>
    <xf numFmtId="0" fontId="20" fillId="6" borderId="0" xfId="0" applyFont="1" applyFill="1" applyAlignment="1">
      <alignment vertical="center"/>
    </xf>
    <xf numFmtId="0" fontId="20" fillId="0" borderId="0" xfId="0" applyFont="1" applyAlignment="1">
      <alignment vertical="center"/>
    </xf>
    <xf numFmtId="0" fontId="20" fillId="0" borderId="67" xfId="0" applyFont="1" applyBorder="1" applyAlignment="1">
      <alignment vertical="center"/>
    </xf>
    <xf numFmtId="0" fontId="20" fillId="8" borderId="0" xfId="0" applyFont="1" applyFill="1" applyBorder="1">
      <alignment/>
    </xf>
    <xf numFmtId="0" fontId="66" fillId="8" borderId="61" xfId="0" applyFont="1" applyFill="1" applyBorder="1" applyAlignment="1">
      <alignment horizontal="center"/>
    </xf>
    <xf numFmtId="0" fontId="0" fillId="8" borderId="0" xfId="0" applyFont="1" applyFill="1" applyBorder="1" applyAlignment="1">
      <alignment horizontal="center"/>
    </xf>
    <xf numFmtId="0" fontId="20" fillId="5" borderId="0" xfId="0" applyFont="1" applyFill="1" applyAlignment="1">
      <alignment vertical="center"/>
    </xf>
    <xf numFmtId="0" fontId="0" fillId="5" borderId="0" xfId="0" applyFill="1" applyAlignment="1">
      <alignment vertical="center"/>
    </xf>
    <xf numFmtId="0" fontId="0" fillId="8" borderId="0" xfId="0" applyFont="1" applyFill="1" applyBorder="1" applyAlignment="1">
      <alignment/>
    </xf>
    <xf numFmtId="0" fontId="0" fillId="8" borderId="0" xfId="0" applyFont="1" applyFill="1" applyAlignment="1">
      <alignment/>
    </xf>
    <xf numFmtId="0" fontId="41" fillId="8" borderId="0" xfId="0" applyFont="1" applyFill="1" applyBorder="1" applyAlignment="1">
      <alignment horizontal="center" vertical="center"/>
    </xf>
    <xf numFmtId="0" fontId="12" fillId="8" borderId="0" xfId="0" applyFont="1" applyFill="1" applyBorder="1" applyAlignment="1">
      <alignment vertical="center"/>
    </xf>
    <xf numFmtId="0" fontId="28" fillId="8" borderId="0" xfId="0" applyFont="1" applyFill="1" applyBorder="1" applyAlignment="1">
      <alignment vertical="center"/>
    </xf>
    <xf numFmtId="0" fontId="12" fillId="8" borderId="0" xfId="0" applyFont="1" applyFill="1" applyBorder="1" applyAlignment="1">
      <alignment horizontal="center" vertical="center"/>
    </xf>
    <xf numFmtId="0" fontId="0" fillId="8" borderId="0" xfId="0" applyFont="1" applyFill="1" applyBorder="1" applyAlignment="1" applyProtection="1">
      <alignment vertical="center"/>
      <protection/>
    </xf>
    <xf numFmtId="0" fontId="0" fillId="8" borderId="0" xfId="0" applyFont="1" applyFill="1"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41" fillId="8" borderId="37"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62" xfId="0" applyFont="1" applyFill="1" applyBorder="1" applyAlignment="1">
      <alignment vertical="center"/>
    </xf>
    <xf numFmtId="0" fontId="0" fillId="3" borderId="0" xfId="0" applyFont="1" applyFill="1" applyAlignment="1">
      <alignment horizontal="center"/>
    </xf>
    <xf numFmtId="0" fontId="3" fillId="8" borderId="0" xfId="0" applyFont="1" applyFill="1" applyBorder="1" applyAlignment="1">
      <alignment horizontal="center" vertical="center"/>
    </xf>
    <xf numFmtId="0" fontId="0" fillId="8" borderId="0" xfId="0" applyFont="1" applyFill="1" applyBorder="1">
      <alignment/>
    </xf>
    <xf numFmtId="0" fontId="0" fillId="8" borderId="0" xfId="0" applyFont="1" applyFill="1" applyBorder="1" applyAlignment="1" applyProtection="1">
      <alignment vertical="center"/>
      <protection/>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0" xfId="0" applyFont="1" applyFill="1" applyAlignment="1">
      <alignment/>
    </xf>
    <xf numFmtId="0" fontId="0" fillId="8" borderId="34" xfId="0" applyFont="1" applyFill="1" applyBorder="1">
      <alignment/>
    </xf>
    <xf numFmtId="0" fontId="0" fillId="8" borderId="37" xfId="0" applyFont="1" applyFill="1" applyBorder="1">
      <alignment/>
    </xf>
    <xf numFmtId="49" fontId="0" fillId="8" borderId="0" xfId="0" applyNumberFormat="1"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horizontal="left" vertical="center"/>
    </xf>
    <xf numFmtId="0" fontId="0" fillId="3" borderId="0" xfId="0" applyFont="1" applyFill="1" applyAlignment="1">
      <alignment/>
    </xf>
    <xf numFmtId="0" fontId="12" fillId="8" borderId="0" xfId="0" applyFont="1" applyFill="1" applyBorder="1" applyAlignment="1">
      <alignment vertical="center"/>
    </xf>
    <xf numFmtId="0" fontId="12" fillId="8" borderId="34" xfId="0" applyFont="1" applyFill="1" applyBorder="1" applyAlignment="1">
      <alignment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12" fillId="3" borderId="25" xfId="0" applyFont="1" applyFill="1" applyBorder="1" applyAlignment="1">
      <alignment horizontal="right" vertical="center"/>
    </xf>
    <xf numFmtId="0" fontId="0" fillId="13" borderId="52" xfId="0" applyFill="1" applyBorder="1" applyAlignment="1" applyProtection="1">
      <alignment horizontal="left" vertical="center"/>
      <protection locked="0"/>
    </xf>
    <xf numFmtId="0" fontId="79" fillId="13" borderId="53" xfId="11" applyFill="1" applyBorder="1" applyAlignment="1" applyProtection="1">
      <alignment vertical="center"/>
      <protection locked="0"/>
    </xf>
    <xf numFmtId="0" fontId="0" fillId="8" borderId="68" xfId="0" applyFont="1" applyFill="1" applyBorder="1" applyAlignment="1" applyProtection="1">
      <alignment vertical="center"/>
      <protection/>
    </xf>
    <xf numFmtId="0" fontId="80" fillId="0" borderId="0" xfId="0" applyFont="1">
      <alignment/>
    </xf>
    <xf numFmtId="49" fontId="0" fillId="0" borderId="0" xfId="0" applyNumberFormat="1">
      <alignment/>
    </xf>
    <xf numFmtId="0" fontId="81" fillId="0" borderId="0" xfId="0" applyFont="1">
      <alignment/>
    </xf>
    <xf numFmtId="0" fontId="80" fillId="0" borderId="0" xfId="0" applyFont="1">
      <alignment/>
    </xf>
    <xf numFmtId="0" fontId="81" fillId="0" borderId="0" xfId="0" applyFont="1">
      <alignment/>
    </xf>
    <xf numFmtId="0" fontId="6" fillId="0" borderId="0" xfId="12">
      <alignment/>
      <protection/>
    </xf>
    <xf numFmtId="0" fontId="6" fillId="0" borderId="0" xfId="12" applyAlignment="1">
      <alignment horizontal="center" vertical="center"/>
      <protection/>
    </xf>
    <xf numFmtId="0" fontId="0" fillId="0" borderId="0" xfId="0" applyFont="1">
      <alignment/>
    </xf>
    <xf numFmtId="0" fontId="6" fillId="0" borderId="16" xfId="12" applyBorder="1" applyAlignment="1">
      <alignment horizontal="center" vertical="center"/>
      <protection/>
    </xf>
    <xf numFmtId="0" fontId="6" fillId="0" borderId="20" xfId="12" applyBorder="1" applyAlignment="1">
      <alignment horizontal="center" vertical="center"/>
      <protection/>
    </xf>
    <xf numFmtId="0" fontId="6" fillId="0" borderId="59" xfId="12" applyBorder="1" applyAlignment="1">
      <alignment horizontal="center" vertical="center"/>
      <protection/>
    </xf>
    <xf numFmtId="0" fontId="6" fillId="0" borderId="17" xfId="12" applyBorder="1" applyAlignment="1">
      <alignment horizontal="center" vertical="center"/>
      <protection/>
    </xf>
    <xf numFmtId="0" fontId="6" fillId="0" borderId="39" xfId="12" applyBorder="1" applyAlignment="1">
      <alignment horizontal="center" vertical="center"/>
      <protection/>
    </xf>
    <xf numFmtId="0" fontId="6" fillId="0" borderId="21" xfId="12" applyBorder="1">
      <alignment/>
      <protection/>
    </xf>
    <xf numFmtId="0" fontId="0" fillId="0" borderId="41" xfId="0" applyBorder="1">
      <alignment/>
    </xf>
    <xf numFmtId="0" fontId="0" fillId="0" borderId="16" xfId="0" applyFont="1" applyBorder="1">
      <alignment/>
    </xf>
    <xf numFmtId="0" fontId="3" fillId="0" borderId="39" xfId="0" applyFont="1" applyBorder="1" applyAlignment="1">
      <alignment horizontal="center" vertical="center" wrapText="1"/>
    </xf>
    <xf numFmtId="0" fontId="3" fillId="0" borderId="59" xfId="0" applyFont="1" applyBorder="1" applyAlignment="1">
      <alignment horizontal="center" vertical="center" wrapText="1"/>
    </xf>
    <xf numFmtId="0" fontId="0" fillId="0" borderId="20" xfId="0" applyBorder="1">
      <alignment/>
    </xf>
    <xf numFmtId="0" fontId="6" fillId="0" borderId="30" xfId="12" applyBorder="1">
      <alignment/>
      <protection/>
    </xf>
    <xf numFmtId="0" fontId="6" fillId="0" borderId="47" xfId="12" applyBorder="1" applyAlignment="1">
      <alignment horizontal="center" vertical="center"/>
      <protection/>
    </xf>
    <xf numFmtId="0" fontId="6" fillId="0" borderId="30" xfId="12" applyBorder="1" applyAlignment="1">
      <alignment horizontal="center" vertical="center"/>
      <protection/>
    </xf>
    <xf numFmtId="0" fontId="82" fillId="3" borderId="69" xfId="12" applyFont="1" applyFill="1" applyBorder="1" applyAlignment="1">
      <alignment vertical="center" wrapText="1"/>
      <protection/>
    </xf>
    <xf numFmtId="0" fontId="82" fillId="3" borderId="47" xfId="12" applyFont="1" applyFill="1" applyBorder="1" applyAlignment="1">
      <alignment horizontal="center" vertical="center" wrapText="1"/>
      <protection/>
    </xf>
    <xf numFmtId="0" fontId="6" fillId="0" borderId="69" xfId="12" applyBorder="1">
      <alignment/>
      <protection/>
    </xf>
    <xf numFmtId="0" fontId="6" fillId="0" borderId="70" xfId="12" applyBorder="1">
      <alignment/>
      <protection/>
    </xf>
    <xf numFmtId="1" fontId="6" fillId="0" borderId="71" xfId="13" applyNumberFormat="1" applyFont="1" applyFill="1" applyBorder="1" applyAlignment="1">
      <alignment horizontal="left"/>
      <protection/>
    </xf>
    <xf numFmtId="49" fontId="6" fillId="0" borderId="0" xfId="13" applyNumberFormat="1" applyFont="1" applyFill="1" applyAlignment="1">
      <alignment horizontal="center"/>
      <protection/>
    </xf>
    <xf numFmtId="0" fontId="0" fillId="0" borderId="19" xfId="0" applyBorder="1">
      <alignment/>
    </xf>
    <xf numFmtId="49" fontId="0" fillId="0" borderId="2" xfId="0" applyNumberFormat="1" applyBorder="1">
      <alignment/>
    </xf>
    <xf numFmtId="49" fontId="83" fillId="0" borderId="72" xfId="0" applyNumberFormat="1" applyFont="1" applyBorder="1" applyAlignment="1">
      <alignment horizontal="center" vertical="center"/>
    </xf>
    <xf numFmtId="0" fontId="0" fillId="0" borderId="0" xfId="0" applyBorder="1">
      <alignment/>
    </xf>
    <xf numFmtId="0" fontId="0" fillId="0" borderId="71" xfId="0" applyBorder="1">
      <alignment/>
    </xf>
    <xf numFmtId="0" fontId="6" fillId="0" borderId="10" xfId="12" applyBorder="1">
      <alignment/>
      <protection/>
    </xf>
    <xf numFmtId="0" fontId="6" fillId="0" borderId="26" xfId="12" applyBorder="1" applyAlignment="1">
      <alignment horizontal="center" vertical="center"/>
      <protection/>
    </xf>
    <xf numFmtId="0" fontId="82" fillId="3" borderId="2" xfId="12" applyFont="1" applyFill="1" applyBorder="1" applyAlignment="1">
      <alignment vertical="center" wrapText="1"/>
      <protection/>
    </xf>
    <xf numFmtId="0" fontId="82" fillId="3" borderId="26" xfId="12" applyFont="1" applyFill="1" applyBorder="1" applyAlignment="1">
      <alignment horizontal="center" vertical="center" wrapText="1"/>
      <protection/>
    </xf>
    <xf numFmtId="0" fontId="6" fillId="0" borderId="2" xfId="12" applyBorder="1">
      <alignment/>
      <protection/>
    </xf>
    <xf numFmtId="0" fontId="6" fillId="0" borderId="1" xfId="12" applyBorder="1">
      <alignment/>
      <protection/>
    </xf>
    <xf numFmtId="0" fontId="6" fillId="0" borderId="73" xfId="13" applyFont="1" applyFill="1" applyBorder="1" applyAlignment="1">
      <alignment horizontal="left"/>
      <protection/>
    </xf>
    <xf numFmtId="1" fontId="6" fillId="0" borderId="73" xfId="13" applyNumberFormat="1" applyFont="1" applyFill="1" applyBorder="1" applyAlignment="1">
      <alignment horizontal="left"/>
      <protection/>
    </xf>
    <xf numFmtId="0" fontId="6" fillId="0" borderId="0" xfId="12" applyBorder="1" applyAlignment="1">
      <alignment horizontal="center" vertical="center"/>
      <protection/>
    </xf>
    <xf numFmtId="0" fontId="6" fillId="0" borderId="11" xfId="12" applyBorder="1">
      <alignment/>
      <protection/>
    </xf>
    <xf numFmtId="0" fontId="6" fillId="0" borderId="7" xfId="12" applyBorder="1" applyAlignment="1">
      <alignment horizontal="center" vertical="center"/>
      <protection/>
    </xf>
    <xf numFmtId="1" fontId="6" fillId="0" borderId="73" xfId="13" applyNumberFormat="1" applyFont="1" applyFill="1" applyBorder="1" applyAlignment="1">
      <alignment horizontal="left" vertical="top" wrapText="1"/>
      <protection/>
    </xf>
    <xf numFmtId="49" fontId="6" fillId="0" borderId="0" xfId="13" applyNumberFormat="1" applyFont="1" applyFill="1" applyAlignment="1">
      <alignment horizontal="center" vertical="top"/>
      <protection/>
    </xf>
    <xf numFmtId="49" fontId="84" fillId="0" borderId="72" xfId="0" applyNumberFormat="1" applyFont="1" applyBorder="1" applyAlignment="1">
      <alignment horizontal="center" vertical="center"/>
    </xf>
    <xf numFmtId="1" fontId="85" fillId="0" borderId="73" xfId="0" applyNumberFormat="1" applyFont="1" applyFill="1" applyBorder="1" applyAlignment="1">
      <alignment horizontal="left"/>
    </xf>
    <xf numFmtId="49" fontId="85" fillId="0" borderId="0" xfId="0" applyNumberFormat="1" applyFont="1" applyFill="1" applyAlignment="1">
      <alignment horizontal="center"/>
    </xf>
    <xf numFmtId="0" fontId="82" fillId="3" borderId="3" xfId="12" applyFont="1" applyFill="1" applyBorder="1" applyAlignment="1">
      <alignment vertical="center" wrapText="1"/>
      <protection/>
    </xf>
    <xf numFmtId="0" fontId="82" fillId="3" borderId="7" xfId="12" applyFont="1" applyFill="1" applyBorder="1" applyAlignment="1">
      <alignment horizontal="center" vertical="center" wrapText="1"/>
      <protection/>
    </xf>
    <xf numFmtId="0" fontId="6" fillId="0" borderId="3" xfId="12" applyBorder="1">
      <alignment/>
      <protection/>
    </xf>
    <xf numFmtId="0" fontId="6" fillId="0" borderId="9" xfId="12" applyBorder="1">
      <alignment/>
      <protection/>
    </xf>
    <xf numFmtId="1" fontId="6" fillId="0" borderId="74" xfId="13" applyNumberFormat="1" applyFont="1" applyFill="1" applyBorder="1" applyAlignment="1">
      <alignment horizontal="left"/>
      <protection/>
    </xf>
    <xf numFmtId="49" fontId="0" fillId="0" borderId="3" xfId="0" applyNumberFormat="1" applyBorder="1">
      <alignment/>
    </xf>
    <xf numFmtId="49" fontId="84" fillId="0" borderId="58" xfId="0" applyNumberFormat="1" applyFont="1" applyBorder="1" applyAlignment="1">
      <alignment horizontal="center" vertical="center"/>
    </xf>
    <xf numFmtId="0" fontId="0" fillId="0" borderId="74" xfId="0" applyBorder="1">
      <alignment/>
    </xf>
    <xf numFmtId="0" fontId="3" fillId="0" borderId="0" xfId="0" applyFont="1">
      <alignment/>
    </xf>
    <xf numFmtId="49" fontId="0" fillId="0" borderId="0" xfId="0" applyNumberFormat="1" applyFont="1">
      <alignment/>
    </xf>
    <xf numFmtId="0" fontId="0" fillId="0" borderId="0" xfId="0" applyNumberFormat="1" applyFont="1">
      <alignment/>
    </xf>
    <xf numFmtId="0" fontId="0" fillId="17" borderId="0" xfId="0" applyFill="1">
      <alignment/>
    </xf>
    <xf numFmtId="3" fontId="0" fillId="0" borderId="0" xfId="0" applyNumberFormat="1">
      <alignment/>
    </xf>
    <xf numFmtId="4" fontId="0" fillId="0" borderId="0" xfId="0" applyNumberFormat="1">
      <alignment/>
    </xf>
    <xf numFmtId="0" fontId="86" fillId="0" borderId="0" xfId="0" applyFont="1">
      <alignment/>
    </xf>
    <xf numFmtId="0" fontId="0" fillId="17" borderId="0" xfId="0" applyFont="1" applyFill="1">
      <alignment/>
    </xf>
    <xf numFmtId="0" fontId="0" fillId="0" borderId="0" xfId="0" applyNumberFormat="1">
      <alignment/>
    </xf>
    <xf numFmtId="1" fontId="0" fillId="0" borderId="0" xfId="0" applyNumberFormat="1">
      <alignment/>
    </xf>
    <xf numFmtId="0" fontId="87" fillId="0" borderId="0" xfId="0" applyFont="1" applyFill="1">
      <alignment/>
    </xf>
    <xf numFmtId="0" fontId="0" fillId="0" borderId="0" xfId="0" applyFont="1" applyFill="1">
      <alignment/>
    </xf>
    <xf numFmtId="0" fontId="0" fillId="18" borderId="0" xfId="0" applyFill="1" applyAlignment="1">
      <alignment horizontal="right" vertical="center"/>
    </xf>
    <xf numFmtId="0" fontId="6" fillId="19" borderId="0" xfId="12" applyFill="1">
      <alignment/>
      <protection/>
    </xf>
    <xf numFmtId="0" fontId="0" fillId="20" borderId="0" xfId="15" applyFont="1" applyFill="1" applyAlignment="1">
      <alignment horizontal="center"/>
      <protection/>
    </xf>
    <xf numFmtId="0" fontId="52" fillId="21" borderId="0" xfId="15" applyFont="1" applyFill="1" applyAlignment="1">
      <alignment/>
      <protection/>
    </xf>
    <xf numFmtId="0" fontId="48" fillId="21" borderId="0" xfId="15" applyFont="1" applyFill="1" applyAlignment="1">
      <alignment horizontal="center"/>
      <protection/>
    </xf>
    <xf numFmtId="0" fontId="0" fillId="21" borderId="0" xfId="15" applyNumberFormat="1" applyFill="1" applyAlignment="1">
      <alignment/>
      <protection/>
    </xf>
    <xf numFmtId="0" fontId="0" fillId="22" borderId="0" xfId="15" applyNumberFormat="1" applyFill="1">
      <alignment/>
      <protection/>
    </xf>
    <xf numFmtId="0" fontId="0" fillId="21" borderId="0" xfId="15" applyFill="1" applyAlignment="1">
      <alignment/>
      <protection/>
    </xf>
    <xf numFmtId="0" fontId="3" fillId="21" borderId="0" xfId="15" applyFont="1" applyFill="1" applyAlignment="1">
      <alignment/>
      <protection/>
    </xf>
    <xf numFmtId="0" fontId="0" fillId="21" borderId="0" xfId="15" applyFont="1" applyFill="1" applyAlignment="1">
      <alignment/>
      <protection/>
    </xf>
    <xf numFmtId="0" fontId="93" fillId="21" borderId="75" xfId="15" applyFont="1" applyFill="1" applyBorder="1" applyAlignment="1">
      <alignment horizontal="left" vertical="center"/>
      <protection/>
    </xf>
    <xf numFmtId="0" fontId="0" fillId="21" borderId="76" xfId="15" applyFill="1" applyBorder="1" applyAlignment="1">
      <alignment horizontal="left"/>
      <protection/>
    </xf>
    <xf numFmtId="0" fontId="0" fillId="21" borderId="77" xfId="15" applyFill="1" applyBorder="1" applyAlignment="1">
      <alignment horizontal="left"/>
      <protection/>
    </xf>
    <xf numFmtId="0" fontId="93" fillId="21" borderId="78" xfId="15" applyFont="1" applyFill="1" applyBorder="1" applyAlignment="1">
      <alignment horizontal="left" vertical="center"/>
      <protection/>
    </xf>
    <xf numFmtId="0" fontId="93" fillId="21" borderId="40" xfId="15" applyFont="1" applyFill="1" applyBorder="1" applyAlignment="1">
      <alignment horizontal="left" vertical="center"/>
      <protection/>
    </xf>
    <xf numFmtId="0" fontId="93" fillId="21" borderId="79" xfId="15" applyFont="1" applyFill="1" applyBorder="1" applyAlignment="1">
      <alignment horizontal="left" vertical="center"/>
      <protection/>
    </xf>
    <xf numFmtId="0" fontId="0" fillId="21" borderId="75" xfId="15" applyFill="1" applyBorder="1" applyAlignment="1">
      <alignment horizontal="left"/>
      <protection/>
    </xf>
    <xf numFmtId="0" fontId="0" fillId="21" borderId="0" xfId="15" applyFill="1" applyBorder="1" applyAlignment="1">
      <alignment horizontal="left"/>
      <protection/>
    </xf>
    <xf numFmtId="0" fontId="0" fillId="21" borderId="75" xfId="15" applyNumberFormat="1" applyFill="1" applyBorder="1" applyAlignment="1">
      <alignment horizontal="left"/>
      <protection/>
    </xf>
    <xf numFmtId="0" fontId="0" fillId="21" borderId="76" xfId="15" applyNumberFormat="1" applyFill="1" applyBorder="1" applyAlignment="1">
      <alignment horizontal="left"/>
      <protection/>
    </xf>
    <xf numFmtId="0" fontId="0" fillId="21" borderId="77" xfId="15" applyNumberFormat="1" applyFill="1" applyBorder="1" applyAlignment="1">
      <alignment horizontal="left"/>
      <protection/>
    </xf>
    <xf numFmtId="0" fontId="94" fillId="21" borderId="19" xfId="15" applyFont="1" applyFill="1" applyBorder="1" applyAlignment="1">
      <alignment horizontal="left" vertical="center"/>
      <protection/>
    </xf>
    <xf numFmtId="0" fontId="0" fillId="21" borderId="0" xfId="15" applyFill="1" applyAlignment="1">
      <alignment horizontal="left" vertical="center"/>
      <protection/>
    </xf>
    <xf numFmtId="0" fontId="0" fillId="21" borderId="32" xfId="15" applyFill="1" applyBorder="1" applyAlignment="1">
      <alignment horizontal="left" vertical="center"/>
      <protection/>
    </xf>
    <xf numFmtId="0" fontId="0" fillId="21" borderId="80" xfId="15" applyFill="1" applyBorder="1" applyAlignment="1">
      <alignment horizontal="left"/>
      <protection/>
    </xf>
    <xf numFmtId="0" fontId="94" fillId="21" borderId="19" xfId="15" applyNumberFormat="1" applyFont="1" applyFill="1" applyBorder="1" applyAlignment="1">
      <alignment horizontal="left" vertical="center"/>
      <protection/>
    </xf>
    <xf numFmtId="0" fontId="94" fillId="21" borderId="78" xfId="15" applyFont="1" applyFill="1" applyBorder="1" applyAlignment="1">
      <alignment horizontal="center" vertical="center"/>
      <protection/>
    </xf>
    <xf numFmtId="0" fontId="94" fillId="21" borderId="40" xfId="15" applyFont="1" applyFill="1" applyBorder="1" applyAlignment="1">
      <alignment horizontal="center" vertical="center"/>
      <protection/>
    </xf>
    <xf numFmtId="0" fontId="94" fillId="21" borderId="79" xfId="15" applyFont="1" applyFill="1" applyBorder="1" applyAlignment="1">
      <alignment horizontal="center" vertical="center"/>
      <protection/>
    </xf>
    <xf numFmtId="0" fontId="0" fillId="21" borderId="80" xfId="15" applyFill="1" applyBorder="1" applyAlignment="1">
      <alignment/>
      <protection/>
    </xf>
    <xf numFmtId="0" fontId="0" fillId="0" borderId="30" xfId="15" applyBorder="1" applyAlignment="1">
      <alignment/>
      <protection/>
    </xf>
    <xf numFmtId="0" fontId="0" fillId="0" borderId="69" xfId="15" applyBorder="1" applyAlignment="1">
      <alignment horizontal="center"/>
      <protection/>
    </xf>
    <xf numFmtId="3" fontId="0" fillId="0" borderId="69" xfId="15" applyNumberFormat="1" applyBorder="1" applyAlignment="1">
      <alignment horizontal="right"/>
      <protection/>
    </xf>
    <xf numFmtId="3" fontId="0" fillId="0" borderId="70" xfId="15" applyNumberFormat="1" applyBorder="1" applyAlignment="1">
      <alignment horizontal="right"/>
      <protection/>
    </xf>
    <xf numFmtId="0" fontId="0" fillId="0" borderId="30" xfId="15" applyNumberFormat="1" applyBorder="1" applyAlignment="1">
      <alignment/>
      <protection/>
    </xf>
    <xf numFmtId="49" fontId="0" fillId="0" borderId="69" xfId="15" applyNumberFormat="1" applyBorder="1" applyAlignment="1">
      <alignment horizontal="center"/>
      <protection/>
    </xf>
    <xf numFmtId="3" fontId="0" fillId="0" borderId="69" xfId="15" applyNumberFormat="1" applyBorder="1" applyAlignment="1">
      <alignment/>
      <protection/>
    </xf>
    <xf numFmtId="3" fontId="0" fillId="0" borderId="70" xfId="15" applyNumberFormat="1" applyBorder="1" applyAlignment="1">
      <alignment/>
      <protection/>
    </xf>
    <xf numFmtId="0" fontId="0" fillId="0" borderId="10" xfId="15" applyBorder="1" applyAlignment="1">
      <alignment/>
      <protection/>
    </xf>
    <xf numFmtId="0" fontId="0" fillId="0" borderId="2" xfId="15" applyBorder="1" applyAlignment="1">
      <alignment horizontal="center"/>
      <protection/>
    </xf>
    <xf numFmtId="3" fontId="0" fillId="0" borderId="2" xfId="15" applyNumberFormat="1" applyBorder="1" applyAlignment="1">
      <alignment horizontal="right"/>
      <protection/>
    </xf>
    <xf numFmtId="3" fontId="0" fillId="0" borderId="1" xfId="15" applyNumberFormat="1" applyBorder="1" applyAlignment="1">
      <alignment horizontal="right"/>
      <protection/>
    </xf>
    <xf numFmtId="0" fontId="0" fillId="0" borderId="10" xfId="15" applyNumberFormat="1" applyBorder="1" applyAlignment="1">
      <alignment/>
      <protection/>
    </xf>
    <xf numFmtId="49" fontId="0" fillId="0" borderId="2" xfId="15" applyNumberFormat="1" applyBorder="1" applyAlignment="1">
      <alignment horizontal="center"/>
      <protection/>
    </xf>
    <xf numFmtId="3" fontId="0" fillId="0" borderId="2" xfId="15" applyNumberFormat="1" applyBorder="1" applyAlignment="1">
      <alignment/>
      <protection/>
    </xf>
    <xf numFmtId="3" fontId="0" fillId="0" borderId="1" xfId="15" applyNumberFormat="1" applyBorder="1" applyAlignment="1">
      <alignment/>
      <protection/>
    </xf>
    <xf numFmtId="49" fontId="0" fillId="0" borderId="2" xfId="15" applyNumberFormat="1" applyBorder="1" applyAlignment="1">
      <alignment horizontal="right"/>
      <protection/>
    </xf>
    <xf numFmtId="49" fontId="0" fillId="0" borderId="1" xfId="15" applyNumberFormat="1" applyBorder="1" applyAlignment="1">
      <alignment horizontal="right"/>
      <protection/>
    </xf>
    <xf numFmtId="0" fontId="0" fillId="0" borderId="2" xfId="15" applyNumberFormat="1" applyFont="1" applyBorder="1" applyAlignment="1">
      <alignment horizontal="center"/>
      <protection/>
    </xf>
    <xf numFmtId="0" fontId="0" fillId="0" borderId="11" xfId="15" applyNumberFormat="1" applyBorder="1" applyAlignment="1">
      <alignment/>
      <protection/>
    </xf>
    <xf numFmtId="0" fontId="0" fillId="0" borderId="3" xfId="15" applyNumberFormat="1" applyFont="1" applyBorder="1" applyAlignment="1">
      <alignment horizontal="center"/>
      <protection/>
    </xf>
    <xf numFmtId="3" fontId="0" fillId="0" borderId="3" xfId="15" applyNumberFormat="1" applyBorder="1" applyAlignment="1">
      <alignment/>
      <protection/>
    </xf>
    <xf numFmtId="3" fontId="0" fillId="0" borderId="9" xfId="15" applyNumberFormat="1" applyBorder="1" applyAlignment="1">
      <alignment/>
      <protection/>
    </xf>
    <xf numFmtId="0" fontId="0" fillId="21" borderId="19" xfId="15" applyFill="1" applyBorder="1" applyAlignment="1">
      <alignment/>
      <protection/>
    </xf>
    <xf numFmtId="0" fontId="0" fillId="21" borderId="0" xfId="15" applyNumberFormat="1" applyFont="1" applyFill="1" applyAlignment="1">
      <alignment/>
      <protection/>
    </xf>
    <xf numFmtId="3" fontId="0" fillId="21" borderId="0" xfId="15" applyNumberFormat="1" applyFill="1" applyAlignment="1">
      <alignment/>
      <protection/>
    </xf>
    <xf numFmtId="0" fontId="3" fillId="19" borderId="4" xfId="15" applyNumberFormat="1" applyFont="1" applyFill="1" applyBorder="1" applyAlignment="1">
      <alignment/>
      <protection/>
    </xf>
    <xf numFmtId="0" fontId="3" fillId="19" borderId="22" xfId="15" applyFont="1" applyFill="1" applyBorder="1" applyAlignment="1">
      <alignment/>
      <protection/>
    </xf>
    <xf numFmtId="0" fontId="3" fillId="19" borderId="6" xfId="15" applyFont="1" applyFill="1" applyBorder="1" applyAlignment="1">
      <alignment/>
      <protection/>
    </xf>
    <xf numFmtId="0" fontId="0" fillId="19" borderId="78" xfId="15" applyNumberFormat="1" applyFill="1" applyBorder="1" applyAlignment="1">
      <alignment/>
      <protection/>
    </xf>
    <xf numFmtId="0" fontId="0" fillId="19" borderId="40" xfId="15" applyFill="1" applyBorder="1" applyAlignment="1">
      <alignment/>
      <protection/>
    </xf>
    <xf numFmtId="0" fontId="0" fillId="19" borderId="79" xfId="15" applyFill="1" applyBorder="1" applyAlignment="1">
      <alignment/>
      <protection/>
    </xf>
    <xf numFmtId="0" fontId="0" fillId="0" borderId="11" xfId="15" applyBorder="1" applyAlignment="1">
      <alignment/>
      <protection/>
    </xf>
    <xf numFmtId="49" fontId="0" fillId="0" borderId="3" xfId="15" applyNumberFormat="1" applyBorder="1" applyAlignment="1">
      <alignment horizontal="center"/>
      <protection/>
    </xf>
    <xf numFmtId="49" fontId="0" fillId="0" borderId="3" xfId="15" applyNumberFormat="1" applyBorder="1" applyAlignment="1">
      <alignment horizontal="right"/>
      <protection/>
    </xf>
    <xf numFmtId="49" fontId="0" fillId="0" borderId="9" xfId="15" applyNumberFormat="1" applyBorder="1" applyAlignment="1">
      <alignment horizontal="right"/>
      <protection/>
    </xf>
    <xf numFmtId="49" fontId="0" fillId="21" borderId="0" xfId="15" applyNumberFormat="1" applyFill="1" applyAlignment="1">
      <alignment/>
      <protection/>
    </xf>
    <xf numFmtId="0" fontId="94" fillId="21" borderId="75" xfId="15" applyFont="1" applyFill="1" applyBorder="1" applyAlignment="1">
      <alignment horizontal="center" vertical="center"/>
      <protection/>
    </xf>
    <xf numFmtId="0" fontId="94" fillId="21" borderId="76" xfId="15" applyFont="1" applyFill="1" applyBorder="1" applyAlignment="1">
      <alignment horizontal="center" vertical="center"/>
      <protection/>
    </xf>
    <xf numFmtId="0" fontId="94" fillId="21" borderId="76" xfId="15" applyFont="1" applyFill="1" applyBorder="1" applyAlignment="1">
      <alignment horizontal="right" vertical="center"/>
      <protection/>
    </xf>
    <xf numFmtId="0" fontId="94" fillId="21" borderId="77" xfId="15" applyFont="1" applyFill="1" applyBorder="1" applyAlignment="1">
      <alignment horizontal="center" vertical="center"/>
      <protection/>
    </xf>
    <xf numFmtId="0" fontId="0" fillId="0" borderId="28" xfId="15" applyNumberFormat="1" applyBorder="1" applyAlignment="1">
      <alignment/>
      <protection/>
    </xf>
    <xf numFmtId="0" fontId="0" fillId="0" borderId="27" xfId="15" applyNumberFormat="1" applyFont="1" applyBorder="1" applyAlignment="1">
      <alignment horizontal="center"/>
      <protection/>
    </xf>
    <xf numFmtId="3" fontId="0" fillId="0" borderId="27" xfId="15" applyNumberFormat="1" applyFont="1" applyBorder="1" applyAlignment="1">
      <alignment/>
      <protection/>
    </xf>
    <xf numFmtId="3" fontId="0" fillId="0" borderId="36" xfId="15" applyNumberFormat="1" applyFont="1" applyBorder="1" applyAlignment="1">
      <alignment/>
      <protection/>
    </xf>
    <xf numFmtId="3" fontId="0" fillId="0" borderId="2" xfId="15" applyNumberFormat="1" applyFont="1" applyBorder="1" applyAlignment="1">
      <alignment/>
      <protection/>
    </xf>
    <xf numFmtId="3" fontId="0" fillId="0" borderId="1" xfId="15" applyNumberFormat="1" applyFont="1" applyBorder="1" applyAlignment="1">
      <alignment/>
      <protection/>
    </xf>
    <xf numFmtId="0" fontId="0" fillId="22" borderId="0" xfId="15" applyFill="1">
      <alignment/>
      <protection/>
    </xf>
    <xf numFmtId="3" fontId="0" fillId="0" borderId="3" xfId="15" applyNumberFormat="1" applyFont="1" applyBorder="1" applyAlignment="1">
      <alignment/>
      <protection/>
    </xf>
    <xf numFmtId="3" fontId="0" fillId="0" borderId="9" xfId="15" applyNumberFormat="1" applyFont="1" applyBorder="1" applyAlignment="1">
      <alignment/>
      <protection/>
    </xf>
    <xf numFmtId="0" fontId="0" fillId="0" borderId="0" xfId="15">
      <alignment/>
      <protection/>
    </xf>
    <xf numFmtId="0" fontId="0" fillId="0" borderId="0" xfId="15" applyNumberFormat="1">
      <alignment/>
      <protection/>
    </xf>
    <xf numFmtId="0" fontId="87" fillId="0" borderId="0" xfId="0" applyFont="1">
      <alignment/>
    </xf>
    <xf numFmtId="0" fontId="12" fillId="8" borderId="0" xfId="0" applyFont="1" applyFill="1" applyBorder="1" applyAlignment="1">
      <alignment vertical="center"/>
    </xf>
    <xf numFmtId="0" fontId="5" fillId="3" borderId="0" xfId="0" applyFont="1" applyFill="1" applyAlignment="1">
      <alignment horizontal="right" vertical="center"/>
    </xf>
    <xf numFmtId="0" fontId="0" fillId="0" borderId="3" xfId="0" applyBorder="1" applyAlignment="1" applyProtection="1">
      <alignment horizontal="center" vertical="center"/>
      <protection/>
    </xf>
    <xf numFmtId="0" fontId="0" fillId="8" borderId="0" xfId="0" applyFill="1" applyBorder="1" applyAlignment="1">
      <alignment/>
    </xf>
    <xf numFmtId="0" fontId="0" fillId="0" borderId="0" xfId="0" applyAlignment="1">
      <alignment vertical="center"/>
    </xf>
    <xf numFmtId="0" fontId="20" fillId="0" borderId="67" xfId="0" applyFont="1" applyBorder="1" applyAlignment="1">
      <alignment vertical="center"/>
    </xf>
    <xf numFmtId="0" fontId="0" fillId="8" borderId="61" xfId="0" applyFill="1" applyBorder="1" applyAlignment="1">
      <alignment/>
    </xf>
    <xf numFmtId="0" fontId="0" fillId="8" borderId="62" xfId="0" applyFill="1" applyBorder="1" applyAlignment="1">
      <alignment/>
    </xf>
    <xf numFmtId="0" fontId="64" fillId="8" borderId="61" xfId="0" applyFont="1" applyFill="1" applyBorder="1" applyAlignment="1">
      <alignment horizontal="right" vertical="center"/>
    </xf>
    <xf numFmtId="0" fontId="0" fillId="8" borderId="61" xfId="0" applyFill="1" applyBorder="1" applyAlignment="1">
      <alignment vertical="center"/>
    </xf>
    <xf numFmtId="0" fontId="12" fillId="7" borderId="69" xfId="0" applyFont="1" applyFill="1" applyBorder="1" applyAlignment="1">
      <alignment horizontal="center" vertical="center" wrapText="1"/>
    </xf>
    <xf numFmtId="0" fontId="12" fillId="7" borderId="70" xfId="0" applyFont="1" applyFill="1" applyBorder="1" applyAlignment="1">
      <alignment horizontal="center" vertical="center" wrapText="1"/>
    </xf>
    <xf numFmtId="49" fontId="86" fillId="0" borderId="0" xfId="0" applyNumberFormat="1" applyFont="1">
      <alignment/>
    </xf>
    <xf numFmtId="0" fontId="0" fillId="20" borderId="0" xfId="0" applyFill="1">
      <alignment/>
    </xf>
    <xf numFmtId="0" fontId="6" fillId="23" borderId="0" xfId="12" applyFill="1">
      <alignment/>
      <protection/>
    </xf>
    <xf numFmtId="0" fontId="89" fillId="23" borderId="0" xfId="12" applyFont="1" applyFill="1" applyAlignment="1">
      <alignment vertical="top"/>
      <protection/>
    </xf>
    <xf numFmtId="0" fontId="90" fillId="23" borderId="0" xfId="12" applyFont="1" applyFill="1" applyAlignment="1">
      <alignment wrapText="1"/>
      <protection/>
    </xf>
    <xf numFmtId="0" fontId="89" fillId="23" borderId="0" xfId="12" applyFont="1" applyFill="1" applyAlignment="1">
      <alignment wrapText="1"/>
      <protection/>
    </xf>
    <xf numFmtId="0" fontId="89" fillId="23" borderId="0" xfId="12" applyFont="1" applyFill="1">
      <alignment/>
      <protection/>
    </xf>
    <xf numFmtId="0" fontId="91" fillId="23" borderId="0" xfId="10" applyFont="1" applyFill="1" applyAlignment="1" applyProtection="1">
      <alignment wrapText="1"/>
      <protection/>
    </xf>
    <xf numFmtId="0" fontId="89" fillId="23" borderId="0" xfId="13" applyFont="1" applyFill="1" applyAlignment="1">
      <alignment wrapText="1"/>
      <protection/>
    </xf>
    <xf numFmtId="0" fontId="92" fillId="23" borderId="0" xfId="14" applyFont="1" applyFill="1" applyAlignment="1" applyProtection="1">
      <alignment/>
      <protection/>
    </xf>
    <xf numFmtId="0" fontId="89" fillId="23" borderId="0" xfId="12" applyFont="1" applyFill="1" applyBorder="1" applyAlignment="1">
      <alignment wrapText="1"/>
      <protection/>
    </xf>
    <xf numFmtId="0" fontId="19" fillId="23" borderId="0" xfId="12" applyFont="1" applyFill="1" applyBorder="1" applyAlignment="1">
      <alignment horizontal="right" wrapText="1"/>
      <protection/>
    </xf>
    <xf numFmtId="0" fontId="89" fillId="23" borderId="0" xfId="12" applyFont="1" applyFill="1" applyBorder="1" applyAlignment="1">
      <alignment horizontal="right" wrapText="1"/>
      <protection/>
    </xf>
    <xf numFmtId="0" fontId="0" fillId="0" borderId="42" xfId="0" applyBorder="1">
      <alignment/>
    </xf>
    <xf numFmtId="0" fontId="0" fillId="0" borderId="0" xfId="0" applyFont="1" quotePrefix="1">
      <alignment/>
    </xf>
    <xf numFmtId="0" fontId="87" fillId="3" borderId="0" xfId="0" applyFont="1" applyFill="1">
      <alignment/>
    </xf>
    <xf numFmtId="0" fontId="0" fillId="0" borderId="0" xfId="0" applyBorder="1" applyAlignment="1">
      <alignment vertical="center"/>
    </xf>
    <xf numFmtId="2" fontId="0" fillId="8" borderId="2" xfId="0" applyNumberFormat="1" applyFont="1" applyFill="1" applyBorder="1" applyAlignment="1" applyProtection="1">
      <alignment horizontal="left" vertical="center"/>
      <protection/>
    </xf>
    <xf numFmtId="0" fontId="0" fillId="8" borderId="45" xfId="0" applyFont="1" applyFill="1" applyBorder="1" applyAlignment="1" applyProtection="1">
      <alignment vertical="center"/>
      <protection/>
    </xf>
    <xf numFmtId="0" fontId="28" fillId="8" borderId="58" xfId="0" applyNumberFormat="1" applyFont="1" applyFill="1" applyBorder="1" applyAlignment="1" applyProtection="1">
      <alignment horizontal="center" vertical="center" wrapText="1"/>
      <protection locked="0"/>
    </xf>
    <xf numFmtId="9" fontId="0" fillId="0" borderId="2" xfId="0" applyNumberFormat="1" applyBorder="1" applyAlignment="1" applyProtection="1">
      <alignment horizontal="center" vertical="center"/>
      <protection locked="0"/>
    </xf>
    <xf numFmtId="9" fontId="0" fillId="7" borderId="3" xfId="0" applyNumberFormat="1" applyFill="1" applyBorder="1" applyAlignment="1" applyProtection="1">
      <alignment horizontal="center" vertical="center"/>
      <protection/>
    </xf>
    <xf numFmtId="9" fontId="0" fillId="0" borderId="27" xfId="0" applyNumberFormat="1" applyBorder="1" applyAlignment="1" applyProtection="1">
      <alignment horizontal="center" vertical="center"/>
      <protection locked="0"/>
    </xf>
    <xf numFmtId="9" fontId="0" fillId="0" borderId="57" xfId="0" applyNumberFormat="1" applyBorder="1" applyAlignment="1" applyProtection="1">
      <alignment horizontal="center" vertical="center"/>
      <protection locked="0"/>
    </xf>
    <xf numFmtId="0" fontId="0" fillId="24" borderId="0" xfId="0" applyFill="1">
      <alignment/>
    </xf>
    <xf numFmtId="0" fontId="98" fillId="24" borderId="0" xfId="0" applyFont="1" applyFill="1" applyAlignment="1">
      <alignment horizontal="center" vertical="center"/>
    </xf>
    <xf numFmtId="0" fontId="99" fillId="25" borderId="60" xfId="0" applyFont="1" applyFill="1" applyBorder="1" applyAlignment="1" applyProtection="1">
      <alignment horizontal="center" vertical="center"/>
      <protection locked="0"/>
    </xf>
    <xf numFmtId="0" fontId="83" fillId="22" borderId="0" xfId="16" applyFont="1" applyFill="1">
      <alignment/>
      <protection/>
    </xf>
    <xf numFmtId="0" fontId="83" fillId="22" borderId="0" xfId="16" applyFont="1" applyFill="1" applyAlignment="1">
      <alignment wrapText="1"/>
      <protection/>
    </xf>
    <xf numFmtId="0" fontId="83" fillId="19" borderId="28" xfId="16" applyFont="1" applyFill="1" applyBorder="1" applyAlignment="1" applyProtection="1">
      <alignment horizontal="center" vertical="center"/>
      <protection/>
    </xf>
    <xf numFmtId="0" fontId="83" fillId="19" borderId="27" xfId="16" applyFont="1" applyFill="1" applyBorder="1" applyAlignment="1" applyProtection="1">
      <alignment horizontal="center" vertical="center"/>
      <protection/>
    </xf>
    <xf numFmtId="0" fontId="83" fillId="19" borderId="36" xfId="16" applyFont="1" applyFill="1" applyBorder="1" applyAlignment="1" applyProtection="1">
      <alignment horizontal="center" vertical="center" wrapText="1"/>
      <protection/>
    </xf>
    <xf numFmtId="0" fontId="83" fillId="22" borderId="0" xfId="16" applyFont="1" applyFill="1" applyAlignment="1">
      <alignment horizontal="center" vertical="center"/>
      <protection/>
    </xf>
    <xf numFmtId="0" fontId="102" fillId="19" borderId="2" xfId="16" applyNumberFormat="1" applyFont="1" applyFill="1" applyBorder="1" applyAlignment="1" applyProtection="1">
      <alignment horizontal="left" vertical="center" indent="1"/>
      <protection locked="0"/>
    </xf>
    <xf numFmtId="49" fontId="102" fillId="19" borderId="1" xfId="16" applyNumberFormat="1" applyFont="1" applyFill="1" applyBorder="1" applyAlignment="1" applyProtection="1">
      <alignment horizontal="center" vertical="center"/>
      <protection locked="0"/>
    </xf>
    <xf numFmtId="49" fontId="102" fillId="19" borderId="2" xfId="16" applyNumberFormat="1" applyFont="1" applyFill="1" applyBorder="1" applyAlignment="1" applyProtection="1">
      <alignment horizontal="left" vertical="center" indent="1"/>
      <protection locked="0"/>
    </xf>
    <xf numFmtId="49" fontId="102" fillId="19" borderId="2" xfId="16" applyNumberFormat="1" applyFont="1" applyFill="1" applyBorder="1" applyAlignment="1" applyProtection="1">
      <alignment horizontal="center" vertical="center"/>
      <protection locked="0"/>
    </xf>
    <xf numFmtId="49" fontId="102" fillId="19" borderId="3" xfId="16" applyNumberFormat="1" applyFont="1" applyFill="1" applyBorder="1" applyAlignment="1" applyProtection="1">
      <alignment horizontal="left" vertical="center" indent="1"/>
      <protection locked="0"/>
    </xf>
    <xf numFmtId="49" fontId="102" fillId="19" borderId="3" xfId="16" applyNumberFormat="1" applyFont="1" applyFill="1" applyBorder="1" applyAlignment="1" applyProtection="1">
      <alignment horizontal="center" vertical="center"/>
      <protection locked="0"/>
    </xf>
    <xf numFmtId="49" fontId="102" fillId="19" borderId="9" xfId="16" applyNumberFormat="1" applyFont="1" applyFill="1" applyBorder="1" applyAlignment="1" applyProtection="1">
      <alignment horizontal="center" vertical="center"/>
      <protection locked="0"/>
    </xf>
    <xf numFmtId="0" fontId="103" fillId="19" borderId="0" xfId="16" applyFont="1" applyFill="1" applyAlignment="1">
      <alignment vertical="center"/>
      <protection/>
    </xf>
    <xf numFmtId="0" fontId="83" fillId="19" borderId="0" xfId="16" applyFont="1" applyFill="1" applyAlignment="1" applyProtection="1">
      <alignment horizontal="right" vertical="center"/>
      <protection/>
    </xf>
    <xf numFmtId="14" fontId="102" fillId="19" borderId="0" xfId="16" applyNumberFormat="1" applyFont="1" applyFill="1" applyBorder="1" applyAlignment="1" applyProtection="1">
      <alignment horizontal="center" vertical="center"/>
      <protection/>
    </xf>
    <xf numFmtId="0" fontId="83" fillId="19" borderId="0" xfId="16" applyFont="1" applyFill="1">
      <alignment/>
      <protection/>
    </xf>
    <xf numFmtId="0" fontId="3" fillId="22" borderId="0" xfId="16" applyFont="1" applyFill="1" applyAlignment="1" applyProtection="1">
      <alignment/>
      <protection/>
    </xf>
    <xf numFmtId="0" fontId="2" fillId="22" borderId="0" xfId="16" applyFill="1" applyAlignment="1" applyProtection="1">
      <alignment wrapText="1"/>
      <protection/>
    </xf>
    <xf numFmtId="0" fontId="83" fillId="19" borderId="0" xfId="16" applyFont="1" applyFill="1" applyProtection="1">
      <alignment/>
      <protection/>
    </xf>
    <xf numFmtId="0" fontId="83" fillId="22" borderId="0" xfId="16" applyFont="1" applyFill="1" applyProtection="1">
      <alignment/>
      <protection/>
    </xf>
    <xf numFmtId="0" fontId="2" fillId="22" borderId="0" xfId="16" applyFill="1">
      <alignment/>
      <protection/>
    </xf>
    <xf numFmtId="0" fontId="100" fillId="22" borderId="0" xfId="16" applyFont="1" applyFill="1" applyAlignment="1" applyProtection="1">
      <alignment vertical="center"/>
      <protection/>
    </xf>
    <xf numFmtId="0" fontId="83" fillId="19" borderId="0" xfId="16" applyFont="1" applyFill="1" applyAlignment="1">
      <alignment vertical="center"/>
      <protection/>
    </xf>
    <xf numFmtId="0" fontId="102" fillId="19" borderId="81" xfId="16" applyNumberFormat="1" applyFont="1" applyFill="1" applyBorder="1" applyAlignment="1" applyProtection="1">
      <alignment horizontal="center" vertical="center"/>
      <protection locked="0"/>
    </xf>
    <xf numFmtId="0" fontId="83" fillId="19" borderId="0" xfId="16" applyFont="1" applyFill="1" applyAlignment="1">
      <alignment horizontal="right" vertical="center"/>
      <protection/>
    </xf>
    <xf numFmtId="49" fontId="103" fillId="19" borderId="42" xfId="16" applyNumberFormat="1" applyFont="1" applyFill="1" applyBorder="1" applyAlignment="1" applyProtection="1">
      <alignment horizontal="center" vertical="center"/>
      <protection/>
    </xf>
    <xf numFmtId="49" fontId="103" fillId="19" borderId="0" xfId="16" applyNumberFormat="1" applyFont="1" applyFill="1" applyBorder="1" applyAlignment="1" applyProtection="1">
      <alignment vertical="center"/>
      <protection/>
    </xf>
    <xf numFmtId="0" fontId="102" fillId="19" borderId="81" xfId="16" applyNumberFormat="1" applyFont="1" applyFill="1" applyBorder="1" applyAlignment="1" applyProtection="1">
      <alignment horizontal="left" vertical="center" indent="1"/>
      <protection locked="0"/>
    </xf>
    <xf numFmtId="49" fontId="102" fillId="19" borderId="0" xfId="16" applyNumberFormat="1" applyFont="1" applyFill="1" applyBorder="1" applyAlignment="1" applyProtection="1">
      <alignment vertical="center"/>
      <protection/>
    </xf>
    <xf numFmtId="14" fontId="102" fillId="19" borderId="81" xfId="16" applyNumberFormat="1" applyFont="1" applyFill="1" applyBorder="1" applyAlignment="1" applyProtection="1">
      <alignment horizontal="center" vertical="center"/>
      <protection locked="0"/>
    </xf>
    <xf numFmtId="0" fontId="2" fillId="19" borderId="0" xfId="16" applyFill="1">
      <alignment/>
      <protection/>
    </xf>
    <xf numFmtId="0" fontId="12" fillId="8" borderId="0"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0" fillId="3" borderId="0" xfId="0" applyFont="1" applyFill="1" applyBorder="1" applyAlignment="1">
      <alignment vertical="center"/>
    </xf>
    <xf numFmtId="3" fontId="0" fillId="8" borderId="0" xfId="0" applyNumberFormat="1" applyFont="1" applyFill="1" applyBorder="1" applyAlignment="1">
      <alignment vertical="center"/>
    </xf>
    <xf numFmtId="0" fontId="0" fillId="0" borderId="0" xfId="0" applyBorder="1" applyAlignment="1" applyProtection="1">
      <alignment vertical="center"/>
      <protection/>
    </xf>
    <xf numFmtId="0" fontId="0" fillId="8" borderId="0" xfId="0" applyFont="1" applyFill="1" applyAlignment="1">
      <alignment vertical="center"/>
    </xf>
    <xf numFmtId="0" fontId="0" fillId="8" borderId="0" xfId="0" applyFont="1" applyFill="1" applyAlignment="1">
      <alignment horizontal="right" vertical="center"/>
    </xf>
    <xf numFmtId="0" fontId="0" fillId="18" borderId="0" xfId="0" applyFont="1" applyFill="1" applyAlignment="1">
      <alignment horizontal="right" vertical="center"/>
    </xf>
    <xf numFmtId="0" fontId="0" fillId="19" borderId="0" xfId="0" applyFill="1" applyAlignment="1">
      <alignment vertical="center"/>
    </xf>
    <xf numFmtId="0" fontId="3" fillId="8" borderId="2" xfId="0" applyFont="1" applyFill="1" applyBorder="1" applyAlignment="1" applyProtection="1">
      <alignment horizontal="center" vertical="center"/>
      <protection locked="0"/>
    </xf>
    <xf numFmtId="0" fontId="0" fillId="3" borderId="34" xfId="0" applyFont="1" applyFill="1" applyBorder="1" applyAlignment="1" applyProtection="1">
      <alignment vertical="center"/>
      <protection/>
    </xf>
    <xf numFmtId="0" fontId="3" fillId="8" borderId="2" xfId="0" applyFont="1" applyFill="1" applyBorder="1" applyAlignment="1" applyProtection="1">
      <alignment horizontal="center" vertical="center"/>
      <protection/>
    </xf>
    <xf numFmtId="0" fontId="3" fillId="8" borderId="2" xfId="0"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0" fillId="8" borderId="45" xfId="0" applyFont="1" applyFill="1" applyBorder="1" applyAlignment="1" applyProtection="1">
      <alignment vertical="center"/>
      <protection/>
    </xf>
    <xf numFmtId="0" fontId="3" fillId="8" borderId="37" xfId="0" applyFont="1" applyFill="1" applyBorder="1" applyAlignment="1" applyProtection="1">
      <alignment vertical="center"/>
      <protection/>
    </xf>
    <xf numFmtId="0" fontId="0" fillId="19" borderId="0" xfId="0" applyFill="1" applyBorder="1" applyAlignment="1" applyProtection="1">
      <alignment vertical="center"/>
      <protection/>
    </xf>
    <xf numFmtId="0" fontId="0" fillId="3" borderId="34" xfId="0" applyFont="1" applyFill="1" applyBorder="1" applyAlignment="1" applyProtection="1">
      <alignment vertical="center"/>
      <protection/>
    </xf>
    <xf numFmtId="0" fontId="0" fillId="3" borderId="0" xfId="0" applyFont="1" applyFill="1" applyBorder="1" applyAlignment="1" applyProtection="1">
      <alignment vertical="center"/>
      <protection/>
    </xf>
    <xf numFmtId="0" fontId="3" fillId="8" borderId="37" xfId="0" applyFont="1" applyFill="1" applyBorder="1" applyAlignment="1" applyProtection="1">
      <alignment horizontal="right" vertical="center"/>
      <protection/>
    </xf>
    <xf numFmtId="0" fontId="23" fillId="3" borderId="47" xfId="0" applyFont="1" applyFill="1" applyBorder="1" applyAlignment="1" applyProtection="1">
      <alignment horizontal="center" vertical="center"/>
      <protection/>
    </xf>
    <xf numFmtId="0" fontId="23" fillId="3" borderId="42" xfId="0" applyFont="1" applyFill="1" applyBorder="1" applyAlignment="1" applyProtection="1">
      <alignment horizontal="center" vertical="center"/>
      <protection/>
    </xf>
    <xf numFmtId="49" fontId="3" fillId="8" borderId="0" xfId="0" applyNumberFormat="1" applyFont="1" applyFill="1" applyBorder="1" applyAlignment="1" applyProtection="1">
      <alignment horizontal="center" vertical="center"/>
      <protection/>
    </xf>
    <xf numFmtId="0" fontId="0" fillId="3" borderId="37" xfId="0" applyFont="1" applyFill="1" applyBorder="1" applyAlignment="1" applyProtection="1">
      <alignment vertical="center"/>
      <protection/>
    </xf>
    <xf numFmtId="0" fontId="3" fillId="8" borderId="72" xfId="0" applyFont="1" applyFill="1" applyBorder="1" applyAlignment="1" applyProtection="1">
      <alignment horizontal="center" vertical="center"/>
      <protection/>
    </xf>
    <xf numFmtId="0" fontId="83" fillId="19" borderId="0" xfId="16" applyFont="1" applyFill="1" applyAlignment="1" applyProtection="1">
      <alignment horizontal="center"/>
      <protection/>
    </xf>
    <xf numFmtId="0" fontId="83" fillId="19" borderId="0" xfId="16" applyFont="1" applyFill="1" applyBorder="1" applyAlignment="1" applyProtection="1">
      <alignment horizontal="left" vertical="center"/>
      <protection/>
    </xf>
    <xf numFmtId="0" fontId="83" fillId="19" borderId="27" xfId="16" applyFont="1" applyFill="1" applyBorder="1" applyAlignment="1" applyProtection="1">
      <alignment horizontal="center" vertical="center" wrapText="1"/>
      <protection/>
    </xf>
    <xf numFmtId="0" fontId="0" fillId="19" borderId="0" xfId="0" applyFill="1" applyBorder="1" applyAlignment="1" applyProtection="1">
      <alignment vertical="center"/>
      <protection/>
    </xf>
    <xf numFmtId="0" fontId="0" fillId="19" borderId="0" xfId="0" applyFill="1">
      <alignment/>
    </xf>
    <xf numFmtId="0" fontId="0" fillId="19" borderId="0" xfId="0" applyFill="1" applyAlignment="1">
      <alignment/>
    </xf>
    <xf numFmtId="0" fontId="0" fillId="19" borderId="34" xfId="0" applyFill="1" applyBorder="1" applyAlignment="1">
      <alignment vertical="center"/>
    </xf>
    <xf numFmtId="0" fontId="28" fillId="19" borderId="0" xfId="0" applyFont="1" applyFill="1" applyBorder="1" applyAlignment="1">
      <alignment vertical="center"/>
    </xf>
    <xf numFmtId="0" fontId="28" fillId="19" borderId="37" xfId="0" applyFont="1" applyFill="1" applyBorder="1" applyAlignment="1">
      <alignment vertical="center"/>
    </xf>
    <xf numFmtId="0" fontId="0" fillId="19" borderId="0" xfId="0" applyFill="1" applyBorder="1" applyAlignment="1">
      <alignment vertical="center"/>
    </xf>
    <xf numFmtId="0" fontId="0" fillId="19" borderId="37" xfId="0" applyFill="1" applyBorder="1" applyAlignment="1">
      <alignment vertical="center"/>
    </xf>
    <xf numFmtId="0" fontId="0" fillId="19" borderId="47" xfId="0" applyFill="1" applyBorder="1" applyAlignment="1">
      <alignment vertical="center"/>
    </xf>
    <xf numFmtId="0" fontId="0" fillId="19" borderId="42" xfId="0" applyFill="1" applyBorder="1" applyAlignment="1">
      <alignment vertical="center"/>
    </xf>
    <xf numFmtId="0" fontId="0" fillId="19" borderId="82" xfId="0" applyFill="1" applyBorder="1" applyAlignment="1">
      <alignment vertical="center"/>
    </xf>
    <xf numFmtId="0" fontId="41" fillId="19" borderId="0" xfId="0" applyFont="1" applyFill="1" applyBorder="1" applyAlignment="1">
      <alignment horizontal="center" vertical="center"/>
    </xf>
    <xf numFmtId="0" fontId="0" fillId="19" borderId="0" xfId="0" applyFont="1" applyFill="1" applyBorder="1" applyAlignment="1">
      <alignment vertical="center"/>
    </xf>
    <xf numFmtId="0" fontId="3" fillId="19" borderId="2" xfId="0" applyFont="1" applyFill="1" applyBorder="1" applyAlignment="1" applyProtection="1">
      <alignment horizontal="center" vertical="center"/>
      <protection locked="0"/>
    </xf>
    <xf numFmtId="0" fontId="0" fillId="19" borderId="83" xfId="0" applyFill="1" applyBorder="1" applyAlignment="1">
      <alignment vertical="center"/>
    </xf>
    <xf numFmtId="0" fontId="0" fillId="19" borderId="84" xfId="0" applyFill="1" applyBorder="1" applyAlignment="1">
      <alignment vertical="center"/>
    </xf>
    <xf numFmtId="0" fontId="0" fillId="26" borderId="0" xfId="0" applyFill="1">
      <alignment/>
    </xf>
    <xf numFmtId="0" fontId="3" fillId="26" borderId="0" xfId="0" applyFont="1" applyFill="1">
      <alignment/>
    </xf>
    <xf numFmtId="0" fontId="0" fillId="26" borderId="0" xfId="0" applyFill="1" applyAlignment="1">
      <alignment vertical="center"/>
    </xf>
    <xf numFmtId="0" fontId="0" fillId="19" borderId="2" xfId="0" applyFill="1" applyBorder="1" applyAlignment="1" applyProtection="1">
      <alignment vertical="center"/>
      <protection/>
    </xf>
    <xf numFmtId="0" fontId="0" fillId="26" borderId="0" xfId="0" applyFont="1" applyFill="1">
      <alignment/>
    </xf>
    <xf numFmtId="0" fontId="83" fillId="19" borderId="0" xfId="16" applyFont="1" applyFill="1" applyAlignment="1" applyProtection="1">
      <alignment horizontal="center" vertical="center" wrapText="1"/>
      <protection/>
    </xf>
    <xf numFmtId="0" fontId="102" fillId="19" borderId="34" xfId="16" applyNumberFormat="1" applyFont="1" applyFill="1" applyBorder="1" applyAlignment="1" applyProtection="1">
      <alignment horizontal="center" vertical="center"/>
      <protection/>
    </xf>
    <xf numFmtId="0" fontId="103" fillId="19" borderId="0" xfId="16" applyFont="1" applyFill="1" applyAlignment="1" applyProtection="1">
      <alignment horizontal="center" vertical="center" wrapText="1"/>
      <protection locked="0"/>
    </xf>
    <xf numFmtId="0" fontId="102" fillId="19" borderId="72" xfId="16" applyNumberFormat="1" applyFont="1" applyFill="1" applyBorder="1" applyAlignment="1" applyProtection="1">
      <alignment horizontal="left" vertical="center" indent="1"/>
      <protection locked="0"/>
    </xf>
    <xf numFmtId="49" fontId="102" fillId="19" borderId="72" xfId="16" applyNumberFormat="1" applyFont="1" applyFill="1" applyBorder="1" applyAlignment="1" applyProtection="1">
      <alignment horizontal="left" vertical="center" indent="1"/>
      <protection locked="0"/>
    </xf>
    <xf numFmtId="49" fontId="102" fillId="19" borderId="58" xfId="16" applyNumberFormat="1" applyFont="1" applyFill="1" applyBorder="1" applyAlignment="1" applyProtection="1">
      <alignment horizontal="left" vertical="center" indent="1"/>
      <protection locked="0"/>
    </xf>
    <xf numFmtId="0" fontId="102" fillId="19" borderId="2" xfId="16" applyNumberFormat="1" applyFont="1" applyFill="1" applyBorder="1" applyAlignment="1" applyProtection="1">
      <alignment horizontal="center" vertical="center"/>
      <protection locked="0"/>
    </xf>
    <xf numFmtId="0" fontId="109" fillId="19" borderId="1" xfId="0" applyFont="1" applyFill="1" applyBorder="1" applyAlignment="1" applyProtection="1">
      <alignment horizontal="center" vertical="center"/>
      <protection locked="0"/>
    </xf>
    <xf numFmtId="0" fontId="108" fillId="19" borderId="2" xfId="16" applyNumberFormat="1" applyFont="1" applyFill="1" applyBorder="1" applyAlignment="1" applyProtection="1">
      <alignment horizontal="center" vertical="center"/>
      <protection/>
    </xf>
    <xf numFmtId="0" fontId="28" fillId="19" borderId="32" xfId="0" applyFont="1" applyFill="1" applyBorder="1" applyAlignment="1" applyProtection="1">
      <alignment vertical="center"/>
      <protection/>
    </xf>
    <xf numFmtId="0" fontId="103" fillId="19" borderId="0" xfId="16" applyFont="1" applyFill="1" applyAlignment="1" applyProtection="1">
      <alignment horizontal="center" vertical="center" wrapText="1"/>
      <protection/>
    </xf>
    <xf numFmtId="0" fontId="83" fillId="19" borderId="10" xfId="16" applyNumberFormat="1" applyFont="1" applyFill="1" applyBorder="1" applyAlignment="1" applyProtection="1">
      <alignment horizontal="left" vertical="center" indent="1"/>
      <protection/>
    </xf>
    <xf numFmtId="49" fontId="83" fillId="19" borderId="10" xfId="16" applyNumberFormat="1" applyFont="1" applyFill="1" applyBorder="1" applyAlignment="1" applyProtection="1">
      <alignment horizontal="left" vertical="center" indent="1"/>
      <protection/>
    </xf>
    <xf numFmtId="49" fontId="102" fillId="19" borderId="11" xfId="16" applyNumberFormat="1" applyFont="1" applyFill="1" applyBorder="1" applyAlignment="1" applyProtection="1">
      <alignment horizontal="left" vertical="center" indent="1"/>
      <protection/>
    </xf>
    <xf numFmtId="49" fontId="0" fillId="0" borderId="2" xfId="15" applyNumberFormat="1" applyBorder="1" applyAlignment="1">
      <alignment horizontal="center"/>
      <protection/>
    </xf>
    <xf numFmtId="49" fontId="0" fillId="0" borderId="2" xfId="15" applyNumberFormat="1" applyBorder="1" applyAlignment="1">
      <alignment horizontal="right"/>
      <protection/>
    </xf>
    <xf numFmtId="0" fontId="0" fillId="0" borderId="2" xfId="15" applyNumberFormat="1" applyFont="1" applyBorder="1" applyAlignment="1">
      <alignment horizontal="center"/>
      <protection/>
    </xf>
    <xf numFmtId="3" fontId="0" fillId="0" borderId="2" xfId="15" applyNumberFormat="1" applyBorder="1" applyAlignment="1">
      <alignment/>
      <protection/>
    </xf>
    <xf numFmtId="0" fontId="36" fillId="13" borderId="52" xfId="10" applyFill="1" applyBorder="1" applyAlignment="1" applyProtection="1">
      <alignment vertical="center"/>
      <protection locked="0"/>
    </xf>
    <xf numFmtId="0" fontId="86" fillId="0" borderId="0" xfId="0" applyNumberFormat="1" applyFont="1">
      <alignment/>
    </xf>
    <xf numFmtId="3" fontId="86" fillId="0" borderId="0" xfId="0" applyNumberFormat="1" applyFont="1">
      <alignment/>
    </xf>
    <xf numFmtId="0" fontId="0" fillId="0" borderId="2"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9" xfId="0" applyBorder="1" applyAlignment="1" applyProtection="1">
      <alignment horizontal="center" vertical="center"/>
      <protection/>
    </xf>
    <xf numFmtId="0" fontId="41" fillId="2" borderId="4" xfId="17" applyFont="1" applyBorder="1" applyAlignment="1">
      <alignment/>
    </xf>
    <xf numFmtId="0" fontId="41" fillId="2" borderId="85" xfId="17" applyFont="1" applyBorder="1" applyAlignment="1" applyProtection="1">
      <alignment horizontal="center"/>
      <protection/>
    </xf>
    <xf numFmtId="0" fontId="41" fillId="2" borderId="86" xfId="17" applyFont="1" applyBorder="1" applyAlignment="1">
      <alignment horizontal="center"/>
    </xf>
    <xf numFmtId="0" fontId="41" fillId="2" borderId="27" xfId="17" applyFont="1" applyBorder="1" applyAlignment="1">
      <alignment horizontal="center"/>
    </xf>
    <xf numFmtId="0" fontId="41" fillId="2" borderId="36" xfId="17" applyFont="1" applyBorder="1" applyAlignment="1">
      <alignment horizontal="center"/>
    </xf>
    <xf numFmtId="0" fontId="9" fillId="4" borderId="8" xfId="0" applyFont="1" applyFill="1" applyBorder="1" applyAlignment="1" applyProtection="1">
      <alignment vertical="center"/>
      <protection/>
    </xf>
    <xf numFmtId="4" fontId="3" fillId="0" borderId="87" xfId="0" applyNumberFormat="1" applyFont="1" applyBorder="1" applyAlignment="1" applyProtection="1">
      <alignment vertical="center"/>
      <protection/>
    </xf>
    <xf numFmtId="4" fontId="0" fillId="0" borderId="72" xfId="0" applyNumberFormat="1" applyBorder="1" applyAlignment="1" applyProtection="1">
      <alignment vertical="center"/>
      <protection locked="0"/>
    </xf>
    <xf numFmtId="4" fontId="0" fillId="0" borderId="2" xfId="0" applyNumberFormat="1" applyBorder="1" applyAlignment="1" applyProtection="1">
      <alignment vertical="center"/>
      <protection locked="0"/>
    </xf>
    <xf numFmtId="4" fontId="0" fillId="0" borderId="1" xfId="0" applyNumberFormat="1" applyBorder="1" applyAlignment="1" applyProtection="1">
      <alignment vertical="center"/>
      <protection locked="0"/>
    </xf>
    <xf numFmtId="4" fontId="0" fillId="0" borderId="72" xfId="0" applyNumberFormat="1" applyBorder="1" applyAlignment="1" applyProtection="1">
      <alignment vertical="center"/>
      <protection/>
    </xf>
    <xf numFmtId="4" fontId="0" fillId="0" borderId="2" xfId="0" applyNumberFormat="1" applyBorder="1" applyAlignment="1" applyProtection="1">
      <alignment vertical="center"/>
      <protection/>
    </xf>
    <xf numFmtId="4" fontId="0" fillId="0" borderId="1" xfId="0" applyNumberFormat="1" applyBorder="1" applyAlignment="1" applyProtection="1">
      <alignment vertical="center"/>
      <protection/>
    </xf>
    <xf numFmtId="0" fontId="9" fillId="4" borderId="5" xfId="0" applyFont="1" applyFill="1" applyBorder="1" applyAlignment="1" applyProtection="1">
      <alignment vertical="center"/>
      <protection/>
    </xf>
    <xf numFmtId="4" fontId="3" fillId="0" borderId="88" xfId="0" applyNumberFormat="1" applyFont="1" applyBorder="1" applyAlignment="1" applyProtection="1">
      <alignment vertical="center"/>
      <protection/>
    </xf>
    <xf numFmtId="4" fontId="0" fillId="8" borderId="58" xfId="0" applyNumberFormat="1" applyFill="1" applyBorder="1" applyAlignment="1" applyProtection="1">
      <alignment vertical="center"/>
      <protection locked="0"/>
    </xf>
    <xf numFmtId="4" fontId="0" fillId="8" borderId="3" xfId="0" applyNumberFormat="1" applyFill="1" applyBorder="1" applyAlignment="1" applyProtection="1">
      <alignment vertical="center"/>
      <protection locked="0"/>
    </xf>
    <xf numFmtId="4" fontId="0" fillId="8" borderId="9" xfId="0" applyNumberFormat="1" applyFill="1" applyBorder="1" applyAlignment="1" applyProtection="1">
      <alignment vertical="center"/>
      <protection locked="0"/>
    </xf>
    <xf numFmtId="0" fontId="0" fillId="0" borderId="0" xfId="0" applyAlignment="1">
      <alignment vertical="center"/>
    </xf>
    <xf numFmtId="0" fontId="7" fillId="3" borderId="41" xfId="0" applyFont="1" applyFill="1" applyBorder="1" applyAlignment="1" applyProtection="1">
      <alignment horizontal="center" vertical="center"/>
      <protection locked="0"/>
    </xf>
    <xf numFmtId="0" fontId="83" fillId="27" borderId="0" xfId="16" applyFont="1" applyFill="1">
      <alignment/>
      <protection/>
    </xf>
    <xf numFmtId="0" fontId="83" fillId="0" borderId="0" xfId="16" applyFont="1">
      <alignment/>
      <protection/>
    </xf>
    <xf numFmtId="0" fontId="28" fillId="19" borderId="37" xfId="16" applyFont="1" applyFill="1" applyBorder="1" applyAlignment="1">
      <alignment horizontal="left" vertical="center"/>
      <protection/>
    </xf>
    <xf numFmtId="0" fontId="28" fillId="19" borderId="0" xfId="16" applyFont="1" applyFill="1" applyAlignment="1">
      <alignment vertical="center"/>
      <protection/>
    </xf>
    <xf numFmtId="0" fontId="83" fillId="27" borderId="0" xfId="16" applyFont="1" applyFill="1" applyAlignment="1">
      <alignment vertical="center"/>
      <protection/>
    </xf>
    <xf numFmtId="0" fontId="83" fillId="0" borderId="0" xfId="16" applyFont="1" applyAlignment="1">
      <alignment vertical="center"/>
      <protection/>
    </xf>
    <xf numFmtId="4" fontId="28" fillId="19" borderId="0" xfId="16" applyNumberFormat="1" applyFont="1" applyFill="1" applyAlignment="1">
      <alignment vertical="center"/>
      <protection/>
    </xf>
    <xf numFmtId="4" fontId="83" fillId="27" borderId="0" xfId="16" applyNumberFormat="1" applyFont="1" applyFill="1" applyAlignment="1">
      <alignment vertical="center"/>
      <protection/>
    </xf>
    <xf numFmtId="4" fontId="83" fillId="0" borderId="0" xfId="16" applyNumberFormat="1" applyFont="1" applyAlignment="1">
      <alignment vertical="center"/>
      <protection/>
    </xf>
    <xf numFmtId="0" fontId="12" fillId="19" borderId="0" xfId="16" applyFont="1" applyFill="1">
      <alignment/>
      <protection/>
    </xf>
    <xf numFmtId="0" fontId="28" fillId="19" borderId="0" xfId="16" applyFont="1" applyFill="1" applyAlignment="1">
      <alignment horizontal="right" vertical="center"/>
      <protection/>
    </xf>
    <xf numFmtId="0" fontId="0" fillId="0" borderId="0" xfId="0" applyAlignment="1" applyProtection="1">
      <alignment vertical="center"/>
      <protection/>
    </xf>
    <xf numFmtId="0" fontId="0" fillId="19" borderId="47" xfId="0" applyFill="1" applyBorder="1" applyAlignment="1">
      <alignment vertical="center"/>
    </xf>
    <xf numFmtId="0" fontId="28" fillId="19" borderId="0" xfId="0" applyFont="1" applyFill="1" applyBorder="1" applyAlignment="1" applyProtection="1">
      <alignment vertical="center"/>
      <protection/>
    </xf>
    <xf numFmtId="0" fontId="0" fillId="19" borderId="34" xfId="0" applyFill="1" applyBorder="1" applyAlignment="1">
      <alignment vertical="center"/>
    </xf>
    <xf numFmtId="0" fontId="0" fillId="8" borderId="0" xfId="0" applyFill="1" applyAlignment="1">
      <alignment/>
    </xf>
    <xf numFmtId="0" fontId="98" fillId="8" borderId="0" xfId="0" applyFont="1" applyFill="1">
      <alignment/>
    </xf>
    <xf numFmtId="0" fontId="36" fillId="8" borderId="0" xfId="10" applyFill="1" applyAlignment="1" applyProtection="1">
      <alignment/>
      <protection/>
    </xf>
    <xf numFmtId="0" fontId="0" fillId="8" borderId="0" xfId="0" applyFill="1" applyAlignment="1">
      <alignment/>
    </xf>
    <xf numFmtId="0" fontId="96" fillId="4" borderId="0" xfId="0" applyFont="1" applyFill="1" applyAlignment="1">
      <alignment horizontal="center" vertical="center" wrapText="1"/>
    </xf>
    <xf numFmtId="0" fontId="0" fillId="0" borderId="0" xfId="0" applyAlignment="1">
      <alignment vertical="center" wrapText="1"/>
    </xf>
    <xf numFmtId="0" fontId="0" fillId="3" borderId="0" xfId="0" applyFill="1" applyAlignment="1">
      <alignment vertical="top" wrapText="1"/>
    </xf>
    <xf numFmtId="0" fontId="58" fillId="3" borderId="0" xfId="0" applyFont="1" applyFill="1" applyAlignment="1">
      <alignment vertical="center"/>
    </xf>
    <xf numFmtId="0" fontId="11" fillId="4" borderId="0" xfId="15" applyFont="1" applyFill="1" applyAlignment="1">
      <alignment horizontal="center" wrapText="1"/>
      <protection/>
    </xf>
    <xf numFmtId="0" fontId="11" fillId="4" borderId="0" xfId="0" applyFont="1" applyFill="1" applyAlignment="1">
      <alignment horizontal="left" wrapText="1"/>
    </xf>
    <xf numFmtId="0" fontId="22" fillId="4" borderId="0" xfId="0" applyFont="1" applyFill="1" applyAlignment="1">
      <alignment horizontal="left" wrapText="1"/>
    </xf>
    <xf numFmtId="0" fontId="48" fillId="4" borderId="0" xfId="15" applyFont="1" applyFill="1" applyAlignment="1">
      <alignment horizontal="left" wrapText="1" shrinkToFit="1"/>
      <protection/>
    </xf>
    <xf numFmtId="0" fontId="11" fillId="4" borderId="0" xfId="0" applyFont="1" applyFill="1" applyAlignment="1">
      <alignment horizontal="center" wrapText="1"/>
    </xf>
    <xf numFmtId="0" fontId="49" fillId="4" borderId="0" xfId="0" applyFont="1" applyFill="1" applyAlignment="1">
      <alignment horizontal="center" wrapText="1"/>
    </xf>
    <xf numFmtId="0" fontId="50" fillId="0" borderId="0" xfId="0" applyFont="1" applyAlignment="1">
      <alignment horizontal="center" wrapText="1"/>
    </xf>
    <xf numFmtId="0" fontId="73" fillId="7" borderId="0" xfId="0" applyFont="1" applyFill="1" applyAlignment="1">
      <alignment horizontal="center" wrapText="1"/>
    </xf>
    <xf numFmtId="0" fontId="0" fillId="0" borderId="0" xfId="0" applyAlignment="1">
      <alignment horizontal="center" wrapText="1"/>
    </xf>
    <xf numFmtId="0" fontId="47" fillId="4" borderId="0" xfId="0" applyFont="1" applyFill="1" applyAlignment="1">
      <alignment horizontal="center" wrapText="1"/>
    </xf>
    <xf numFmtId="0" fontId="11" fillId="4" borderId="0" xfId="0" applyFont="1" applyFill="1" applyAlignment="1">
      <alignment horizontal="center"/>
    </xf>
    <xf numFmtId="0" fontId="97" fillId="4" borderId="0" xfId="0" applyFont="1" applyFill="1" applyAlignment="1">
      <alignment horizontal="center" wrapText="1"/>
    </xf>
    <xf numFmtId="0" fontId="11" fillId="4" borderId="0" xfId="15" applyFont="1" applyFill="1" applyAlignment="1">
      <alignment horizontal="center" vertical="top" wrapText="1"/>
      <protection/>
    </xf>
    <xf numFmtId="0" fontId="0" fillId="28" borderId="0" xfId="0" applyFill="1" applyAlignment="1">
      <alignment/>
    </xf>
    <xf numFmtId="0" fontId="0" fillId="0" borderId="0" xfId="0" applyAlignment="1">
      <alignment/>
    </xf>
    <xf numFmtId="0" fontId="23" fillId="8" borderId="0" xfId="0" applyFont="1" applyFill="1" applyAlignment="1">
      <alignment horizontal="center" vertical="center"/>
    </xf>
    <xf numFmtId="0" fontId="23" fillId="8" borderId="89" xfId="0" applyFont="1" applyFill="1" applyBorder="1" applyAlignment="1">
      <alignment vertical="center"/>
    </xf>
    <xf numFmtId="0" fontId="0" fillId="0" borderId="90" xfId="0" applyBorder="1" applyAlignment="1">
      <alignment vertical="center"/>
    </xf>
    <xf numFmtId="0" fontId="60" fillId="8" borderId="52" xfId="0" applyFont="1" applyFill="1" applyBorder="1" applyAlignment="1" applyProtection="1">
      <alignment horizontal="center" vertical="center"/>
      <protection locked="0"/>
    </xf>
    <xf numFmtId="0" fontId="60" fillId="0" borderId="0" xfId="0" applyFont="1" applyAlignment="1" applyProtection="1">
      <alignment horizontal="center" vertical="center"/>
      <protection locked="0"/>
    </xf>
    <xf numFmtId="0" fontId="60" fillId="0" borderId="53" xfId="0" applyFont="1" applyBorder="1" applyAlignment="1" applyProtection="1">
      <alignment horizontal="center" vertical="center"/>
      <protection locked="0"/>
    </xf>
    <xf numFmtId="0" fontId="52" fillId="8" borderId="0" xfId="0" applyFont="1" applyFill="1" applyAlignment="1">
      <alignment horizontal="center" vertical="center"/>
    </xf>
    <xf numFmtId="0" fontId="0" fillId="0" borderId="0" xfId="0" applyAlignment="1">
      <alignment horizontal="center" vertical="center"/>
    </xf>
    <xf numFmtId="0" fontId="61" fillId="8" borderId="0" xfId="0" applyFont="1" applyFill="1" applyAlignment="1">
      <alignment horizontal="center" vertical="center"/>
    </xf>
    <xf numFmtId="0" fontId="0" fillId="13" borderId="52" xfId="0" applyFill="1" applyBorder="1" applyAlignment="1" applyProtection="1">
      <alignment vertical="top"/>
      <protection locked="0"/>
    </xf>
    <xf numFmtId="0" fontId="0" fillId="12" borderId="91" xfId="0" applyFill="1" applyBorder="1" applyAlignment="1" applyProtection="1">
      <alignment vertical="top"/>
      <protection locked="0"/>
    </xf>
    <xf numFmtId="0" fontId="0" fillId="12" borderId="53" xfId="0" applyFill="1" applyBorder="1" applyAlignment="1" applyProtection="1">
      <alignment vertical="top"/>
      <protection locked="0"/>
    </xf>
    <xf numFmtId="0" fontId="22" fillId="23" borderId="0" xfId="12" applyFont="1" applyFill="1" applyAlignment="1">
      <alignment/>
      <protection/>
    </xf>
    <xf numFmtId="0" fontId="6" fillId="23" borderId="0" xfId="12" applyFill="1" applyAlignment="1">
      <alignment/>
      <protection/>
    </xf>
    <xf numFmtId="0" fontId="13" fillId="4" borderId="0" xfId="0" applyFont="1" applyFill="1" applyBorder="1" applyAlignment="1">
      <alignment horizontal="right"/>
    </xf>
    <xf numFmtId="0" fontId="12" fillId="0" borderId="0" xfId="0" applyFont="1" applyAlignment="1">
      <alignment horizontal="right"/>
    </xf>
    <xf numFmtId="49" fontId="9" fillId="4" borderId="0" xfId="0" applyNumberFormat="1" applyFont="1" applyFill="1" applyBorder="1" applyAlignment="1">
      <alignment horizontal="left" vertical="top"/>
    </xf>
    <xf numFmtId="49" fontId="13" fillId="4" borderId="0" xfId="0" applyNumberFormat="1" applyFont="1" applyFill="1" applyBorder="1" applyAlignment="1">
      <alignment horizontal="left"/>
    </xf>
    <xf numFmtId="0" fontId="0" fillId="0" borderId="26" xfId="0" applyBorder="1" applyAlignment="1" applyProtection="1">
      <alignment vertical="center"/>
      <protection locked="0"/>
    </xf>
    <xf numFmtId="0" fontId="0" fillId="0" borderId="72" xfId="0" applyBorder="1" applyAlignment="1" applyProtection="1">
      <alignment vertical="center"/>
      <protection locked="0"/>
    </xf>
    <xf numFmtId="0" fontId="12" fillId="7" borderId="0" xfId="0" applyFont="1" applyFill="1" applyAlignment="1">
      <alignment horizontal="right" vertical="center"/>
    </xf>
    <xf numFmtId="0" fontId="0" fillId="7" borderId="0" xfId="0" applyFill="1" applyAlignment="1">
      <alignment horizontal="right" vertical="center"/>
    </xf>
    <xf numFmtId="0" fontId="0" fillId="7" borderId="37" xfId="0" applyFill="1" applyBorder="1" applyAlignment="1">
      <alignment horizontal="right" vertical="center"/>
    </xf>
    <xf numFmtId="0" fontId="8" fillId="4" borderId="0" xfId="0" applyFont="1" applyFill="1" applyAlignment="1">
      <alignment horizontal="center"/>
    </xf>
    <xf numFmtId="0" fontId="3" fillId="0" borderId="0" xfId="0" applyFont="1" applyAlignment="1">
      <alignment horizontal="center"/>
    </xf>
    <xf numFmtId="0" fontId="6" fillId="4" borderId="37" xfId="0" applyFont="1" applyFill="1" applyBorder="1" applyAlignment="1">
      <alignment/>
    </xf>
    <xf numFmtId="0" fontId="0" fillId="0" borderId="37" xfId="0" applyBorder="1" applyAlignment="1">
      <alignment/>
    </xf>
    <xf numFmtId="0" fontId="6" fillId="4" borderId="0" xfId="0" applyFont="1" applyFill="1" applyAlignment="1">
      <alignment/>
    </xf>
    <xf numFmtId="0" fontId="6" fillId="3" borderId="26" xfId="0" applyFont="1" applyFill="1" applyBorder="1" applyAlignment="1" applyProtection="1">
      <alignment horizontal="left"/>
      <protection locked="0"/>
    </xf>
    <xf numFmtId="0" fontId="6" fillId="3" borderId="23" xfId="0" applyFont="1" applyFill="1" applyBorder="1" applyAlignment="1" applyProtection="1">
      <alignment horizontal="left"/>
      <protection locked="0"/>
    </xf>
    <xf numFmtId="0" fontId="0" fillId="8" borderId="23" xfId="0" applyFill="1" applyBorder="1" applyAlignment="1" applyProtection="1">
      <alignment horizontal="left"/>
      <protection locked="0"/>
    </xf>
    <xf numFmtId="0" fontId="0" fillId="8" borderId="72" xfId="0" applyFill="1" applyBorder="1" applyAlignment="1" applyProtection="1">
      <alignment horizontal="left"/>
      <protection locked="0"/>
    </xf>
    <xf numFmtId="0" fontId="0" fillId="3" borderId="26" xfId="10" applyFont="1" applyFill="1" applyBorder="1" applyAlignment="1" applyProtection="1">
      <alignment horizontal="left"/>
      <protection/>
    </xf>
    <xf numFmtId="0" fontId="6" fillId="3" borderId="23" xfId="0" applyFont="1" applyFill="1" applyBorder="1" applyAlignment="1" applyProtection="1">
      <alignment horizontal="left"/>
      <protection/>
    </xf>
    <xf numFmtId="0" fontId="0" fillId="8" borderId="23" xfId="0" applyFont="1" applyFill="1" applyBorder="1" applyAlignment="1" applyProtection="1">
      <alignment horizontal="left"/>
      <protection/>
    </xf>
    <xf numFmtId="0" fontId="0" fillId="8" borderId="72" xfId="0" applyFont="1" applyFill="1" applyBorder="1" applyAlignment="1" applyProtection="1">
      <alignment horizontal="left"/>
      <protection/>
    </xf>
    <xf numFmtId="0" fontId="9" fillId="4" borderId="0" xfId="0" applyFont="1" applyFill="1" applyAlignment="1">
      <alignment/>
    </xf>
    <xf numFmtId="0" fontId="3" fillId="4" borderId="34" xfId="0" applyFont="1" applyFill="1" applyBorder="1" applyAlignment="1">
      <alignment horizontal="center"/>
    </xf>
    <xf numFmtId="0" fontId="3" fillId="4" borderId="0" xfId="0" applyFont="1" applyFill="1" applyAlignment="1">
      <alignment horizontal="center"/>
    </xf>
    <xf numFmtId="0" fontId="9" fillId="4" borderId="23" xfId="0" applyFont="1" applyFill="1" applyBorder="1" applyAlignment="1">
      <alignment/>
    </xf>
    <xf numFmtId="0" fontId="0" fillId="0" borderId="23" xfId="0" applyBorder="1" applyAlignment="1">
      <alignment/>
    </xf>
    <xf numFmtId="0" fontId="9" fillId="4" borderId="23" xfId="0" applyFont="1" applyFill="1" applyBorder="1" applyAlignment="1">
      <alignment horizontal="left"/>
    </xf>
    <xf numFmtId="0" fontId="9" fillId="4" borderId="0" xfId="0" applyFont="1" applyFill="1" applyBorder="1" applyAlignment="1">
      <alignment horizontal="left"/>
    </xf>
    <xf numFmtId="0" fontId="9" fillId="4" borderId="83" xfId="0" applyFont="1" applyFill="1" applyBorder="1" applyAlignment="1">
      <alignment horizontal="center"/>
    </xf>
    <xf numFmtId="0" fontId="0" fillId="0" borderId="25" xfId="0" applyBorder="1" applyAlignment="1">
      <alignment/>
    </xf>
    <xf numFmtId="0" fontId="0" fillId="0" borderId="84" xfId="0" applyBorder="1" applyAlignment="1">
      <alignment/>
    </xf>
    <xf numFmtId="0" fontId="0" fillId="0" borderId="34" xfId="0" applyBorder="1" applyAlignment="1">
      <alignment/>
    </xf>
    <xf numFmtId="0" fontId="0" fillId="0" borderId="0" xfId="0" applyBorder="1" applyAlignment="1">
      <alignment/>
    </xf>
    <xf numFmtId="0" fontId="0" fillId="0" borderId="47" xfId="0" applyBorder="1" applyAlignment="1">
      <alignment/>
    </xf>
    <xf numFmtId="0" fontId="0" fillId="0" borderId="42" xfId="0" applyBorder="1" applyAlignment="1">
      <alignment/>
    </xf>
    <xf numFmtId="0" fontId="0" fillId="0" borderId="82" xfId="0" applyBorder="1" applyAlignment="1">
      <alignment/>
    </xf>
    <xf numFmtId="0" fontId="7" fillId="3" borderId="22" xfId="0" applyNumberFormat="1" applyFont="1" applyFill="1" applyBorder="1" applyAlignment="1" applyProtection="1">
      <alignment horizontal="center"/>
      <protection locked="0"/>
    </xf>
    <xf numFmtId="0" fontId="3" fillId="0" borderId="22" xfId="0" applyNumberFormat="1" applyFont="1" applyBorder="1" applyAlignment="1" applyProtection="1">
      <alignment horizontal="center"/>
      <protection locked="0"/>
    </xf>
    <xf numFmtId="0" fontId="3" fillId="0" borderId="86" xfId="0" applyNumberFormat="1" applyFont="1" applyBorder="1" applyAlignment="1" applyProtection="1">
      <alignment horizontal="center"/>
      <protection locked="0"/>
    </xf>
    <xf numFmtId="0" fontId="3" fillId="0" borderId="86" xfId="0" applyNumberFormat="1" applyFont="1" applyBorder="1" applyAlignment="1" applyProtection="1">
      <alignment horizontal="center"/>
      <protection locked="0"/>
    </xf>
    <xf numFmtId="0" fontId="7" fillId="8" borderId="22" xfId="0" applyNumberFormat="1" applyFont="1" applyFill="1" applyBorder="1" applyAlignment="1" applyProtection="1">
      <alignment horizontal="center"/>
      <protection locked="0"/>
    </xf>
    <xf numFmtId="0" fontId="7" fillId="0" borderId="22" xfId="0" applyNumberFormat="1" applyFont="1" applyBorder="1" applyAlignment="1" applyProtection="1">
      <alignment horizontal="center"/>
      <protection locked="0"/>
    </xf>
    <xf numFmtId="0" fontId="7" fillId="0" borderId="6" xfId="0" applyNumberFormat="1" applyFont="1" applyBorder="1" applyAlignment="1" applyProtection="1">
      <alignment horizontal="center"/>
      <protection locked="0"/>
    </xf>
    <xf numFmtId="0" fontId="9" fillId="3" borderId="33" xfId="0" applyNumberFormat="1" applyFont="1" applyFill="1" applyBorder="1" applyAlignment="1">
      <alignment vertical="top" wrapText="1"/>
    </xf>
    <xf numFmtId="0" fontId="0" fillId="0" borderId="22" xfId="0" applyNumberFormat="1" applyBorder="1" applyAlignment="1">
      <alignment vertical="top" wrapText="1"/>
    </xf>
    <xf numFmtId="0" fontId="6" fillId="3" borderId="22" xfId="0" applyNumberFormat="1" applyFont="1" applyFill="1" applyBorder="1" applyAlignment="1" applyProtection="1">
      <alignment horizontal="center"/>
      <protection locked="0"/>
    </xf>
    <xf numFmtId="0" fontId="0" fillId="0" borderId="76" xfId="0" applyNumberFormat="1" applyBorder="1" applyAlignment="1" applyProtection="1">
      <alignment/>
      <protection locked="0"/>
    </xf>
    <xf numFmtId="0" fontId="0" fillId="0" borderId="92" xfId="0" applyNumberFormat="1" applyBorder="1" applyAlignment="1" applyProtection="1">
      <alignment/>
      <protection locked="0"/>
    </xf>
    <xf numFmtId="0" fontId="6" fillId="8" borderId="24" xfId="0" applyNumberFormat="1" applyFont="1" applyFill="1" applyBorder="1" applyAlignment="1" applyProtection="1">
      <alignment horizontal="center"/>
      <protection locked="0"/>
    </xf>
    <xf numFmtId="0" fontId="6" fillId="0" borderId="24" xfId="0" applyNumberFormat="1" applyFont="1" applyBorder="1" applyAlignment="1" applyProtection="1">
      <alignment horizontal="center"/>
      <protection locked="0"/>
    </xf>
    <xf numFmtId="0" fontId="6" fillId="0" borderId="44" xfId="0" applyNumberFormat="1" applyFont="1" applyBorder="1" applyAlignment="1" applyProtection="1">
      <alignment horizontal="center"/>
      <protection locked="0"/>
    </xf>
    <xf numFmtId="0" fontId="6" fillId="3" borderId="24" xfId="0" applyNumberFormat="1" applyFont="1" applyFill="1" applyBorder="1" applyAlignment="1" applyProtection="1">
      <alignment horizontal="center"/>
      <protection locked="0"/>
    </xf>
    <xf numFmtId="0" fontId="0" fillId="0" borderId="24" xfId="0" applyNumberFormat="1" applyFont="1" applyBorder="1" applyAlignment="1" applyProtection="1">
      <alignment horizontal="center"/>
      <protection locked="0"/>
    </xf>
    <xf numFmtId="0" fontId="0" fillId="0" borderId="58" xfId="0" applyNumberFormat="1" applyFont="1" applyBorder="1" applyAlignment="1" applyProtection="1">
      <alignment horizontal="center"/>
      <protection locked="0"/>
    </xf>
    <xf numFmtId="0" fontId="0" fillId="0" borderId="22" xfId="0" applyNumberFormat="1" applyBorder="1" applyAlignment="1" applyProtection="1">
      <alignment/>
      <protection locked="0"/>
    </xf>
    <xf numFmtId="0" fontId="0" fillId="0" borderId="86" xfId="0" applyNumberFormat="1" applyBorder="1" applyAlignment="1" applyProtection="1">
      <alignment/>
      <protection locked="0"/>
    </xf>
    <xf numFmtId="0" fontId="7" fillId="4" borderId="40" xfId="0" applyNumberFormat="1" applyFont="1" applyFill="1" applyBorder="1" applyAlignment="1">
      <alignment/>
    </xf>
    <xf numFmtId="0" fontId="0" fillId="0" borderId="40" xfId="0" applyNumberFormat="1" applyBorder="1" applyAlignment="1">
      <alignment/>
    </xf>
    <xf numFmtId="0" fontId="7" fillId="4" borderId="0" xfId="0" applyFont="1" applyFill="1" applyAlignment="1">
      <alignment horizontal="center"/>
    </xf>
    <xf numFmtId="0" fontId="6" fillId="3" borderId="26" xfId="0" applyFont="1" applyFill="1" applyBorder="1" applyAlignment="1" applyProtection="1">
      <alignment horizontal="left"/>
      <protection/>
    </xf>
    <xf numFmtId="0" fontId="6" fillId="3" borderId="72" xfId="0" applyFont="1" applyFill="1" applyBorder="1" applyAlignment="1" applyProtection="1">
      <alignment horizontal="left"/>
      <protection/>
    </xf>
    <xf numFmtId="49" fontId="9" fillId="3" borderId="3" xfId="0" applyNumberFormat="1" applyFont="1" applyFill="1" applyBorder="1" applyAlignment="1">
      <alignment horizontal="left" wrapText="1"/>
    </xf>
    <xf numFmtId="0" fontId="0" fillId="0" borderId="7" xfId="0" applyBorder="1" applyAlignment="1">
      <alignment/>
    </xf>
    <xf numFmtId="49" fontId="6" fillId="3" borderId="24" xfId="0" applyNumberFormat="1" applyFont="1" applyFill="1" applyBorder="1" applyAlignment="1" applyProtection="1">
      <alignment horizontal="center"/>
      <protection locked="0"/>
    </xf>
    <xf numFmtId="0" fontId="0" fillId="0" borderId="58" xfId="0" applyFont="1" applyBorder="1" applyAlignment="1" applyProtection="1">
      <alignment horizontal="center"/>
      <protection locked="0"/>
    </xf>
    <xf numFmtId="49" fontId="9" fillId="4" borderId="0" xfId="0" applyNumberFormat="1" applyFont="1" applyFill="1" applyBorder="1" applyAlignment="1" applyProtection="1">
      <alignment horizontal="left" vertical="center" wrapText="1"/>
      <protection/>
    </xf>
    <xf numFmtId="0" fontId="0" fillId="0" borderId="0" xfId="0" applyAlignment="1" applyProtection="1">
      <alignment vertical="center" wrapText="1"/>
      <protection/>
    </xf>
    <xf numFmtId="0" fontId="9" fillId="7" borderId="0" xfId="0" applyFont="1" applyFill="1" applyBorder="1" applyAlignment="1">
      <alignment horizontal="center"/>
    </xf>
    <xf numFmtId="0" fontId="0" fillId="7" borderId="0" xfId="0" applyFill="1" applyAlignment="1">
      <alignment horizontal="center"/>
    </xf>
    <xf numFmtId="0" fontId="7" fillId="4" borderId="0" xfId="0" applyFont="1" applyFill="1" applyAlignment="1">
      <alignment horizontal="center" vertical="center"/>
    </xf>
    <xf numFmtId="0" fontId="0" fillId="7" borderId="0" xfId="0" applyFill="1" applyAlignment="1">
      <alignment horizontal="center" vertical="center"/>
    </xf>
    <xf numFmtId="0" fontId="18" fillId="4"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center"/>
    </xf>
    <xf numFmtId="0" fontId="7" fillId="4" borderId="0" xfId="0" applyFont="1" applyFill="1" applyAlignment="1">
      <alignment horizontal="right" vertical="center"/>
    </xf>
    <xf numFmtId="0" fontId="0" fillId="0" borderId="0" xfId="0" applyAlignment="1">
      <alignment horizontal="right" vertical="center"/>
    </xf>
    <xf numFmtId="0" fontId="0" fillId="0" borderId="37" xfId="0" applyBorder="1" applyAlignment="1">
      <alignment horizontal="right" vertical="center"/>
    </xf>
    <xf numFmtId="0" fontId="3" fillId="7" borderId="34" xfId="0" applyFont="1" applyFill="1" applyBorder="1" applyAlignment="1">
      <alignment horizontal="center" vertical="center"/>
    </xf>
    <xf numFmtId="0" fontId="3" fillId="7" borderId="37" xfId="0" applyFont="1" applyFill="1" applyBorder="1" applyAlignment="1">
      <alignment horizontal="center" vertical="center"/>
    </xf>
    <xf numFmtId="0" fontId="9" fillId="4" borderId="0" xfId="0" applyFont="1" applyFill="1" applyAlignment="1">
      <alignment horizontal="left" wrapText="1"/>
    </xf>
    <xf numFmtId="0" fontId="0" fillId="0" borderId="0" xfId="0" applyAlignment="1">
      <alignment horizontal="left" wrapText="1"/>
    </xf>
    <xf numFmtId="0" fontId="0" fillId="0" borderId="0" xfId="0" applyAlignment="1">
      <alignment wrapText="1"/>
    </xf>
    <xf numFmtId="14" fontId="6" fillId="3" borderId="26" xfId="0" applyNumberFormat="1" applyFont="1" applyFill="1" applyBorder="1" applyAlignment="1" applyProtection="1">
      <alignment horizontal="center"/>
      <protection locked="0"/>
    </xf>
    <xf numFmtId="0" fontId="0" fillId="3" borderId="72" xfId="0" applyFill="1" applyBorder="1" applyAlignment="1" applyProtection="1">
      <alignment horizontal="center"/>
      <protection locked="0"/>
    </xf>
    <xf numFmtId="14" fontId="9" fillId="4" borderId="0" xfId="0" applyNumberFormat="1" applyFont="1" applyFill="1" applyBorder="1" applyAlignment="1" applyProtection="1">
      <alignment horizontal="right" wrapText="1"/>
      <protection/>
    </xf>
    <xf numFmtId="0" fontId="0" fillId="7" borderId="0" xfId="0" applyFill="1" applyAlignment="1" applyProtection="1">
      <alignment wrapText="1"/>
      <protection/>
    </xf>
    <xf numFmtId="49" fontId="36" fillId="3" borderId="24" xfId="10" applyNumberFormat="1" applyFill="1" applyBorder="1" applyAlignment="1" applyProtection="1">
      <alignment horizontal="center" wrapText="1"/>
      <protection locked="0"/>
    </xf>
    <xf numFmtId="0" fontId="0" fillId="0" borderId="24" xfId="0" applyBorder="1" applyAlignment="1" applyProtection="1">
      <alignment horizontal="center"/>
      <protection locked="0"/>
    </xf>
    <xf numFmtId="0" fontId="0" fillId="0" borderId="44" xfId="0" applyBorder="1" applyAlignment="1" applyProtection="1">
      <alignment horizontal="center"/>
      <protection locked="0"/>
    </xf>
    <xf numFmtId="49" fontId="6" fillId="3" borderId="24" xfId="0" applyNumberFormat="1" applyFont="1" applyFill="1" applyBorder="1" applyAlignment="1" applyProtection="1">
      <alignment horizontal="center" wrapText="1"/>
      <protection locked="0"/>
    </xf>
    <xf numFmtId="0" fontId="7" fillId="4" borderId="40" xfId="0" applyFont="1" applyFill="1" applyBorder="1" applyAlignment="1">
      <alignment horizontal="center"/>
    </xf>
    <xf numFmtId="0" fontId="0" fillId="0" borderId="40" xfId="0" applyBorder="1" applyAlignment="1">
      <alignment horizontal="center"/>
    </xf>
    <xf numFmtId="0" fontId="6" fillId="7" borderId="0" xfId="0" applyFont="1" applyFill="1" applyBorder="1" applyAlignment="1">
      <alignment/>
    </xf>
    <xf numFmtId="0" fontId="9" fillId="4" borderId="76" xfId="0" applyFont="1" applyFill="1" applyBorder="1" applyAlignment="1">
      <alignment horizontal="center" wrapText="1"/>
    </xf>
    <xf numFmtId="0" fontId="0" fillId="0" borderId="76" xfId="0" applyBorder="1" applyAlignment="1">
      <alignment/>
    </xf>
    <xf numFmtId="49" fontId="9" fillId="4" borderId="0" xfId="0" applyNumberFormat="1" applyFont="1" applyFill="1" applyBorder="1" applyAlignment="1">
      <alignment horizontal="left" vertical="center"/>
    </xf>
    <xf numFmtId="0" fontId="0" fillId="7" borderId="0" xfId="0" applyFill="1" applyBorder="1" applyAlignment="1">
      <alignment vertical="center"/>
    </xf>
    <xf numFmtId="0" fontId="0" fillId="0" borderId="37" xfId="0" applyBorder="1" applyAlignment="1">
      <alignment vertical="center"/>
    </xf>
    <xf numFmtId="0" fontId="9" fillId="3" borderId="7" xfId="0" applyNumberFormat="1" applyFont="1" applyFill="1" applyBorder="1" applyAlignment="1">
      <alignment horizontal="left" vertical="top"/>
    </xf>
    <xf numFmtId="0" fontId="0" fillId="0" borderId="24" xfId="0" applyNumberFormat="1" applyBorder="1" applyAlignment="1">
      <alignment/>
    </xf>
    <xf numFmtId="0" fontId="6" fillId="3" borderId="20" xfId="0" applyNumberFormat="1" applyFont="1" applyFill="1" applyBorder="1" applyAlignment="1" applyProtection="1">
      <alignment horizontal="left"/>
      <protection locked="0"/>
    </xf>
    <xf numFmtId="0" fontId="0" fillId="0" borderId="20" xfId="0" applyNumberFormat="1" applyFont="1" applyBorder="1" applyAlignment="1" applyProtection="1">
      <alignment/>
      <protection locked="0"/>
    </xf>
    <xf numFmtId="0" fontId="0" fillId="0" borderId="57" xfId="0" applyNumberFormat="1" applyFont="1" applyBorder="1" applyAlignment="1" applyProtection="1">
      <alignment/>
      <protection locked="0"/>
    </xf>
    <xf numFmtId="49" fontId="6" fillId="3" borderId="22" xfId="0" applyNumberFormat="1" applyFont="1" applyFill="1" applyBorder="1" applyAlignment="1" applyProtection="1">
      <alignment horizontal="center"/>
      <protection locked="0"/>
    </xf>
    <xf numFmtId="49" fontId="0" fillId="0" borderId="76" xfId="0" applyNumberFormat="1" applyBorder="1" applyAlignment="1" applyProtection="1">
      <alignment/>
      <protection locked="0"/>
    </xf>
    <xf numFmtId="49" fontId="0" fillId="0" borderId="92" xfId="0" applyNumberFormat="1" applyBorder="1" applyAlignment="1" applyProtection="1">
      <alignment/>
      <protection locked="0"/>
    </xf>
    <xf numFmtId="49" fontId="7" fillId="4" borderId="0" xfId="0" applyNumberFormat="1" applyFont="1" applyFill="1" applyAlignment="1">
      <alignment/>
    </xf>
    <xf numFmtId="49" fontId="6" fillId="0" borderId="0" xfId="0" applyNumberFormat="1" applyFont="1" applyAlignment="1">
      <alignment/>
    </xf>
    <xf numFmtId="49" fontId="10" fillId="4" borderId="40" xfId="0" applyNumberFormat="1" applyFont="1" applyFill="1" applyBorder="1" applyAlignment="1">
      <alignment/>
    </xf>
    <xf numFmtId="49" fontId="6" fillId="0" borderId="40" xfId="0" applyNumberFormat="1" applyFont="1" applyBorder="1" applyAlignment="1">
      <alignment/>
    </xf>
    <xf numFmtId="0" fontId="0" fillId="0" borderId="40" xfId="0" applyBorder="1" applyAlignment="1">
      <alignment/>
    </xf>
    <xf numFmtId="0" fontId="9" fillId="3" borderId="3" xfId="0" applyNumberFormat="1" applyFont="1" applyFill="1" applyBorder="1" applyAlignment="1">
      <alignment horizontal="left" wrapText="1"/>
    </xf>
    <xf numFmtId="0" fontId="0" fillId="0" borderId="7" xfId="0" applyNumberFormat="1" applyBorder="1" applyAlignment="1">
      <alignment/>
    </xf>
    <xf numFmtId="49" fontId="9" fillId="3" borderId="33" xfId="0" applyNumberFormat="1" applyFont="1" applyFill="1" applyBorder="1" applyAlignment="1">
      <alignment vertical="top" wrapText="1"/>
    </xf>
    <xf numFmtId="49" fontId="0" fillId="0" borderId="22" xfId="0" applyNumberFormat="1" applyBorder="1" applyAlignment="1">
      <alignment vertical="top" wrapText="1"/>
    </xf>
    <xf numFmtId="0" fontId="10" fillId="4" borderId="40" xfId="0" applyNumberFormat="1" applyFont="1" applyFill="1" applyBorder="1" applyAlignment="1">
      <alignment/>
    </xf>
    <xf numFmtId="0" fontId="6" fillId="0" borderId="40" xfId="0" applyNumberFormat="1" applyFont="1" applyBorder="1" applyAlignment="1">
      <alignment/>
    </xf>
    <xf numFmtId="0" fontId="7" fillId="4" borderId="76" xfId="0" applyNumberFormat="1" applyFont="1" applyFill="1" applyBorder="1" applyAlignment="1">
      <alignment/>
    </xf>
    <xf numFmtId="0" fontId="6" fillId="0" borderId="76" xfId="0" applyNumberFormat="1" applyFont="1" applyBorder="1" applyAlignment="1">
      <alignment/>
    </xf>
    <xf numFmtId="0" fontId="0" fillId="0" borderId="76" xfId="0" applyNumberFormat="1" applyBorder="1" applyAlignment="1">
      <alignment/>
    </xf>
    <xf numFmtId="3" fontId="106" fillId="3" borderId="24" xfId="10" applyNumberFormat="1" applyFont="1" applyFill="1" applyBorder="1" applyAlignment="1" applyProtection="1">
      <alignment horizontal="center" wrapText="1"/>
      <protection locked="0"/>
    </xf>
    <xf numFmtId="0" fontId="107" fillId="3" borderId="58" xfId="0" applyNumberFormat="1" applyFont="1" applyFill="1" applyBorder="1" applyAlignment="1" applyProtection="1">
      <alignment horizontal="center" wrapText="1"/>
      <protection locked="0"/>
    </xf>
    <xf numFmtId="0" fontId="0" fillId="0" borderId="22" xfId="0" applyBorder="1" applyAlignment="1" applyProtection="1">
      <alignment/>
      <protection locked="0"/>
    </xf>
    <xf numFmtId="0" fontId="0" fillId="0" borderId="86" xfId="0" applyBorder="1" applyAlignment="1" applyProtection="1">
      <alignment/>
      <protection locked="0"/>
    </xf>
    <xf numFmtId="0" fontId="6" fillId="3" borderId="20" xfId="0" applyNumberFormat="1" applyFont="1" applyFill="1" applyBorder="1" applyAlignment="1" applyProtection="1">
      <alignment horizontal="center"/>
      <protection locked="0"/>
    </xf>
    <xf numFmtId="0" fontId="6" fillId="8" borderId="57" xfId="0" applyNumberFormat="1" applyFont="1" applyFill="1" applyBorder="1" applyAlignment="1" applyProtection="1">
      <alignment horizontal="center"/>
      <protection locked="0"/>
    </xf>
    <xf numFmtId="0" fontId="7" fillId="4" borderId="34" xfId="0" applyFont="1" applyFill="1" applyBorder="1" applyAlignment="1" applyProtection="1">
      <alignment horizontal="right"/>
      <protection/>
    </xf>
    <xf numFmtId="0" fontId="0" fillId="0" borderId="0" xfId="0" applyBorder="1" applyAlignment="1" applyProtection="1">
      <alignment/>
      <protection/>
    </xf>
    <xf numFmtId="0" fontId="19" fillId="3" borderId="2" xfId="0" applyFont="1" applyFill="1" applyBorder="1" applyAlignment="1" applyProtection="1">
      <alignment horizontal="center" vertical="center"/>
      <protection/>
    </xf>
    <xf numFmtId="0" fontId="0" fillId="0" borderId="2" xfId="0" applyBorder="1" applyAlignment="1" applyProtection="1">
      <alignment vertical="center"/>
      <protection/>
    </xf>
    <xf numFmtId="0" fontId="9" fillId="4" borderId="0" xfId="0" applyFont="1" applyFill="1" applyAlignment="1">
      <alignment/>
    </xf>
    <xf numFmtId="0" fontId="3" fillId="4" borderId="0" xfId="0" applyFont="1" applyFill="1" applyBorder="1" applyAlignment="1">
      <alignment horizontal="center"/>
    </xf>
    <xf numFmtId="0" fontId="9" fillId="4" borderId="0" xfId="0" applyFont="1" applyFill="1" applyAlignment="1">
      <alignment horizontal="left" vertical="center" wrapText="1"/>
    </xf>
    <xf numFmtId="0" fontId="0" fillId="0" borderId="0" xfId="0" applyAlignment="1">
      <alignment horizontal="left" vertical="center" wrapText="1"/>
    </xf>
    <xf numFmtId="0" fontId="7" fillId="4" borderId="0" xfId="0" applyFont="1" applyFill="1" applyAlignment="1">
      <alignment horizontal="right"/>
    </xf>
    <xf numFmtId="0" fontId="0" fillId="0" borderId="0" xfId="0" applyAlignment="1">
      <alignment horizontal="right"/>
    </xf>
    <xf numFmtId="0" fontId="15" fillId="3" borderId="24" xfId="0" applyNumberFormat="1" applyFont="1" applyFill="1" applyBorder="1" applyAlignment="1" applyProtection="1">
      <alignment horizontal="center" vertical="center" wrapText="1"/>
      <protection locked="0"/>
    </xf>
    <xf numFmtId="0" fontId="28" fillId="8" borderId="44" xfId="0" applyNumberFormat="1" applyFont="1" applyFill="1" applyBorder="1" applyAlignment="1" applyProtection="1">
      <alignment horizontal="center" vertical="center" wrapText="1"/>
      <protection locked="0"/>
    </xf>
    <xf numFmtId="0" fontId="6" fillId="4" borderId="26" xfId="0" applyFont="1" applyFill="1" applyBorder="1" applyAlignment="1" applyProtection="1">
      <alignment vertical="center"/>
      <protection/>
    </xf>
    <xf numFmtId="0" fontId="0" fillId="0" borderId="43" xfId="0" applyBorder="1" applyAlignment="1">
      <alignment/>
    </xf>
    <xf numFmtId="0" fontId="7" fillId="4" borderId="76" xfId="0" applyFont="1" applyFill="1" applyBorder="1" applyAlignment="1" applyProtection="1">
      <alignment horizontal="center"/>
      <protection/>
    </xf>
    <xf numFmtId="0" fontId="0" fillId="0" borderId="76" xfId="0" applyBorder="1" applyAlignment="1" applyProtection="1">
      <alignment horizontal="center"/>
      <protection/>
    </xf>
    <xf numFmtId="0" fontId="0" fillId="0" borderId="76" xfId="0" applyBorder="1" applyAlignment="1" applyProtection="1">
      <alignment/>
      <protection/>
    </xf>
    <xf numFmtId="0" fontId="9" fillId="4" borderId="22" xfId="0" applyFont="1" applyFill="1" applyBorder="1" applyAlignment="1" applyProtection="1">
      <alignment vertical="center" wrapText="1"/>
      <protection/>
    </xf>
    <xf numFmtId="0" fontId="9" fillId="4" borderId="86" xfId="0" applyFont="1" applyFill="1" applyBorder="1" applyAlignment="1" applyProtection="1">
      <alignment vertical="center" wrapText="1"/>
      <protection/>
    </xf>
    <xf numFmtId="3" fontId="6" fillId="3" borderId="33" xfId="0" applyNumberFormat="1" applyFont="1" applyFill="1" applyBorder="1" applyAlignment="1" applyProtection="1">
      <alignment horizontal="center" vertical="center"/>
      <protection locked="0"/>
    </xf>
    <xf numFmtId="0" fontId="0" fillId="0" borderId="86" xfId="0" applyBorder="1" applyAlignment="1">
      <alignment horizontal="center" vertical="center"/>
    </xf>
    <xf numFmtId="0" fontId="6" fillId="4" borderId="33" xfId="0" applyFont="1" applyFill="1" applyBorder="1" applyAlignment="1" applyProtection="1">
      <alignment vertical="center"/>
      <protection/>
    </xf>
    <xf numFmtId="0" fontId="0" fillId="0" borderId="22" xfId="0" applyBorder="1" applyAlignment="1">
      <alignment/>
    </xf>
    <xf numFmtId="0" fontId="0" fillId="0" borderId="6" xfId="0" applyBorder="1" applyAlignment="1">
      <alignment/>
    </xf>
    <xf numFmtId="0" fontId="6" fillId="16" borderId="7" xfId="0" applyFont="1" applyFill="1" applyBorder="1" applyAlignment="1" applyProtection="1">
      <alignment vertical="center"/>
      <protection/>
    </xf>
    <xf numFmtId="0" fontId="0" fillId="29" borderId="24" xfId="0" applyFill="1" applyBorder="1" applyAlignment="1">
      <alignment/>
    </xf>
    <xf numFmtId="0" fontId="0" fillId="29" borderId="44" xfId="0" applyFill="1" applyBorder="1" applyAlignment="1">
      <alignment/>
    </xf>
    <xf numFmtId="0" fontId="9" fillId="4" borderId="23" xfId="0" applyFont="1" applyFill="1" applyBorder="1" applyAlignment="1" applyProtection="1">
      <alignment vertical="center" wrapText="1"/>
      <protection/>
    </xf>
    <xf numFmtId="0" fontId="9" fillId="4" borderId="72" xfId="0" applyFont="1" applyFill="1" applyBorder="1" applyAlignment="1" applyProtection="1">
      <alignment vertical="center" wrapText="1"/>
      <protection/>
    </xf>
    <xf numFmtId="0" fontId="6" fillId="4" borderId="7" xfId="0" applyFont="1" applyFill="1" applyBorder="1" applyAlignment="1" applyProtection="1">
      <alignment vertical="center"/>
      <protection/>
    </xf>
    <xf numFmtId="0" fontId="0" fillId="0" borderId="24" xfId="0" applyBorder="1" applyAlignment="1">
      <alignment/>
    </xf>
    <xf numFmtId="0" fontId="0" fillId="0" borderId="44" xfId="0" applyBorder="1" applyAlignment="1">
      <alignment/>
    </xf>
    <xf numFmtId="0" fontId="7" fillId="4" borderId="76" xfId="0" applyFont="1" applyFill="1" applyBorder="1" applyAlignment="1" applyProtection="1">
      <alignment horizontal="center"/>
      <protection/>
    </xf>
    <xf numFmtId="0" fontId="6" fillId="7" borderId="76" xfId="0" applyFont="1" applyFill="1" applyBorder="1" applyAlignment="1" applyProtection="1">
      <alignment horizontal="center"/>
      <protection/>
    </xf>
    <xf numFmtId="0" fontId="6" fillId="0" borderId="76" xfId="0" applyFont="1" applyBorder="1" applyAlignment="1" applyProtection="1">
      <alignment horizontal="center"/>
      <protection/>
    </xf>
    <xf numFmtId="0" fontId="9" fillId="16" borderId="24" xfId="0" applyFont="1" applyFill="1" applyBorder="1" applyAlignment="1" applyProtection="1">
      <alignment vertical="center" wrapText="1"/>
      <protection/>
    </xf>
    <xf numFmtId="0" fontId="9" fillId="16" borderId="58" xfId="0" applyFont="1" applyFill="1" applyBorder="1" applyAlignment="1" applyProtection="1">
      <alignment vertical="center" wrapText="1"/>
      <protection/>
    </xf>
    <xf numFmtId="4" fontId="6" fillId="3" borderId="33" xfId="0" applyNumberFormat="1" applyFont="1" applyFill="1" applyBorder="1" applyAlignment="1" applyProtection="1">
      <alignment horizontal="center" vertical="center"/>
      <protection locked="0"/>
    </xf>
    <xf numFmtId="4" fontId="0" fillId="0" borderId="86" xfId="0" applyNumberFormat="1" applyBorder="1" applyAlignment="1">
      <alignment horizontal="center" vertical="center"/>
    </xf>
    <xf numFmtId="4" fontId="6" fillId="3" borderId="26" xfId="0" applyNumberFormat="1" applyFont="1" applyFill="1" applyBorder="1" applyAlignment="1" applyProtection="1">
      <alignment horizontal="center" vertical="center"/>
      <protection locked="0"/>
    </xf>
    <xf numFmtId="4" fontId="0" fillId="0" borderId="72" xfId="0" applyNumberFormat="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locked="0"/>
    </xf>
    <xf numFmtId="0" fontId="0" fillId="0" borderId="72" xfId="0" applyBorder="1" applyAlignment="1">
      <alignment horizontal="center" vertical="center"/>
    </xf>
    <xf numFmtId="0" fontId="7" fillId="7" borderId="76" xfId="0" applyFont="1" applyFill="1" applyBorder="1" applyAlignment="1">
      <alignment horizontal="center"/>
    </xf>
    <xf numFmtId="0" fontId="9" fillId="4" borderId="4" xfId="0" applyFont="1" applyFill="1" applyBorder="1" applyAlignment="1" applyProtection="1">
      <alignment vertical="center"/>
      <protection/>
    </xf>
    <xf numFmtId="0" fontId="0" fillId="0" borderId="22" xfId="0" applyBorder="1" applyAlignment="1">
      <alignment vertical="center"/>
    </xf>
    <xf numFmtId="0" fontId="0" fillId="0" borderId="86" xfId="0" applyBorder="1" applyAlignment="1">
      <alignment vertical="center"/>
    </xf>
    <xf numFmtId="0" fontId="9" fillId="4" borderId="23" xfId="0" applyFont="1" applyFill="1" applyBorder="1" applyAlignment="1" applyProtection="1">
      <alignment vertical="center"/>
      <protection/>
    </xf>
    <xf numFmtId="0" fontId="9" fillId="4" borderId="72" xfId="0" applyFont="1" applyFill="1" applyBorder="1" applyAlignment="1" applyProtection="1">
      <alignment vertical="center"/>
      <protection/>
    </xf>
    <xf numFmtId="3" fontId="0" fillId="0" borderId="72" xfId="0" applyNumberFormat="1" applyBorder="1" applyAlignment="1" applyProtection="1">
      <alignment horizontal="center" vertical="center"/>
      <protection locked="0"/>
    </xf>
    <xf numFmtId="3" fontId="6" fillId="3" borderId="7" xfId="0" applyNumberFormat="1" applyFont="1" applyFill="1" applyBorder="1" applyAlignment="1" applyProtection="1">
      <alignment horizontal="center" vertical="center"/>
      <protection locked="0"/>
    </xf>
    <xf numFmtId="3" fontId="0" fillId="0" borderId="58" xfId="0" applyNumberFormat="1" applyBorder="1" applyAlignment="1" applyProtection="1">
      <alignment horizontal="center" vertical="center"/>
      <protection locked="0"/>
    </xf>
    <xf numFmtId="0" fontId="9" fillId="4" borderId="23" xfId="0" applyFont="1" applyFill="1" applyBorder="1" applyAlignment="1" applyProtection="1">
      <alignment vertical="center" wrapText="1"/>
      <protection/>
    </xf>
    <xf numFmtId="0" fontId="0" fillId="0" borderId="23" xfId="0" applyBorder="1" applyAlignment="1">
      <alignment wrapText="1"/>
    </xf>
    <xf numFmtId="0" fontId="0" fillId="0" borderId="72" xfId="0" applyBorder="1" applyAlignment="1">
      <alignment wrapText="1"/>
    </xf>
    <xf numFmtId="0" fontId="9" fillId="4" borderId="23" xfId="0" applyFont="1" applyFill="1" applyBorder="1" applyAlignment="1" applyProtection="1">
      <alignment vertical="center"/>
      <protection/>
    </xf>
    <xf numFmtId="0" fontId="0" fillId="0" borderId="72" xfId="0" applyBorder="1" applyAlignment="1">
      <alignment/>
    </xf>
    <xf numFmtId="0" fontId="9" fillId="4" borderId="76" xfId="0" applyFont="1" applyFill="1" applyBorder="1" applyAlignment="1" applyProtection="1">
      <alignment horizontal="center" vertical="center"/>
      <protection/>
    </xf>
    <xf numFmtId="0" fontId="0" fillId="0" borderId="76" xfId="0" applyBorder="1" applyAlignment="1">
      <alignment vertical="center"/>
    </xf>
    <xf numFmtId="0" fontId="0" fillId="0" borderId="23" xfId="0" applyBorder="1" applyAlignment="1">
      <alignment vertical="center" wrapText="1"/>
    </xf>
    <xf numFmtId="0" fontId="0" fillId="0" borderId="72" xfId="0" applyBorder="1" applyAlignment="1">
      <alignment vertical="center" wrapText="1"/>
    </xf>
    <xf numFmtId="3" fontId="6" fillId="3" borderId="33" xfId="0" applyNumberFormat="1" applyFont="1" applyFill="1" applyBorder="1" applyAlignment="1" applyProtection="1">
      <alignment horizontal="center" vertical="center"/>
      <protection/>
    </xf>
    <xf numFmtId="3" fontId="6" fillId="3" borderId="26" xfId="0" applyNumberFormat="1" applyFont="1" applyFill="1" applyBorder="1" applyAlignment="1" applyProtection="1">
      <alignment horizontal="center" vertical="center"/>
      <protection/>
    </xf>
    <xf numFmtId="0" fontId="0" fillId="0" borderId="72" xfId="0" applyBorder="1" applyAlignment="1">
      <alignment vertical="center"/>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0" fontId="0" fillId="0" borderId="58" xfId="0" applyBorder="1" applyAlignment="1">
      <alignment vertical="center"/>
    </xf>
    <xf numFmtId="3" fontId="6" fillId="3" borderId="26" xfId="0" applyNumberFormat="1" applyFont="1" applyFill="1" applyBorder="1" applyAlignment="1" applyProtection="1">
      <alignment horizontal="center" vertical="center"/>
      <protection locked="0"/>
    </xf>
    <xf numFmtId="3" fontId="6" fillId="3" borderId="23" xfId="0" applyNumberFormat="1" applyFont="1" applyFill="1" applyBorder="1" applyAlignment="1" applyProtection="1">
      <alignment horizontal="center" vertical="center"/>
      <protection locked="0"/>
    </xf>
    <xf numFmtId="3" fontId="6" fillId="3" borderId="26"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xf>
    <xf numFmtId="3" fontId="0" fillId="0" borderId="72" xfId="0" applyNumberFormat="1" applyBorder="1" applyAlignment="1">
      <alignment horizontal="center" vertical="center"/>
    </xf>
    <xf numFmtId="3" fontId="6" fillId="3" borderId="33" xfId="0" applyNumberFormat="1" applyFont="1" applyFill="1" applyBorder="1" applyAlignment="1" applyProtection="1">
      <alignment horizontal="center" vertical="center"/>
      <protection/>
    </xf>
    <xf numFmtId="3" fontId="6" fillId="3" borderId="22" xfId="0" applyNumberFormat="1" applyFont="1" applyFill="1" applyBorder="1" applyAlignment="1" applyProtection="1">
      <alignment horizontal="center" vertical="center"/>
      <protection/>
    </xf>
    <xf numFmtId="3" fontId="0" fillId="0" borderId="86" xfId="0" applyNumberFormat="1" applyBorder="1" applyAlignment="1">
      <alignment horizontal="center" vertical="center"/>
    </xf>
    <xf numFmtId="0" fontId="9" fillId="4" borderId="24" xfId="0" applyFont="1" applyFill="1" applyBorder="1" applyAlignment="1" applyProtection="1">
      <alignment vertical="center" wrapText="1"/>
      <protection/>
    </xf>
    <xf numFmtId="0" fontId="0" fillId="0" borderId="24" xfId="0" applyBorder="1" applyAlignment="1">
      <alignment wrapText="1"/>
    </xf>
    <xf numFmtId="0" fontId="0" fillId="0" borderId="58" xfId="0" applyBorder="1" applyAlignment="1">
      <alignment wrapText="1"/>
    </xf>
    <xf numFmtId="0" fontId="6" fillId="4" borderId="26" xfId="0" applyFont="1" applyFill="1" applyBorder="1" applyAlignment="1" applyProtection="1">
      <alignment horizontal="center" vertical="center"/>
      <protection/>
    </xf>
    <xf numFmtId="0" fontId="0" fillId="7" borderId="23" xfId="0" applyFill="1" applyBorder="1" applyAlignment="1">
      <alignment/>
    </xf>
    <xf numFmtId="0" fontId="0" fillId="7" borderId="43" xfId="0" applyFill="1" applyBorder="1" applyAlignment="1">
      <alignment/>
    </xf>
    <xf numFmtId="0" fontId="0" fillId="0" borderId="58" xfId="0" applyBorder="1" applyAlignment="1">
      <alignment horizontal="center" vertical="center"/>
    </xf>
    <xf numFmtId="0" fontId="9" fillId="4" borderId="33" xfId="0" applyFont="1" applyFill="1" applyBorder="1" applyAlignment="1" applyProtection="1">
      <alignment horizontal="center" vertical="center"/>
      <protection/>
    </xf>
    <xf numFmtId="0" fontId="0" fillId="0" borderId="6" xfId="0" applyBorder="1" applyAlignment="1">
      <alignment horizontal="center" vertical="center"/>
    </xf>
    <xf numFmtId="0" fontId="6" fillId="4" borderId="7" xfId="0" applyFont="1" applyFill="1" applyBorder="1" applyAlignment="1" applyProtection="1">
      <alignment horizontal="center" vertical="center"/>
      <protection/>
    </xf>
    <xf numFmtId="0" fontId="0" fillId="7" borderId="24" xfId="0" applyFill="1" applyBorder="1" applyAlignment="1">
      <alignment/>
    </xf>
    <xf numFmtId="0" fontId="0" fillId="7" borderId="44" xfId="0" applyFill="1" applyBorder="1" applyAlignment="1">
      <alignment/>
    </xf>
    <xf numFmtId="0" fontId="6" fillId="4" borderId="33" xfId="0" applyFont="1" applyFill="1" applyBorder="1" applyAlignment="1" applyProtection="1">
      <alignment horizontal="center" vertical="center"/>
      <protection/>
    </xf>
    <xf numFmtId="0" fontId="0" fillId="7" borderId="22" xfId="0" applyFill="1" applyBorder="1" applyAlignment="1">
      <alignment/>
    </xf>
    <xf numFmtId="0" fontId="0" fillId="7" borderId="6" xfId="0" applyFill="1" applyBorder="1" applyAlignment="1">
      <alignment/>
    </xf>
    <xf numFmtId="0" fontId="14" fillId="4" borderId="0" xfId="0" applyFont="1" applyFill="1" applyBorder="1" applyAlignment="1" applyProtection="1">
      <alignment horizontal="left"/>
      <protection/>
    </xf>
    <xf numFmtId="0" fontId="28" fillId="7" borderId="0" xfId="0" applyFont="1" applyFill="1" applyBorder="1" applyAlignment="1" applyProtection="1">
      <alignment horizontal="left"/>
      <protection/>
    </xf>
    <xf numFmtId="0" fontId="28" fillId="0" borderId="0" xfId="0" applyFont="1" applyAlignment="1" applyProtection="1">
      <alignment horizontal="left"/>
      <protection/>
    </xf>
    <xf numFmtId="0" fontId="6" fillId="4" borderId="43" xfId="0" applyFont="1" applyFill="1" applyBorder="1" applyAlignment="1" applyProtection="1">
      <alignment vertical="center"/>
      <protection/>
    </xf>
    <xf numFmtId="3" fontId="6" fillId="3" borderId="7" xfId="0" applyNumberFormat="1" applyFont="1" applyFill="1" applyBorder="1" applyAlignment="1" applyProtection="1">
      <alignment horizontal="center" vertical="center"/>
      <protection/>
    </xf>
    <xf numFmtId="3" fontId="6" fillId="3" borderId="24" xfId="0" applyNumberFormat="1" applyFont="1" applyFill="1" applyBorder="1" applyAlignment="1" applyProtection="1">
      <alignment horizontal="center" vertical="center"/>
      <protection/>
    </xf>
    <xf numFmtId="3" fontId="0" fillId="0" borderId="58" xfId="0" applyNumberFormat="1" applyBorder="1" applyAlignment="1">
      <alignment horizontal="center" vertical="center"/>
    </xf>
    <xf numFmtId="3" fontId="6" fillId="3" borderId="7"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locked="0"/>
    </xf>
    <xf numFmtId="0" fontId="0" fillId="0" borderId="43" xfId="0" applyBorder="1" applyAlignment="1">
      <alignment vertical="center"/>
    </xf>
    <xf numFmtId="0" fontId="7" fillId="4" borderId="0" xfId="0" applyFont="1" applyFill="1" applyBorder="1" applyAlignment="1" applyProtection="1">
      <alignment horizontal="center"/>
      <protection/>
    </xf>
    <xf numFmtId="0" fontId="0" fillId="7" borderId="0" xfId="0" applyFill="1" applyBorder="1" applyAlignment="1" applyProtection="1">
      <alignment horizontal="center"/>
      <protection/>
    </xf>
    <xf numFmtId="0" fontId="0" fillId="0" borderId="0" xfId="0" applyAlignment="1" applyProtection="1">
      <alignment/>
      <protection/>
    </xf>
    <xf numFmtId="0" fontId="7" fillId="4" borderId="0" xfId="0" applyFont="1" applyFill="1" applyBorder="1" applyAlignment="1">
      <alignment horizontal="center"/>
    </xf>
    <xf numFmtId="0" fontId="9" fillId="4" borderId="22" xfId="0" applyFont="1" applyFill="1" applyBorder="1" applyAlignment="1" applyProtection="1">
      <alignment vertical="center" wrapText="1"/>
      <protection/>
    </xf>
    <xf numFmtId="0" fontId="0" fillId="0" borderId="22" xfId="0" applyBorder="1" applyAlignment="1">
      <alignment vertical="center" wrapText="1"/>
    </xf>
    <xf numFmtId="0" fontId="0" fillId="0" borderId="86" xfId="0" applyBorder="1" applyAlignment="1">
      <alignment vertical="center" wrapText="1"/>
    </xf>
    <xf numFmtId="0" fontId="9" fillId="4" borderId="4" xfId="0" applyFont="1" applyFill="1" applyBorder="1" applyAlignment="1" applyProtection="1">
      <alignment horizontal="center"/>
      <protection/>
    </xf>
    <xf numFmtId="0" fontId="9" fillId="4" borderId="22" xfId="0" applyFont="1" applyFill="1" applyBorder="1" applyAlignment="1" applyProtection="1">
      <alignment horizontal="center"/>
      <protection/>
    </xf>
    <xf numFmtId="0" fontId="9" fillId="4" borderId="86" xfId="0" applyFont="1" applyFill="1" applyBorder="1" applyAlignment="1" applyProtection="1">
      <alignment horizontal="center"/>
      <protection/>
    </xf>
    <xf numFmtId="0" fontId="9" fillId="4" borderId="27" xfId="0" applyFont="1" applyFill="1" applyBorder="1" applyAlignment="1" applyProtection="1">
      <alignment horizontal="center"/>
      <protection/>
    </xf>
    <xf numFmtId="0" fontId="9" fillId="4" borderId="36" xfId="0" applyFont="1" applyFill="1" applyBorder="1" applyAlignment="1" applyProtection="1">
      <alignment horizontal="center"/>
      <protection/>
    </xf>
    <xf numFmtId="0" fontId="9" fillId="3" borderId="7" xfId="0" applyFont="1" applyFill="1" applyBorder="1" applyAlignment="1" applyProtection="1">
      <alignment vertical="center"/>
      <protection locked="0"/>
    </xf>
    <xf numFmtId="0" fontId="0" fillId="0" borderId="24" xfId="0" applyBorder="1" applyAlignment="1">
      <alignment vertical="center"/>
    </xf>
    <xf numFmtId="0" fontId="9" fillId="4" borderId="25" xfId="0" applyFont="1" applyFill="1" applyBorder="1" applyAlignment="1" applyProtection="1">
      <alignment vertical="center" wrapText="1"/>
      <protection/>
    </xf>
    <xf numFmtId="0" fontId="12" fillId="0" borderId="25" xfId="0" applyFont="1" applyBorder="1" applyAlignment="1">
      <alignment/>
    </xf>
    <xf numFmtId="0" fontId="12" fillId="0" borderId="84" xfId="0" applyFont="1" applyBorder="1" applyAlignment="1">
      <alignment/>
    </xf>
    <xf numFmtId="0" fontId="9" fillId="4" borderId="72" xfId="0" applyFont="1" applyFill="1" applyBorder="1" applyAlignment="1" applyProtection="1">
      <alignment vertical="center" wrapText="1"/>
      <protection/>
    </xf>
    <xf numFmtId="0" fontId="9" fillId="4" borderId="2" xfId="0" applyFont="1" applyFill="1" applyBorder="1" applyAlignment="1" applyProtection="1">
      <alignment horizontal="center"/>
      <protection/>
    </xf>
    <xf numFmtId="0" fontId="9" fillId="4" borderId="26" xfId="0" applyFont="1" applyFill="1" applyBorder="1" applyAlignment="1" applyProtection="1">
      <alignment horizontal="center"/>
      <protection/>
    </xf>
    <xf numFmtId="0" fontId="0" fillId="0" borderId="1" xfId="0" applyBorder="1" applyAlignment="1" applyProtection="1">
      <alignment/>
      <protection/>
    </xf>
    <xf numFmtId="0" fontId="9" fillId="4" borderId="86" xfId="0" applyFont="1" applyFill="1" applyBorder="1" applyAlignment="1" applyProtection="1">
      <alignment vertical="center" wrapText="1"/>
      <protection/>
    </xf>
    <xf numFmtId="0" fontId="9" fillId="4" borderId="23" xfId="0" applyFont="1" applyFill="1" applyBorder="1" applyAlignment="1" applyProtection="1">
      <alignment vertical="center" wrapText="1" shrinkToFit="1"/>
      <protection/>
    </xf>
    <xf numFmtId="0" fontId="9" fillId="4" borderId="72" xfId="0" applyFont="1" applyFill="1" applyBorder="1" applyAlignment="1" applyProtection="1">
      <alignment vertical="center" wrapText="1" shrinkToFit="1"/>
      <protection/>
    </xf>
    <xf numFmtId="0" fontId="9" fillId="4" borderId="65" xfId="0" applyFont="1" applyFill="1" applyBorder="1" applyAlignment="1">
      <alignment horizontal="center" vertical="center"/>
    </xf>
    <xf numFmtId="0" fontId="0" fillId="0" borderId="92" xfId="0" applyBorder="1" applyAlignment="1">
      <alignment horizontal="center" vertical="center"/>
    </xf>
    <xf numFmtId="0" fontId="0" fillId="0" borderId="47" xfId="0" applyBorder="1" applyAlignment="1">
      <alignment horizontal="center" vertical="center"/>
    </xf>
    <xf numFmtId="0" fontId="0" fillId="0" borderId="82" xfId="0" applyBorder="1" applyAlignment="1">
      <alignment horizontal="center" vertical="center"/>
    </xf>
    <xf numFmtId="0" fontId="9" fillId="16" borderId="3" xfId="0" applyFont="1" applyFill="1" applyBorder="1" applyAlignment="1" applyProtection="1">
      <alignment horizontal="center"/>
      <protection/>
    </xf>
    <xf numFmtId="0" fontId="9" fillId="16" borderId="7" xfId="0" applyFont="1" applyFill="1" applyBorder="1" applyAlignment="1" applyProtection="1">
      <alignment horizontal="center"/>
      <protection/>
    </xf>
    <xf numFmtId="0" fontId="0" fillId="29" borderId="9" xfId="0" applyFill="1" applyBorder="1" applyAlignment="1" applyProtection="1">
      <alignment/>
      <protection/>
    </xf>
    <xf numFmtId="0" fontId="9" fillId="4" borderId="3" xfId="0" applyFont="1" applyFill="1" applyBorder="1" applyAlignment="1" applyProtection="1">
      <alignment horizontal="center"/>
      <protection/>
    </xf>
    <xf numFmtId="0" fontId="9" fillId="4" borderId="7" xfId="0" applyFont="1" applyFill="1" applyBorder="1" applyAlignment="1" applyProtection="1">
      <alignment horizontal="center"/>
      <protection/>
    </xf>
    <xf numFmtId="0" fontId="0" fillId="0" borderId="9" xfId="0" applyBorder="1" applyAlignment="1" applyProtection="1">
      <alignment/>
      <protection/>
    </xf>
    <xf numFmtId="0" fontId="9" fillId="4" borderId="24" xfId="0" applyFont="1" applyFill="1" applyBorder="1" applyAlignment="1" applyProtection="1">
      <alignment vertical="center"/>
      <protection/>
    </xf>
    <xf numFmtId="0" fontId="9" fillId="4" borderId="58" xfId="0" applyFont="1" applyFill="1" applyBorder="1" applyAlignment="1" applyProtection="1">
      <alignment vertical="center"/>
      <protection/>
    </xf>
    <xf numFmtId="0" fontId="9" fillId="4" borderId="33" xfId="0" applyFont="1" applyFill="1" applyBorder="1" applyAlignment="1" applyProtection="1">
      <alignment horizontal="center"/>
      <protection/>
    </xf>
    <xf numFmtId="0" fontId="0" fillId="0" borderId="36" xfId="0" applyBorder="1" applyAlignment="1" applyProtection="1">
      <alignment/>
      <protection/>
    </xf>
    <xf numFmtId="0" fontId="7" fillId="4" borderId="20" xfId="0" applyFont="1" applyFill="1" applyBorder="1" applyAlignment="1" applyProtection="1">
      <alignment horizontal="center"/>
      <protection/>
    </xf>
    <xf numFmtId="0" fontId="0" fillId="0" borderId="20" xfId="0" applyBorder="1" applyAlignment="1">
      <alignment horizontal="center"/>
    </xf>
    <xf numFmtId="0" fontId="9" fillId="16" borderId="24" xfId="0" applyFont="1" applyFill="1" applyBorder="1" applyAlignment="1" applyProtection="1">
      <alignment vertical="center"/>
      <protection/>
    </xf>
    <xf numFmtId="0" fontId="9" fillId="16" borderId="58" xfId="0" applyFont="1" applyFill="1" applyBorder="1" applyAlignment="1" applyProtection="1">
      <alignment vertical="center"/>
      <protection/>
    </xf>
    <xf numFmtId="3" fontId="6" fillId="3" borderId="72" xfId="0" applyNumberFormat="1" applyFont="1" applyFill="1" applyBorder="1" applyAlignment="1" applyProtection="1">
      <alignment horizontal="center" vertical="center"/>
      <protection locked="0"/>
    </xf>
    <xf numFmtId="3" fontId="6" fillId="3" borderId="58" xfId="0" applyNumberFormat="1" applyFont="1" applyFill="1" applyBorder="1" applyAlignment="1" applyProtection="1">
      <alignment horizontal="center" vertical="center"/>
      <protection locked="0"/>
    </xf>
    <xf numFmtId="3" fontId="6" fillId="3" borderId="33" xfId="0" applyNumberFormat="1" applyFont="1" applyFill="1" applyBorder="1" applyAlignment="1" applyProtection="1">
      <alignment horizontal="center" vertical="center"/>
      <protection locked="0"/>
    </xf>
    <xf numFmtId="3" fontId="6" fillId="3" borderId="22" xfId="0" applyNumberFormat="1" applyFont="1" applyFill="1" applyBorder="1" applyAlignment="1" applyProtection="1">
      <alignment horizontal="center" vertical="center"/>
      <protection locked="0"/>
    </xf>
    <xf numFmtId="3" fontId="6" fillId="3" borderId="86" xfId="0" applyNumberFormat="1" applyFont="1" applyFill="1" applyBorder="1" applyAlignment="1" applyProtection="1">
      <alignment horizontal="center" vertical="center"/>
      <protection locked="0"/>
    </xf>
    <xf numFmtId="0" fontId="6" fillId="3" borderId="2" xfId="0" applyFont="1" applyFill="1" applyBorder="1" applyAlignment="1" applyProtection="1">
      <alignment vertical="center"/>
      <protection locked="0"/>
    </xf>
    <xf numFmtId="0" fontId="0" fillId="0" borderId="2" xfId="0" applyBorder="1" applyAlignment="1" applyProtection="1">
      <alignment vertical="center"/>
      <protection locked="0"/>
    </xf>
    <xf numFmtId="0" fontId="9" fillId="4" borderId="2" xfId="0" applyFont="1" applyFill="1" applyBorder="1" applyAlignment="1">
      <alignment horizontal="center" vertical="center"/>
    </xf>
    <xf numFmtId="49" fontId="6" fillId="3" borderId="2" xfId="0" applyNumberFormat="1" applyFont="1" applyFill="1" applyBorder="1" applyAlignment="1" applyProtection="1">
      <alignment horizontal="center" vertical="center"/>
      <protection locked="0"/>
    </xf>
    <xf numFmtId="0" fontId="6" fillId="4" borderId="3" xfId="0" applyFont="1" applyFill="1" applyBorder="1" applyAlignment="1" applyProtection="1">
      <alignment vertical="center"/>
      <protection/>
    </xf>
    <xf numFmtId="0" fontId="0" fillId="7" borderId="3" xfId="0" applyFill="1" applyBorder="1" applyAlignment="1">
      <alignment vertical="center"/>
    </xf>
    <xf numFmtId="0" fontId="9" fillId="4" borderId="20" xfId="0" applyFont="1" applyFill="1" applyBorder="1" applyAlignment="1" applyProtection="1">
      <alignment horizontal="center" vertical="center"/>
      <protection/>
    </xf>
    <xf numFmtId="0" fontId="0" fillId="0" borderId="20" xfId="0" applyBorder="1" applyAlignment="1">
      <alignment/>
    </xf>
    <xf numFmtId="3" fontId="6" fillId="3" borderId="23" xfId="0" applyNumberFormat="1" applyFont="1" applyFill="1" applyBorder="1" applyAlignment="1" applyProtection="1">
      <alignment horizontal="center" vertical="center"/>
      <protection/>
    </xf>
    <xf numFmtId="3" fontId="6" fillId="3" borderId="72" xfId="0" applyNumberFormat="1" applyFont="1" applyFill="1" applyBorder="1" applyAlignment="1" applyProtection="1">
      <alignment horizontal="center" vertical="center"/>
      <protection/>
    </xf>
    <xf numFmtId="3" fontId="6" fillId="3" borderId="23" xfId="0" applyNumberFormat="1" applyFont="1" applyFill="1" applyBorder="1" applyAlignment="1" applyProtection="1">
      <alignment horizontal="center" vertical="center"/>
      <protection locked="0"/>
    </xf>
    <xf numFmtId="3" fontId="6" fillId="3" borderId="72" xfId="0" applyNumberFormat="1" applyFont="1" applyFill="1" applyBorder="1" applyAlignment="1" applyProtection="1">
      <alignment horizontal="center" vertical="center"/>
      <protection locked="0"/>
    </xf>
    <xf numFmtId="3" fontId="6" fillId="3" borderId="24" xfId="0" applyNumberFormat="1" applyFont="1" applyFill="1" applyBorder="1" applyAlignment="1" applyProtection="1">
      <alignment horizontal="center" vertical="center"/>
      <protection/>
    </xf>
    <xf numFmtId="3" fontId="6" fillId="3" borderId="58" xfId="0" applyNumberFormat="1" applyFont="1" applyFill="1" applyBorder="1" applyAlignment="1" applyProtection="1">
      <alignment horizontal="center" vertical="center"/>
      <protection/>
    </xf>
    <xf numFmtId="0" fontId="0" fillId="0" borderId="2" xfId="0" applyBorder="1" applyAlignment="1" applyProtection="1">
      <alignment horizontal="center" vertical="center"/>
      <protection locked="0"/>
    </xf>
    <xf numFmtId="0" fontId="9" fillId="4" borderId="92" xfId="0" applyFont="1" applyFill="1" applyBorder="1" applyAlignment="1">
      <alignment horizontal="center" vertical="center"/>
    </xf>
    <xf numFmtId="0" fontId="12" fillId="7" borderId="33" xfId="0" applyFont="1" applyFill="1" applyBorder="1" applyAlignment="1">
      <alignment horizontal="center" vertical="center" wrapText="1"/>
    </xf>
    <xf numFmtId="0" fontId="0" fillId="0" borderId="86" xfId="0" applyBorder="1" applyAlignment="1">
      <alignment horizontal="center" vertical="center" wrapText="1"/>
    </xf>
    <xf numFmtId="0" fontId="12" fillId="7" borderId="26" xfId="0" applyFont="1" applyFill="1" applyBorder="1" applyAlignment="1">
      <alignment horizontal="center" vertical="center"/>
    </xf>
    <xf numFmtId="0" fontId="0" fillId="0" borderId="72" xfId="0" applyBorder="1" applyAlignment="1">
      <alignment horizontal="center" vertical="center"/>
    </xf>
    <xf numFmtId="0" fontId="6" fillId="4" borderId="23" xfId="0" applyFont="1" applyFill="1" applyBorder="1" applyAlignment="1" applyProtection="1">
      <alignment vertical="center"/>
      <protection/>
    </xf>
    <xf numFmtId="0" fontId="0" fillId="7" borderId="43" xfId="0" applyFill="1" applyBorder="1" applyAlignment="1" applyProtection="1">
      <alignment vertical="center"/>
      <protection/>
    </xf>
    <xf numFmtId="3" fontId="6" fillId="3" borderId="58" xfId="0" applyNumberFormat="1" applyFont="1" applyFill="1" applyBorder="1" applyAlignment="1" applyProtection="1">
      <alignment horizontal="center" vertical="center"/>
      <protection/>
    </xf>
    <xf numFmtId="0" fontId="8" fillId="4" borderId="0" xfId="0" applyFont="1" applyFill="1" applyBorder="1" applyAlignment="1">
      <alignment/>
    </xf>
    <xf numFmtId="0" fontId="8" fillId="4" borderId="42" xfId="0" applyFont="1" applyFill="1" applyBorder="1" applyAlignment="1">
      <alignment/>
    </xf>
    <xf numFmtId="0" fontId="9" fillId="4" borderId="22" xfId="0" applyFont="1" applyFill="1" applyBorder="1" applyAlignment="1" applyProtection="1">
      <alignment horizontal="center" vertical="center"/>
      <protection/>
    </xf>
    <xf numFmtId="0" fontId="9" fillId="4" borderId="16" xfId="0" applyFont="1" applyFill="1" applyBorder="1" applyAlignment="1" applyProtection="1">
      <alignment vertical="center" wrapText="1"/>
      <protection/>
    </xf>
    <xf numFmtId="0" fontId="0" fillId="0" borderId="57" xfId="0" applyBorder="1" applyAlignment="1" applyProtection="1">
      <alignment vertical="center" wrapText="1"/>
      <protection/>
    </xf>
    <xf numFmtId="0" fontId="0" fillId="0" borderId="39" xfId="0" applyFont="1" applyBorder="1" applyAlignment="1" applyProtection="1">
      <alignment vertical="center"/>
      <protection locked="0"/>
    </xf>
    <xf numFmtId="0" fontId="0" fillId="0" borderId="20" xfId="0" applyBorder="1" applyAlignment="1" applyProtection="1">
      <alignment vertical="center"/>
      <protection locked="0"/>
    </xf>
    <xf numFmtId="0" fontId="0" fillId="0" borderId="57" xfId="0" applyBorder="1" applyAlignment="1" applyProtection="1">
      <alignment vertical="center"/>
      <protection locked="0"/>
    </xf>
    <xf numFmtId="49" fontId="6" fillId="3" borderId="39" xfId="0" applyNumberFormat="1" applyFont="1" applyFill="1" applyBorder="1" applyAlignment="1" applyProtection="1">
      <alignment horizontal="center" vertical="center"/>
      <protection locked="0"/>
    </xf>
    <xf numFmtId="49" fontId="6" fillId="3" borderId="20" xfId="0" applyNumberFormat="1" applyFont="1" applyFill="1" applyBorder="1" applyAlignment="1" applyProtection="1">
      <alignment horizontal="center" vertical="center"/>
      <protection locked="0"/>
    </xf>
    <xf numFmtId="0" fontId="0" fillId="0" borderId="18" xfId="0" applyBorder="1" applyAlignment="1" applyProtection="1">
      <alignment horizontal="center" vertical="center"/>
      <protection locked="0"/>
    </xf>
    <xf numFmtId="49" fontId="6" fillId="4" borderId="3" xfId="0" applyNumberFormat="1" applyFont="1" applyFill="1" applyBorder="1" applyAlignment="1" applyProtection="1">
      <alignment horizontal="center" vertical="center"/>
      <protection/>
    </xf>
    <xf numFmtId="0" fontId="0" fillId="0" borderId="6" xfId="0" applyBorder="1" applyAlignment="1">
      <alignment horizontal="center" vertical="center" wrapText="1"/>
    </xf>
    <xf numFmtId="0" fontId="9" fillId="4" borderId="72" xfId="0" applyFont="1" applyFill="1" applyBorder="1" applyAlignment="1" applyProtection="1">
      <alignment vertical="center"/>
      <protection/>
    </xf>
    <xf numFmtId="0" fontId="9" fillId="4" borderId="24" xfId="0" applyFont="1" applyFill="1" applyBorder="1" applyAlignment="1" applyProtection="1">
      <alignment vertical="center" wrapText="1" shrinkToFit="1"/>
      <protection/>
    </xf>
    <xf numFmtId="0" fontId="9" fillId="4" borderId="58" xfId="0" applyFont="1" applyFill="1" applyBorder="1" applyAlignment="1" applyProtection="1">
      <alignment vertical="center" wrapText="1" shrinkToFit="1"/>
      <protection/>
    </xf>
    <xf numFmtId="0" fontId="0" fillId="0" borderId="22" xfId="0" applyBorder="1" applyAlignment="1">
      <alignment horizontal="center" vertical="center"/>
    </xf>
    <xf numFmtId="0" fontId="0" fillId="0" borderId="23" xfId="0" applyBorder="1" applyAlignment="1" applyProtection="1">
      <alignment horizontal="center" vertical="center"/>
      <protection locked="0"/>
    </xf>
    <xf numFmtId="0" fontId="9" fillId="4" borderId="39" xfId="0" applyFont="1" applyFill="1" applyBorder="1" applyAlignment="1">
      <alignment horizontal="center" vertical="center"/>
    </xf>
    <xf numFmtId="0" fontId="9" fillId="4" borderId="57" xfId="0" applyFont="1" applyFill="1" applyBorder="1" applyAlignment="1">
      <alignment horizontal="center" vertical="center"/>
    </xf>
    <xf numFmtId="0" fontId="6" fillId="4" borderId="24" xfId="0" applyFont="1" applyFill="1" applyBorder="1" applyAlignment="1" applyProtection="1">
      <alignment vertical="center"/>
      <protection/>
    </xf>
    <xf numFmtId="0" fontId="0" fillId="7" borderId="44" xfId="0" applyFill="1" applyBorder="1" applyAlignment="1" applyProtection="1">
      <alignment vertical="center"/>
      <protection/>
    </xf>
    <xf numFmtId="0" fontId="8" fillId="4" borderId="0" xfId="0" applyFont="1" applyFill="1" applyBorder="1" applyAlignment="1" applyProtection="1">
      <alignment horizontal="left"/>
      <protection/>
    </xf>
    <xf numFmtId="0" fontId="12" fillId="0" borderId="0" xfId="0" applyFont="1" applyBorder="1" applyAlignment="1">
      <alignment horizontal="left"/>
    </xf>
    <xf numFmtId="0" fontId="0" fillId="0" borderId="2" xfId="0" applyBorder="1" applyAlignment="1">
      <alignment horizontal="center" vertical="center"/>
    </xf>
    <xf numFmtId="0" fontId="9" fillId="4" borderId="63" xfId="0" applyFont="1" applyFill="1" applyBorder="1" applyAlignment="1">
      <alignment horizontal="center" vertical="center"/>
    </xf>
    <xf numFmtId="0" fontId="9" fillId="4" borderId="93" xfId="0" applyFont="1" applyFill="1" applyBorder="1" applyAlignment="1">
      <alignment horizontal="center" vertical="center"/>
    </xf>
    <xf numFmtId="0" fontId="0" fillId="0" borderId="30" xfId="0" applyBorder="1" applyAlignment="1">
      <alignment horizontal="center" vertical="center"/>
    </xf>
    <xf numFmtId="0" fontId="0" fillId="0" borderId="43" xfId="0" applyBorder="1" applyAlignment="1">
      <alignment horizontal="center" vertical="center"/>
    </xf>
    <xf numFmtId="0" fontId="9" fillId="4" borderId="24" xfId="0" applyFont="1" applyFill="1" applyBorder="1" applyAlignment="1" applyProtection="1">
      <alignment vertical="center" wrapText="1"/>
      <protection/>
    </xf>
    <xf numFmtId="0" fontId="9" fillId="4" borderId="58" xfId="0" applyFont="1" applyFill="1" applyBorder="1" applyAlignment="1" applyProtection="1">
      <alignment vertical="center" wrapText="1"/>
      <protection/>
    </xf>
    <xf numFmtId="0" fontId="9" fillId="4" borderId="22" xfId="0" applyFont="1" applyFill="1" applyBorder="1" applyAlignment="1" applyProtection="1">
      <alignment vertical="center" wrapText="1" shrinkToFit="1"/>
      <protection/>
    </xf>
    <xf numFmtId="0" fontId="9" fillId="4" borderId="86" xfId="0" applyFont="1" applyFill="1" applyBorder="1" applyAlignment="1" applyProtection="1">
      <alignment vertical="center" wrapText="1" shrinkToFit="1"/>
      <protection/>
    </xf>
    <xf numFmtId="3" fontId="6" fillId="3" borderId="72" xfId="0" applyNumberFormat="1" applyFont="1" applyFill="1" applyBorder="1" applyAlignment="1" applyProtection="1">
      <alignment horizontal="center" vertical="center"/>
      <protection/>
    </xf>
    <xf numFmtId="0" fontId="6" fillId="0" borderId="8" xfId="0" applyFont="1" applyFill="1" applyBorder="1" applyAlignment="1" applyProtection="1">
      <alignment horizontal="left" vertical="center"/>
      <protection locked="0"/>
    </xf>
    <xf numFmtId="0" fontId="0" fillId="0" borderId="23" xfId="0" applyFont="1" applyBorder="1" applyAlignment="1" applyProtection="1">
      <alignment horizontal="left" vertical="center"/>
      <protection locked="0"/>
    </xf>
    <xf numFmtId="0" fontId="0" fillId="0" borderId="43" xfId="0" applyFont="1" applyBorder="1" applyAlignment="1" applyProtection="1">
      <alignment horizontal="left" vertical="center"/>
      <protection locked="0"/>
    </xf>
    <xf numFmtId="0" fontId="9" fillId="4" borderId="8" xfId="0" applyFont="1" applyFill="1" applyBorder="1" applyAlignment="1" applyProtection="1">
      <alignment vertical="center" wrapText="1" shrinkToFit="1"/>
      <protection/>
    </xf>
    <xf numFmtId="0" fontId="12" fillId="0" borderId="23" xfId="0" applyFont="1" applyBorder="1" applyAlignment="1">
      <alignment vertical="center" wrapText="1" shrinkToFit="1"/>
    </xf>
    <xf numFmtId="0" fontId="12" fillId="0" borderId="23" xfId="0" applyFont="1" applyBorder="1" applyAlignment="1">
      <alignment vertical="center"/>
    </xf>
    <xf numFmtId="0" fontId="12" fillId="0" borderId="72" xfId="0" applyFont="1" applyBorder="1" applyAlignment="1">
      <alignment vertical="center"/>
    </xf>
    <xf numFmtId="0" fontId="0" fillId="7" borderId="40" xfId="0" applyFill="1" applyBorder="1" applyAlignment="1">
      <alignment/>
    </xf>
    <xf numFmtId="0" fontId="14" fillId="4" borderId="0" xfId="0" applyFont="1" applyFill="1" applyAlignment="1" applyProtection="1">
      <alignment/>
      <protection/>
    </xf>
    <xf numFmtId="0" fontId="10" fillId="4" borderId="78" xfId="0" applyFont="1" applyFill="1" applyBorder="1" applyAlignment="1" applyProtection="1">
      <alignment/>
      <protection/>
    </xf>
    <xf numFmtId="0" fontId="0" fillId="0" borderId="79" xfId="0" applyBorder="1" applyAlignment="1">
      <alignment/>
    </xf>
    <xf numFmtId="0" fontId="15" fillId="3" borderId="19" xfId="0" applyFont="1" applyFill="1" applyBorder="1" applyAlignment="1" applyProtection="1">
      <alignment/>
      <protection/>
    </xf>
    <xf numFmtId="0" fontId="0" fillId="8" borderId="0" xfId="0" applyFill="1" applyBorder="1" applyAlignment="1">
      <alignment/>
    </xf>
    <xf numFmtId="0" fontId="0" fillId="8" borderId="32" xfId="0" applyFill="1" applyBorder="1" applyAlignment="1">
      <alignment/>
    </xf>
    <xf numFmtId="0" fontId="0" fillId="8" borderId="81" xfId="0" applyFill="1" applyBorder="1" applyAlignment="1" applyProtection="1">
      <alignment horizontal="center"/>
      <protection locked="0"/>
    </xf>
    <xf numFmtId="0" fontId="7" fillId="3" borderId="75" xfId="0" applyFont="1" applyFill="1" applyBorder="1" applyAlignment="1" applyProtection="1">
      <alignment horizontal="center"/>
      <protection/>
    </xf>
    <xf numFmtId="0" fontId="0" fillId="8" borderId="76" xfId="0" applyFill="1" applyBorder="1" applyAlignment="1" applyProtection="1">
      <alignment horizontal="center"/>
      <protection/>
    </xf>
    <xf numFmtId="0" fontId="0" fillId="8" borderId="77" xfId="0" applyFill="1" applyBorder="1" applyAlignment="1" applyProtection="1">
      <alignment horizontal="center"/>
      <protection/>
    </xf>
    <xf numFmtId="0" fontId="24" fillId="4" borderId="0" xfId="0" applyFont="1" applyFill="1" applyBorder="1" applyAlignment="1" applyProtection="1">
      <alignment vertical="top" wrapText="1"/>
      <protection/>
    </xf>
    <xf numFmtId="0" fontId="21" fillId="0" borderId="0" xfId="0" applyFont="1" applyBorder="1" applyAlignment="1">
      <alignment vertical="top" wrapText="1"/>
    </xf>
    <xf numFmtId="0" fontId="9" fillId="4" borderId="83" xfId="0" applyFont="1" applyFill="1" applyBorder="1" applyAlignment="1" applyProtection="1">
      <alignment horizontal="center"/>
      <protection/>
    </xf>
    <xf numFmtId="0" fontId="15" fillId="3" borderId="78" xfId="0" applyFont="1" applyFill="1" applyBorder="1" applyAlignment="1" applyProtection="1">
      <alignment/>
      <protection/>
    </xf>
    <xf numFmtId="0" fontId="0" fillId="8" borderId="40" xfId="0" applyFill="1" applyBorder="1" applyAlignment="1">
      <alignment/>
    </xf>
    <xf numFmtId="0" fontId="0" fillId="8" borderId="79" xfId="0" applyFill="1" applyBorder="1" applyAlignment="1">
      <alignment/>
    </xf>
    <xf numFmtId="0" fontId="7" fillId="4" borderId="40" xfId="0" applyFont="1" applyFill="1" applyBorder="1" applyAlignment="1" applyProtection="1">
      <alignment horizontal="center"/>
      <protection/>
    </xf>
    <xf numFmtId="0" fontId="0" fillId="7" borderId="40" xfId="0" applyFill="1" applyBorder="1" applyAlignment="1" applyProtection="1">
      <alignment horizontal="center"/>
      <protection/>
    </xf>
    <xf numFmtId="0" fontId="0" fillId="0" borderId="81" xfId="0" applyBorder="1" applyAlignment="1" applyProtection="1">
      <alignment/>
      <protection locked="0"/>
    </xf>
    <xf numFmtId="0" fontId="0" fillId="8" borderId="81" xfId="0" applyNumberFormat="1" applyFill="1" applyBorder="1" applyAlignment="1" applyProtection="1">
      <alignment/>
      <protection locked="0"/>
    </xf>
    <xf numFmtId="49" fontId="0" fillId="8" borderId="81" xfId="0" applyNumberFormat="1" applyFill="1" applyBorder="1" applyAlignment="1" applyProtection="1">
      <alignment horizontal="center"/>
      <protection locked="0"/>
    </xf>
    <xf numFmtId="3" fontId="0" fillId="8" borderId="81" xfId="0" applyNumberFormat="1" applyFill="1" applyBorder="1" applyAlignment="1" applyProtection="1">
      <alignment horizontal="center"/>
      <protection locked="0"/>
    </xf>
    <xf numFmtId="0" fontId="0" fillId="8" borderId="94" xfId="0" applyFill="1" applyBorder="1" applyAlignment="1" applyProtection="1">
      <alignment/>
      <protection locked="0"/>
    </xf>
    <xf numFmtId="0" fontId="0" fillId="8" borderId="94" xfId="0" applyNumberFormat="1" applyFill="1" applyBorder="1" applyAlignment="1" applyProtection="1">
      <alignment horizontal="center"/>
      <protection locked="0"/>
    </xf>
    <xf numFmtId="49" fontId="0" fillId="8" borderId="0" xfId="0" applyNumberFormat="1" applyFont="1" applyFill="1" applyBorder="1" applyAlignment="1" applyProtection="1">
      <alignment horizontal="left"/>
      <protection/>
    </xf>
    <xf numFmtId="0" fontId="0" fillId="8" borderId="83" xfId="0" applyFill="1" applyBorder="1" applyAlignment="1" applyProtection="1">
      <alignment vertical="center"/>
      <protection locked="0"/>
    </xf>
    <xf numFmtId="0" fontId="0" fillId="8" borderId="25" xfId="0" applyFill="1" applyBorder="1" applyAlignment="1" applyProtection="1">
      <alignment vertical="center"/>
      <protection locked="0"/>
    </xf>
    <xf numFmtId="0" fontId="0" fillId="8" borderId="95" xfId="0" applyFill="1" applyBorder="1" applyAlignment="1" applyProtection="1">
      <alignment vertical="center"/>
      <protection locked="0"/>
    </xf>
    <xf numFmtId="0" fontId="0" fillId="8" borderId="47" xfId="0" applyFill="1" applyBorder="1" applyAlignment="1" applyProtection="1">
      <alignment vertical="center"/>
      <protection locked="0"/>
    </xf>
    <xf numFmtId="0" fontId="0" fillId="8" borderId="42" xfId="0" applyFill="1" applyBorder="1" applyAlignment="1" applyProtection="1">
      <alignment vertical="center"/>
      <protection locked="0"/>
    </xf>
    <xf numFmtId="0" fontId="0" fillId="8" borderId="48" xfId="0" applyFill="1" applyBorder="1" applyAlignment="1" applyProtection="1">
      <alignment vertical="center"/>
      <protection locked="0"/>
    </xf>
    <xf numFmtId="0" fontId="12" fillId="8" borderId="0" xfId="0" applyFont="1" applyFill="1" applyBorder="1" applyAlignment="1" applyProtection="1">
      <alignment horizontal="center" vertical="center"/>
      <protection locked="0"/>
    </xf>
    <xf numFmtId="0" fontId="9" fillId="4" borderId="5" xfId="0" applyFont="1" applyFill="1" applyBorder="1" applyAlignment="1" applyProtection="1">
      <alignment vertical="center" wrapText="1" shrinkToFit="1"/>
      <protection/>
    </xf>
    <xf numFmtId="0" fontId="12" fillId="0" borderId="24" xfId="0" applyFont="1" applyBorder="1" applyAlignment="1">
      <alignment vertical="center" wrapText="1" shrinkToFit="1"/>
    </xf>
    <xf numFmtId="0" fontId="12" fillId="0" borderId="24" xfId="0" applyFont="1" applyBorder="1" applyAlignment="1">
      <alignment vertical="center"/>
    </xf>
    <xf numFmtId="0" fontId="12" fillId="0" borderId="58" xfId="0" applyFont="1" applyBorder="1" applyAlignment="1">
      <alignment vertical="center"/>
    </xf>
    <xf numFmtId="0" fontId="7" fillId="4" borderId="76" xfId="0" applyFont="1" applyFill="1" applyBorder="1" applyAlignment="1" applyProtection="1">
      <alignment horizontal="center" vertical="center" wrapText="1"/>
      <protection/>
    </xf>
    <xf numFmtId="0" fontId="0" fillId="0" borderId="76" xfId="0" applyFont="1" applyBorder="1" applyAlignment="1">
      <alignment horizontal="center" vertical="center" wrapText="1"/>
    </xf>
    <xf numFmtId="0" fontId="15" fillId="4" borderId="19" xfId="0" applyFont="1" applyFill="1" applyBorder="1" applyAlignment="1" applyProtection="1">
      <alignment horizontal="left" vertical="center"/>
      <protection/>
    </xf>
    <xf numFmtId="0" fontId="28" fillId="0" borderId="0" xfId="0" applyFont="1" applyBorder="1" applyAlignment="1">
      <alignment horizontal="left" vertical="center"/>
    </xf>
    <xf numFmtId="0" fontId="28" fillId="0" borderId="32" xfId="0" applyFont="1" applyBorder="1" applyAlignment="1">
      <alignment horizontal="left" vertical="center"/>
    </xf>
    <xf numFmtId="0" fontId="28" fillId="7" borderId="76" xfId="0" applyFont="1" applyFill="1" applyBorder="1" applyAlignment="1">
      <alignment horizontal="center" vertical="center"/>
    </xf>
    <xf numFmtId="0" fontId="3" fillId="0" borderId="26" xfId="0" applyFont="1" applyFill="1" applyBorder="1" applyAlignment="1" applyProtection="1">
      <alignment horizontal="center" vertical="center"/>
      <protection locked="0"/>
    </xf>
    <xf numFmtId="0" fontId="3" fillId="0" borderId="72" xfId="0" applyFont="1" applyBorder="1" applyAlignment="1" applyProtection="1">
      <alignment horizontal="center" vertical="center"/>
      <protection locked="0"/>
    </xf>
    <xf numFmtId="0" fontId="7" fillId="4" borderId="0" xfId="0" applyFont="1" applyFill="1" applyAlignment="1" applyProtection="1">
      <alignment/>
      <protection/>
    </xf>
    <xf numFmtId="0" fontId="3" fillId="0" borderId="0" xfId="0" applyFont="1" applyAlignment="1">
      <alignment/>
    </xf>
    <xf numFmtId="0" fontId="15" fillId="4" borderId="0" xfId="0" applyFont="1" applyFill="1" applyAlignment="1" applyProtection="1">
      <alignment vertical="center" wrapText="1"/>
      <protection/>
    </xf>
    <xf numFmtId="0" fontId="28" fillId="0" borderId="0" xfId="0" applyFont="1" applyAlignment="1">
      <alignment vertical="center" wrapText="1"/>
    </xf>
    <xf numFmtId="0" fontId="9" fillId="4" borderId="4" xfId="0" applyFont="1" applyFill="1" applyBorder="1" applyAlignment="1" applyProtection="1">
      <alignment vertical="center"/>
      <protection/>
    </xf>
    <xf numFmtId="0" fontId="12" fillId="0" borderId="22" xfId="0" applyFont="1" applyBorder="1" applyAlignment="1">
      <alignment vertical="center"/>
    </xf>
    <xf numFmtId="0" fontId="12" fillId="0" borderId="86" xfId="0" applyFont="1" applyBorder="1" applyAlignment="1">
      <alignment vertical="center"/>
    </xf>
    <xf numFmtId="0" fontId="15" fillId="4" borderId="78" xfId="0" applyFont="1" applyFill="1" applyBorder="1" applyAlignment="1" applyProtection="1">
      <alignment horizontal="left" vertical="center"/>
      <protection/>
    </xf>
    <xf numFmtId="0" fontId="28" fillId="0" borderId="40" xfId="0" applyFont="1" applyBorder="1" applyAlignment="1">
      <alignment horizontal="left" vertical="center"/>
    </xf>
    <xf numFmtId="0" fontId="28" fillId="0" borderId="79" xfId="0" applyFont="1" applyBorder="1" applyAlignment="1">
      <alignment horizontal="left" vertical="center"/>
    </xf>
    <xf numFmtId="0" fontId="14" fillId="4" borderId="19" xfId="0" applyFont="1" applyFill="1" applyBorder="1" applyAlignment="1" applyProtection="1">
      <alignment horizontal="left" vertical="center"/>
      <protection/>
    </xf>
    <xf numFmtId="0" fontId="14" fillId="4" borderId="19" xfId="0" applyFont="1" applyFill="1" applyBorder="1" applyAlignment="1" applyProtection="1">
      <alignment vertical="center"/>
      <protection/>
    </xf>
    <xf numFmtId="0" fontId="0" fillId="0" borderId="0" xfId="0" applyBorder="1" applyAlignment="1">
      <alignment vertical="center"/>
    </xf>
    <xf numFmtId="0" fontId="0" fillId="7" borderId="32" xfId="0" applyFill="1" applyBorder="1" applyAlignment="1">
      <alignment vertical="center"/>
    </xf>
    <xf numFmtId="0" fontId="14" fillId="4" borderId="75" xfId="0" applyFont="1" applyFill="1" applyBorder="1" applyAlignment="1" applyProtection="1">
      <alignment vertical="center"/>
      <protection/>
    </xf>
    <xf numFmtId="0" fontId="7" fillId="4" borderId="0" xfId="0" applyFont="1" applyFill="1" applyAlignment="1" applyProtection="1">
      <alignment horizontal="center"/>
      <protection/>
    </xf>
    <xf numFmtId="0" fontId="3" fillId="7" borderId="0" xfId="0" applyFont="1" applyFill="1" applyAlignment="1" applyProtection="1">
      <alignment/>
      <protection/>
    </xf>
    <xf numFmtId="0" fontId="13" fillId="7" borderId="25" xfId="0" applyFont="1" applyFill="1" applyBorder="1" applyAlignment="1" applyProtection="1">
      <alignment horizontal="center"/>
      <protection/>
    </xf>
    <xf numFmtId="0" fontId="0" fillId="7" borderId="25" xfId="0" applyFill="1" applyBorder="1" applyAlignment="1" applyProtection="1">
      <alignment horizontal="center"/>
      <protection/>
    </xf>
    <xf numFmtId="0" fontId="0" fillId="7" borderId="25" xfId="0" applyFill="1" applyBorder="1" applyAlignment="1" applyProtection="1">
      <alignment/>
      <protection/>
    </xf>
    <xf numFmtId="0" fontId="24" fillId="4" borderId="0" xfId="0" applyFont="1" applyFill="1" applyBorder="1" applyAlignment="1" applyProtection="1">
      <alignment vertical="top" wrapText="1"/>
      <protection/>
    </xf>
    <xf numFmtId="0" fontId="0" fillId="0" borderId="0" xfId="0" applyBorder="1" applyAlignment="1">
      <alignment vertical="top" wrapText="1"/>
    </xf>
    <xf numFmtId="0" fontId="9" fillId="4" borderId="0" xfId="0" applyFont="1" applyFill="1" applyAlignment="1" applyProtection="1">
      <alignment/>
      <protection/>
    </xf>
    <xf numFmtId="0" fontId="24" fillId="4" borderId="0" xfId="0" applyFont="1" applyFill="1" applyBorder="1" applyAlignment="1" applyProtection="1">
      <alignment/>
      <protection/>
    </xf>
    <xf numFmtId="0" fontId="0" fillId="8" borderId="94" xfId="0" applyFill="1" applyBorder="1" applyAlignment="1" applyProtection="1">
      <alignment horizontal="center"/>
      <protection locked="0"/>
    </xf>
    <xf numFmtId="0" fontId="0" fillId="7" borderId="76" xfId="0" applyFill="1" applyBorder="1" applyAlignment="1">
      <alignment vertical="center"/>
    </xf>
    <xf numFmtId="0" fontId="0" fillId="7" borderId="77" xfId="0" applyFill="1" applyBorder="1" applyAlignment="1">
      <alignment vertical="center"/>
    </xf>
    <xf numFmtId="0" fontId="12" fillId="8" borderId="0" xfId="0" applyFont="1" applyFill="1" applyBorder="1" applyAlignment="1">
      <alignment horizontal="center" vertical="center" wrapText="1"/>
    </xf>
    <xf numFmtId="0" fontId="0" fillId="8" borderId="0" xfId="0" applyFill="1" applyBorder="1" applyAlignment="1">
      <alignment horizontal="center" vertical="center" wrapText="1"/>
    </xf>
    <xf numFmtId="0" fontId="0" fillId="8" borderId="32" xfId="0" applyFill="1" applyBorder="1" applyAlignment="1">
      <alignment horizontal="center" vertical="center" wrapText="1"/>
    </xf>
    <xf numFmtId="0" fontId="9" fillId="3" borderId="35" xfId="0" applyFont="1" applyFill="1" applyBorder="1" applyAlignment="1" applyProtection="1">
      <alignment/>
      <protection/>
    </xf>
    <xf numFmtId="0" fontId="12" fillId="8" borderId="42" xfId="0" applyFont="1" applyFill="1" applyBorder="1" applyAlignment="1">
      <alignment/>
    </xf>
    <xf numFmtId="0" fontId="15" fillId="4" borderId="0" xfId="0" applyFont="1" applyFill="1" applyBorder="1" applyAlignment="1" applyProtection="1">
      <alignment horizontal="left" vertical="center"/>
      <protection/>
    </xf>
    <xf numFmtId="0" fontId="28" fillId="0" borderId="0" xfId="0" applyFont="1" applyAlignment="1">
      <alignment horizontal="left" vertical="center"/>
    </xf>
    <xf numFmtId="0" fontId="14" fillId="3" borderId="75" xfId="0" applyFont="1" applyFill="1" applyBorder="1" applyAlignment="1" applyProtection="1">
      <alignment horizontal="left" vertical="center"/>
      <protection/>
    </xf>
    <xf numFmtId="0" fontId="57" fillId="8" borderId="76" xfId="0" applyFont="1" applyFill="1" applyBorder="1" applyAlignment="1">
      <alignment horizontal="left" vertical="center"/>
    </xf>
    <xf numFmtId="0" fontId="57" fillId="8" borderId="77" xfId="0" applyFont="1" applyFill="1" applyBorder="1" applyAlignment="1">
      <alignment horizontal="left" vertical="center"/>
    </xf>
    <xf numFmtId="14" fontId="6" fillId="3" borderId="15" xfId="0" applyNumberFormat="1" applyFont="1" applyFill="1" applyBorder="1" applyAlignment="1" applyProtection="1">
      <alignment horizontal="center" vertical="center"/>
      <protection/>
    </xf>
    <xf numFmtId="0" fontId="0" fillId="3" borderId="25" xfId="0" applyFill="1" applyBorder="1" applyAlignment="1">
      <alignment horizontal="center" vertical="center"/>
    </xf>
    <xf numFmtId="14" fontId="6" fillId="3" borderId="8"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0" fontId="30" fillId="10" borderId="0" xfId="0" applyFont="1" applyFill="1" applyBorder="1" applyAlignment="1">
      <alignment horizontal="center"/>
    </xf>
    <xf numFmtId="0" fontId="13" fillId="10" borderId="76" xfId="0" applyFont="1" applyFill="1" applyBorder="1" applyAlignment="1">
      <alignment horizontal="center"/>
    </xf>
    <xf numFmtId="0" fontId="0" fillId="0" borderId="76" xfId="0" applyBorder="1" applyAlignment="1">
      <alignment horizontal="center"/>
    </xf>
    <xf numFmtId="0" fontId="25" fillId="3" borderId="40" xfId="0" applyFont="1" applyFill="1" applyBorder="1" applyAlignment="1" applyProtection="1">
      <alignment horizontal="right"/>
      <protection locked="0"/>
    </xf>
    <xf numFmtId="0" fontId="0" fillId="8" borderId="40" xfId="0" applyFill="1" applyBorder="1" applyAlignment="1" applyProtection="1">
      <alignment/>
      <protection locked="0"/>
    </xf>
    <xf numFmtId="0" fontId="19" fillId="10" borderId="40" xfId="0" applyFont="1" applyFill="1" applyBorder="1" applyAlignment="1">
      <alignment/>
    </xf>
    <xf numFmtId="0" fontId="11" fillId="10" borderId="0" xfId="0" applyFont="1" applyFill="1" applyBorder="1" applyAlignment="1">
      <alignment horizontal="center"/>
    </xf>
    <xf numFmtId="0" fontId="19" fillId="3" borderId="0" xfId="0" applyFont="1" applyFill="1" applyBorder="1" applyAlignment="1" applyProtection="1">
      <alignment horizontal="center"/>
      <protection locked="0"/>
    </xf>
    <xf numFmtId="0" fontId="6" fillId="10" borderId="0" xfId="0" applyFont="1" applyFill="1" applyBorder="1" applyAlignment="1">
      <alignment/>
    </xf>
    <xf numFmtId="0" fontId="6" fillId="10" borderId="76" xfId="0" applyFont="1" applyFill="1" applyBorder="1" applyAlignment="1">
      <alignment/>
    </xf>
    <xf numFmtId="0" fontId="6" fillId="4" borderId="0" xfId="0" applyFont="1" applyFill="1" applyBorder="1" applyAlignment="1">
      <alignment/>
    </xf>
    <xf numFmtId="0" fontId="6" fillId="4" borderId="40" xfId="0" applyFont="1" applyFill="1" applyBorder="1" applyAlignment="1">
      <alignment/>
    </xf>
    <xf numFmtId="0" fontId="9" fillId="4" borderId="0" xfId="0" applyFont="1" applyFill="1" applyBorder="1" applyAlignment="1">
      <alignment vertical="center"/>
    </xf>
    <xf numFmtId="0" fontId="12" fillId="0" borderId="0" xfId="0" applyFont="1" applyBorder="1" applyAlignment="1">
      <alignment vertical="center"/>
    </xf>
    <xf numFmtId="0" fontId="12" fillId="0" borderId="32" xfId="0" applyFont="1" applyBorder="1" applyAlignment="1">
      <alignment vertical="center"/>
    </xf>
    <xf numFmtId="0" fontId="9" fillId="4" borderId="23" xfId="0" applyFont="1" applyFill="1" applyBorder="1" applyAlignment="1">
      <alignment vertical="center" wrapText="1"/>
    </xf>
    <xf numFmtId="0" fontId="6" fillId="3" borderId="39" xfId="0" applyFont="1" applyFill="1" applyBorder="1" applyAlignment="1" applyProtection="1">
      <alignment horizontal="center" vertical="center"/>
      <protection locked="0"/>
    </xf>
    <xf numFmtId="0" fontId="6" fillId="3" borderId="20" xfId="0" applyFont="1" applyFill="1" applyBorder="1" applyAlignment="1" applyProtection="1">
      <alignment horizontal="center" vertical="center"/>
      <protection locked="0"/>
    </xf>
    <xf numFmtId="0" fontId="9" fillId="4" borderId="16" xfId="0" applyFont="1" applyFill="1" applyBorder="1" applyAlignment="1">
      <alignment vertical="center" wrapText="1"/>
    </xf>
    <xf numFmtId="0" fontId="0" fillId="0" borderId="57" xfId="0" applyBorder="1" applyAlignment="1">
      <alignment vertical="center"/>
    </xf>
    <xf numFmtId="0" fontId="9" fillId="4" borderId="23" xfId="0" applyFont="1" applyFill="1" applyBorder="1" applyAlignment="1">
      <alignment vertical="center"/>
    </xf>
    <xf numFmtId="0" fontId="9" fillId="4" borderId="72" xfId="0" applyFont="1" applyFill="1" applyBorder="1" applyAlignment="1">
      <alignment vertical="center"/>
    </xf>
    <xf numFmtId="0" fontId="8" fillId="4" borderId="0" xfId="0" applyFont="1" applyFill="1" applyBorder="1" applyAlignment="1">
      <alignment vertical="center" wrapText="1"/>
    </xf>
    <xf numFmtId="0" fontId="12" fillId="0" borderId="0" xfId="0" applyFont="1" applyAlignment="1">
      <alignment vertical="center" wrapText="1"/>
    </xf>
    <xf numFmtId="3" fontId="0" fillId="3" borderId="23" xfId="0" applyNumberFormat="1" applyFont="1" applyFill="1" applyBorder="1" applyAlignment="1" applyProtection="1">
      <alignment horizontal="center" vertical="center"/>
      <protection locked="0"/>
    </xf>
    <xf numFmtId="3" fontId="0" fillId="3" borderId="72" xfId="0" applyNumberFormat="1" applyFont="1" applyFill="1" applyBorder="1" applyAlignment="1" applyProtection="1">
      <alignment horizontal="center" vertical="center"/>
      <protection locked="0"/>
    </xf>
    <xf numFmtId="0" fontId="0" fillId="7" borderId="57" xfId="0" applyFill="1" applyBorder="1" applyAlignment="1">
      <alignment vertical="center" wrapText="1"/>
    </xf>
    <xf numFmtId="0" fontId="0" fillId="7" borderId="35" xfId="0" applyFill="1" applyBorder="1" applyAlignment="1">
      <alignment vertical="center"/>
    </xf>
    <xf numFmtId="0" fontId="0" fillId="7" borderId="42" xfId="0" applyFill="1" applyBorder="1" applyAlignment="1">
      <alignment vertical="center"/>
    </xf>
    <xf numFmtId="0" fontId="0" fillId="7" borderId="82" xfId="0" applyFill="1" applyBorder="1" applyAlignment="1">
      <alignment vertical="center"/>
    </xf>
    <xf numFmtId="0" fontId="9" fillId="4" borderId="26" xfId="0" applyFont="1" applyFill="1" applyBorder="1" applyAlignment="1">
      <alignment horizontal="center" vertical="center" wrapText="1" shrinkToFit="1"/>
    </xf>
    <xf numFmtId="0" fontId="0" fillId="0" borderId="23" xfId="0" applyBorder="1" applyAlignment="1">
      <alignment vertical="center" wrapText="1" shrinkToFit="1"/>
    </xf>
    <xf numFmtId="0" fontId="0" fillId="0" borderId="72" xfId="0" applyBorder="1" applyAlignment="1">
      <alignment vertical="center" wrapText="1" shrinkToFit="1"/>
    </xf>
    <xf numFmtId="0" fontId="8" fillId="4" borderId="0" xfId="0" applyFont="1" applyFill="1" applyBorder="1" applyAlignment="1">
      <alignment wrapText="1" shrinkToFit="1"/>
    </xf>
    <xf numFmtId="0" fontId="34" fillId="4" borderId="0" xfId="0" applyFont="1" applyFill="1" applyBorder="1" applyAlignment="1">
      <alignment/>
    </xf>
    <xf numFmtId="0" fontId="35" fillId="0" borderId="0" xfId="0" applyFont="1" applyAlignment="1">
      <alignment/>
    </xf>
    <xf numFmtId="0" fontId="35" fillId="0" borderId="32" xfId="0" applyFont="1" applyBorder="1" applyAlignment="1">
      <alignment/>
    </xf>
    <xf numFmtId="0" fontId="7" fillId="4" borderId="0" xfId="0" applyFont="1" applyFill="1" applyBorder="1" applyAlignment="1">
      <alignment/>
    </xf>
    <xf numFmtId="0" fontId="14" fillId="4" borderId="0" xfId="0" applyFont="1" applyFill="1" applyBorder="1" applyAlignment="1">
      <alignment/>
    </xf>
    <xf numFmtId="0" fontId="28" fillId="0" borderId="0" xfId="0" applyFont="1" applyAlignment="1">
      <alignment/>
    </xf>
    <xf numFmtId="0" fontId="9" fillId="4" borderId="0" xfId="0" applyFont="1" applyFill="1" applyBorder="1" applyAlignment="1">
      <alignment horizontal="center"/>
    </xf>
    <xf numFmtId="0" fontId="12" fillId="0" borderId="0" xfId="0" applyFont="1" applyAlignment="1">
      <alignment horizontal="center"/>
    </xf>
    <xf numFmtId="0" fontId="0" fillId="7" borderId="76" xfId="0" applyFill="1" applyBorder="1" applyAlignment="1">
      <alignment/>
    </xf>
    <xf numFmtId="0" fontId="6" fillId="4" borderId="26" xfId="0" applyFont="1" applyFill="1" applyBorder="1" applyAlignment="1">
      <alignment vertical="center"/>
    </xf>
    <xf numFmtId="0" fontId="6" fillId="4" borderId="23" xfId="0" applyFont="1" applyFill="1" applyBorder="1" applyAlignment="1">
      <alignment vertical="center"/>
    </xf>
    <xf numFmtId="0" fontId="6" fillId="4" borderId="43" xfId="0" applyFont="1" applyFill="1" applyBorder="1" applyAlignment="1">
      <alignment vertical="center"/>
    </xf>
    <xf numFmtId="0" fontId="9" fillId="4" borderId="47" xfId="0" applyFont="1" applyFill="1" applyBorder="1" applyAlignment="1">
      <alignment horizontal="center" vertical="center"/>
    </xf>
    <xf numFmtId="0" fontId="9" fillId="4" borderId="42" xfId="0" applyFont="1" applyFill="1" applyBorder="1" applyAlignment="1">
      <alignment horizontal="center" vertical="center"/>
    </xf>
    <xf numFmtId="0" fontId="0" fillId="0" borderId="48" xfId="0" applyBorder="1" applyAlignment="1">
      <alignment horizontal="center" vertical="center"/>
    </xf>
    <xf numFmtId="0" fontId="0" fillId="0" borderId="57" xfId="0" applyBorder="1" applyAlignment="1">
      <alignment vertical="center" wrapText="1"/>
    </xf>
    <xf numFmtId="0" fontId="9" fillId="4" borderId="72" xfId="0" applyFont="1" applyFill="1" applyBorder="1" applyAlignment="1">
      <alignment vertical="center" wrapText="1"/>
    </xf>
    <xf numFmtId="3" fontId="6" fillId="4" borderId="26" xfId="0" applyNumberFormat="1" applyFont="1" applyFill="1" applyBorder="1" applyAlignment="1" applyProtection="1">
      <alignment horizontal="center" vertical="center"/>
      <protection/>
    </xf>
    <xf numFmtId="3" fontId="0" fillId="4" borderId="23" xfId="0" applyNumberFormat="1" applyFont="1" applyFill="1" applyBorder="1" applyAlignment="1" applyProtection="1">
      <alignment horizontal="center" vertical="center"/>
      <protection/>
    </xf>
    <xf numFmtId="3" fontId="0" fillId="4" borderId="72" xfId="0" applyNumberFormat="1" applyFont="1" applyFill="1" applyBorder="1" applyAlignment="1" applyProtection="1">
      <alignment horizontal="center" vertical="center"/>
      <protection/>
    </xf>
    <xf numFmtId="3" fontId="6" fillId="3" borderId="16" xfId="0" applyNumberFormat="1" applyFont="1" applyFill="1" applyBorder="1" applyAlignment="1" applyProtection="1">
      <alignment horizontal="center" vertical="center" wrapText="1"/>
      <protection locked="0"/>
    </xf>
    <xf numFmtId="3" fontId="0" fillId="8" borderId="20" xfId="0" applyNumberFormat="1" applyFont="1" applyFill="1" applyBorder="1" applyAlignment="1" applyProtection="1">
      <alignment horizontal="center" vertical="center"/>
      <protection locked="0"/>
    </xf>
    <xf numFmtId="3" fontId="0" fillId="8" borderId="18" xfId="0" applyNumberFormat="1" applyFont="1" applyFill="1" applyBorder="1" applyAlignment="1" applyProtection="1">
      <alignment horizontal="center" vertical="center"/>
      <protection locked="0"/>
    </xf>
    <xf numFmtId="0" fontId="14" fillId="4" borderId="0" xfId="0" applyFont="1" applyFill="1" applyBorder="1" applyAlignment="1">
      <alignment vertical="center"/>
    </xf>
    <xf numFmtId="0" fontId="28" fillId="0" borderId="0" xfId="0" applyFont="1" applyAlignment="1">
      <alignment vertical="center"/>
    </xf>
    <xf numFmtId="0" fontId="8" fillId="4" borderId="0" xfId="0" applyFont="1" applyFill="1" applyBorder="1" applyAlignment="1">
      <alignment horizontal="left" vertical="center" wrapText="1"/>
    </xf>
    <xf numFmtId="0" fontId="3" fillId="0" borderId="0" xfId="0" applyFont="1" applyAlignment="1">
      <alignment horizontal="left" vertical="center"/>
    </xf>
    <xf numFmtId="0" fontId="9" fillId="4" borderId="0" xfId="0" applyFont="1" applyFill="1" applyBorder="1" applyAlignment="1">
      <alignment vertical="center" wrapText="1"/>
    </xf>
    <xf numFmtId="0" fontId="0" fillId="0" borderId="0" xfId="0" applyAlignment="1">
      <alignment vertical="center"/>
    </xf>
    <xf numFmtId="0" fontId="0" fillId="7" borderId="0" xfId="0" applyFill="1" applyBorder="1" applyAlignment="1">
      <alignment vertical="center" wrapText="1"/>
    </xf>
    <xf numFmtId="0" fontId="9" fillId="4" borderId="23" xfId="0" applyFont="1" applyFill="1" applyBorder="1" applyAlignment="1">
      <alignment vertical="center" wrapText="1" shrinkToFit="1"/>
    </xf>
    <xf numFmtId="3" fontId="6" fillId="3" borderId="83" xfId="0" applyNumberFormat="1" applyFont="1" applyFill="1" applyBorder="1" applyAlignment="1">
      <alignment horizontal="center" vertical="center"/>
    </xf>
    <xf numFmtId="3" fontId="0" fillId="3" borderId="25" xfId="0" applyNumberFormat="1" applyFont="1" applyFill="1" applyBorder="1" applyAlignment="1">
      <alignment horizontal="center" vertical="center"/>
    </xf>
    <xf numFmtId="3" fontId="0" fillId="3" borderId="84" xfId="0" applyNumberFormat="1" applyFont="1" applyFill="1" applyBorder="1" applyAlignment="1">
      <alignment horizontal="center" vertical="center"/>
    </xf>
    <xf numFmtId="3" fontId="6" fillId="3" borderId="26" xfId="0" applyNumberFormat="1" applyFont="1" applyFill="1" applyBorder="1" applyAlignment="1">
      <alignment horizontal="center" vertical="center"/>
    </xf>
    <xf numFmtId="3" fontId="0" fillId="3" borderId="23" xfId="0" applyNumberFormat="1" applyFont="1" applyFill="1" applyBorder="1" applyAlignment="1">
      <alignment horizontal="center" vertical="center"/>
    </xf>
    <xf numFmtId="3" fontId="0" fillId="3" borderId="72" xfId="0" applyNumberFormat="1" applyFont="1" applyFill="1" applyBorder="1" applyAlignment="1">
      <alignment horizontal="center" vertical="center"/>
    </xf>
    <xf numFmtId="0" fontId="6" fillId="4" borderId="7" xfId="0" applyFont="1" applyFill="1" applyBorder="1" applyAlignment="1">
      <alignment vertical="center"/>
    </xf>
    <xf numFmtId="0" fontId="6" fillId="4" borderId="24" xfId="0" applyFont="1" applyFill="1" applyBorder="1" applyAlignment="1">
      <alignment vertical="center"/>
    </xf>
    <xf numFmtId="0" fontId="6" fillId="4" borderId="44" xfId="0" applyFont="1" applyFill="1" applyBorder="1" applyAlignment="1">
      <alignment vertical="center"/>
    </xf>
    <xf numFmtId="49" fontId="3" fillId="4" borderId="0" xfId="0" applyNumberFormat="1" applyFont="1" applyFill="1" applyBorder="1" applyAlignment="1">
      <alignment horizontal="center"/>
    </xf>
    <xf numFmtId="0" fontId="23" fillId="4" borderId="0" xfId="0" applyNumberFormat="1" applyFont="1" applyFill="1" applyBorder="1" applyAlignment="1">
      <alignment horizontal="center"/>
    </xf>
    <xf numFmtId="49" fontId="20" fillId="4" borderId="0" xfId="0" applyNumberFormat="1" applyFont="1" applyFill="1" applyBorder="1" applyAlignment="1">
      <alignment horizontal="left"/>
    </xf>
    <xf numFmtId="0" fontId="9" fillId="4" borderId="40" xfId="0" applyFont="1" applyFill="1" applyBorder="1" applyAlignment="1">
      <alignment vertical="center" wrapText="1"/>
    </xf>
    <xf numFmtId="0" fontId="0" fillId="0" borderId="40" xfId="0" applyBorder="1" applyAlignment="1">
      <alignment vertical="center"/>
    </xf>
    <xf numFmtId="0" fontId="9" fillId="4" borderId="24" xfId="0" applyFont="1" applyFill="1" applyBorder="1" applyAlignment="1">
      <alignment vertical="center" wrapText="1" shrinkToFit="1"/>
    </xf>
    <xf numFmtId="0" fontId="0" fillId="0" borderId="24" xfId="0" applyBorder="1" applyAlignment="1">
      <alignment vertical="center" wrapText="1" shrinkToFit="1"/>
    </xf>
    <xf numFmtId="0" fontId="0" fillId="0" borderId="58" xfId="0" applyBorder="1" applyAlignment="1">
      <alignment vertical="center" wrapText="1" shrinkToFit="1"/>
    </xf>
    <xf numFmtId="3" fontId="0" fillId="3" borderId="24" xfId="0" applyNumberFormat="1" applyFont="1" applyFill="1" applyBorder="1" applyAlignment="1" applyProtection="1">
      <alignment horizontal="center" vertical="center"/>
      <protection locked="0"/>
    </xf>
    <xf numFmtId="3" fontId="0" fillId="3" borderId="58" xfId="0" applyNumberFormat="1" applyFont="1" applyFill="1" applyBorder="1" applyAlignment="1" applyProtection="1">
      <alignment horizontal="center" vertical="center"/>
      <protection locked="0"/>
    </xf>
    <xf numFmtId="3" fontId="6" fillId="3" borderId="20" xfId="0" applyNumberFormat="1" applyFont="1" applyFill="1" applyBorder="1" applyAlignment="1" applyProtection="1">
      <alignment horizontal="center" vertical="center" wrapText="1"/>
      <protection locked="0"/>
    </xf>
    <xf numFmtId="3" fontId="0" fillId="3" borderId="18" xfId="0" applyNumberFormat="1" applyFont="1" applyFill="1" applyBorder="1" applyAlignment="1" applyProtection="1">
      <alignment horizontal="center" vertical="center"/>
      <protection locked="0"/>
    </xf>
    <xf numFmtId="3" fontId="0" fillId="8" borderId="20" xfId="0" applyNumberFormat="1" applyFont="1" applyFill="1" applyBorder="1" applyAlignment="1" applyProtection="1">
      <alignment horizontal="center" vertical="center" wrapText="1"/>
      <protection locked="0"/>
    </xf>
    <xf numFmtId="0" fontId="9" fillId="4" borderId="0" xfId="0" applyFont="1" applyFill="1" applyBorder="1" applyAlignment="1">
      <alignment horizontal="left" vertical="center" wrapText="1"/>
    </xf>
    <xf numFmtId="0" fontId="0" fillId="0" borderId="0" xfId="0" applyFont="1" applyAlignment="1">
      <alignment horizontal="left" vertical="center"/>
    </xf>
    <xf numFmtId="0" fontId="3" fillId="7" borderId="27" xfId="0" applyFont="1" applyFill="1" applyBorder="1" applyAlignment="1">
      <alignment horizontal="left" vertical="center"/>
    </xf>
    <xf numFmtId="0" fontId="0" fillId="0" borderId="36" xfId="0" applyBorder="1" applyAlignment="1">
      <alignment horizontal="left" vertical="center"/>
    </xf>
    <xf numFmtId="3" fontId="0" fillId="8" borderId="39" xfId="0" applyNumberFormat="1" applyFont="1" applyFill="1" applyBorder="1" applyAlignment="1" applyProtection="1">
      <alignment horizontal="center" vertical="center"/>
      <protection locked="0"/>
    </xf>
    <xf numFmtId="3" fontId="0" fillId="0" borderId="57" xfId="0" applyNumberFormat="1" applyBorder="1" applyAlignment="1" applyProtection="1">
      <alignment horizontal="center" vertical="center"/>
      <protection locked="0"/>
    </xf>
    <xf numFmtId="3" fontId="0" fillId="8" borderId="27" xfId="0" applyNumberFormat="1" applyFont="1" applyFill="1" applyBorder="1" applyAlignment="1" applyProtection="1">
      <alignment horizontal="center" vertical="center"/>
      <protection locked="0"/>
    </xf>
    <xf numFmtId="3" fontId="0" fillId="0" borderId="27" xfId="0" applyNumberFormat="1" applyBorder="1" applyAlignment="1" applyProtection="1">
      <alignment horizontal="center" vertical="center"/>
      <protection locked="0"/>
    </xf>
    <xf numFmtId="0" fontId="3" fillId="7" borderId="39" xfId="0" applyFont="1" applyFill="1" applyBorder="1" applyAlignment="1">
      <alignment horizontal="left" vertical="center"/>
    </xf>
    <xf numFmtId="0" fontId="0" fillId="0" borderId="18" xfId="0" applyBorder="1" applyAlignment="1">
      <alignment horizontal="left" vertical="center"/>
    </xf>
    <xf numFmtId="0" fontId="6" fillId="3" borderId="28" xfId="0" applyFont="1" applyFill="1" applyBorder="1" applyAlignment="1" applyProtection="1">
      <alignment horizontal="left" vertical="center" wrapText="1"/>
      <protection locked="0"/>
    </xf>
    <xf numFmtId="0" fontId="0" fillId="0" borderId="27" xfId="0" applyBorder="1" applyAlignment="1" applyProtection="1">
      <alignment vertical="center" wrapText="1"/>
      <protection locked="0"/>
    </xf>
    <xf numFmtId="0" fontId="0" fillId="0" borderId="0" xfId="0" applyAlignment="1">
      <alignment horizontal="left" vertical="center"/>
    </xf>
    <xf numFmtId="0" fontId="12" fillId="7" borderId="76" xfId="0" applyFont="1" applyFill="1" applyBorder="1" applyAlignment="1">
      <alignment horizontal="center" vertical="center" wrapText="1"/>
    </xf>
    <xf numFmtId="0" fontId="0" fillId="0" borderId="40" xfId="0" applyBorder="1" applyAlignment="1">
      <alignment vertical="center" wrapText="1"/>
    </xf>
    <xf numFmtId="0" fontId="6" fillId="3" borderId="16" xfId="0" applyFont="1" applyFill="1" applyBorder="1" applyAlignment="1" applyProtection="1">
      <alignment horizontal="left" vertical="center" wrapText="1"/>
      <protection locked="0"/>
    </xf>
    <xf numFmtId="0" fontId="0" fillId="0" borderId="20" xfId="0" applyBorder="1" applyAlignment="1" applyProtection="1">
      <alignment vertical="center" wrapText="1"/>
      <protection locked="0"/>
    </xf>
    <xf numFmtId="0" fontId="0" fillId="0" borderId="57" xfId="0" applyBorder="1" applyAlignment="1" applyProtection="1">
      <alignment vertical="center" wrapText="1"/>
      <protection locked="0"/>
    </xf>
    <xf numFmtId="0" fontId="12" fillId="7" borderId="40" xfId="0" applyFont="1" applyFill="1" applyBorder="1" applyAlignment="1">
      <alignment horizontal="center" vertical="center"/>
    </xf>
    <xf numFmtId="0" fontId="6" fillId="3" borderId="10" xfId="0" applyFont="1" applyFill="1" applyBorder="1" applyAlignment="1" applyProtection="1">
      <alignment horizontal="left" vertical="center" wrapText="1"/>
      <protection locked="0"/>
    </xf>
    <xf numFmtId="0" fontId="0" fillId="0" borderId="2" xfId="0" applyBorder="1" applyAlignment="1" applyProtection="1">
      <alignment vertical="center" wrapText="1"/>
      <protection locked="0"/>
    </xf>
    <xf numFmtId="0" fontId="9" fillId="4" borderId="11" xfId="0" applyFont="1" applyFill="1" applyBorder="1" applyAlignment="1" applyProtection="1">
      <alignment horizontal="left" vertical="center" wrapText="1"/>
      <protection/>
    </xf>
    <xf numFmtId="0" fontId="0" fillId="0" borderId="3" xfId="0" applyBorder="1" applyAlignment="1">
      <alignment vertical="center" wrapText="1"/>
    </xf>
    <xf numFmtId="0" fontId="3" fillId="7" borderId="2" xfId="0" applyFont="1" applyFill="1" applyBorder="1" applyAlignment="1">
      <alignment horizontal="left" vertical="center"/>
    </xf>
    <xf numFmtId="0" fontId="0" fillId="0" borderId="1" xfId="0" applyBorder="1" applyAlignment="1">
      <alignment horizontal="left" vertical="center"/>
    </xf>
    <xf numFmtId="0" fontId="3" fillId="7" borderId="3" xfId="0" applyFont="1" applyFill="1" applyBorder="1" applyAlignment="1">
      <alignment horizontal="left" vertical="center"/>
    </xf>
    <xf numFmtId="0" fontId="0" fillId="0" borderId="9" xfId="0" applyBorder="1" applyAlignment="1">
      <alignment horizontal="left" vertical="center"/>
    </xf>
    <xf numFmtId="3" fontId="0" fillId="8" borderId="3" xfId="0" applyNumberFormat="1" applyFont="1" applyFill="1" applyBorder="1" applyAlignment="1" applyProtection="1">
      <alignment horizontal="center" vertical="center"/>
      <protection/>
    </xf>
    <xf numFmtId="3" fontId="0" fillId="0" borderId="3" xfId="0" applyNumberFormat="1" applyBorder="1" applyAlignment="1" applyProtection="1">
      <alignment horizontal="center" vertical="center"/>
      <protection/>
    </xf>
    <xf numFmtId="3" fontId="0" fillId="8" borderId="2" xfId="0" applyNumberFormat="1" applyFont="1" applyFill="1" applyBorder="1" applyAlignment="1" applyProtection="1">
      <alignment horizontal="center" vertical="center"/>
      <protection locked="0"/>
    </xf>
    <xf numFmtId="3" fontId="0" fillId="0" borderId="2" xfId="0" applyNumberFormat="1" applyBorder="1" applyAlignment="1" applyProtection="1">
      <alignment horizontal="center" vertical="center"/>
      <protection locked="0"/>
    </xf>
    <xf numFmtId="0" fontId="6" fillId="3" borderId="7" xfId="0" applyFont="1" applyFill="1" applyBorder="1" applyAlignment="1" applyProtection="1">
      <alignment horizontal="center"/>
      <protection locked="0"/>
    </xf>
    <xf numFmtId="0" fontId="0" fillId="8" borderId="58" xfId="0" applyFill="1" applyBorder="1" applyAlignment="1" applyProtection="1">
      <alignment horizontal="center"/>
      <protection locked="0"/>
    </xf>
    <xf numFmtId="0" fontId="30" fillId="4" borderId="0" xfId="0" applyFont="1" applyFill="1" applyBorder="1" applyAlignment="1" applyProtection="1">
      <alignment horizontal="left" vertical="center"/>
      <protection/>
    </xf>
    <xf numFmtId="0" fontId="23" fillId="0" borderId="0" xfId="0" applyFont="1" applyAlignment="1">
      <alignment vertical="center"/>
    </xf>
    <xf numFmtId="49" fontId="0" fillId="8" borderId="2" xfId="0" applyNumberFormat="1" applyFont="1" applyFill="1" applyBorder="1" applyAlignment="1" applyProtection="1">
      <alignment horizontal="center"/>
      <protection locked="0"/>
    </xf>
    <xf numFmtId="0" fontId="9" fillId="4" borderId="2" xfId="0" applyFont="1" applyFill="1" applyBorder="1" applyAlignment="1" applyProtection="1">
      <alignment horizontal="center" vertical="center"/>
      <protection/>
    </xf>
    <xf numFmtId="0" fontId="12" fillId="0" borderId="2" xfId="0" applyFont="1" applyBorder="1" applyAlignment="1">
      <alignment horizontal="center" vertical="center"/>
    </xf>
    <xf numFmtId="0" fontId="6" fillId="3" borderId="26" xfId="0" applyFont="1" applyFill="1" applyBorder="1" applyAlignment="1" applyProtection="1">
      <alignment horizontal="center"/>
      <protection locked="0"/>
    </xf>
    <xf numFmtId="0" fontId="0" fillId="8" borderId="72" xfId="0" applyFill="1" applyBorder="1" applyAlignment="1" applyProtection="1">
      <alignment horizontal="center"/>
      <protection locked="0"/>
    </xf>
    <xf numFmtId="0" fontId="9" fillId="4" borderId="75" xfId="0" applyFont="1" applyFill="1" applyBorder="1" applyAlignment="1" applyProtection="1">
      <alignment horizontal="left"/>
      <protection/>
    </xf>
    <xf numFmtId="0" fontId="12" fillId="0" borderId="76" xfId="0" applyFont="1" applyBorder="1" applyAlignment="1">
      <alignment horizontal="left"/>
    </xf>
    <xf numFmtId="0" fontId="12" fillId="0" borderId="77" xfId="0" applyFont="1" applyBorder="1" applyAlignment="1">
      <alignment horizontal="left"/>
    </xf>
    <xf numFmtId="0" fontId="30" fillId="4" borderId="0" xfId="0" applyFont="1" applyFill="1" applyBorder="1" applyAlignment="1" applyProtection="1">
      <alignment horizontal="left"/>
      <protection/>
    </xf>
    <xf numFmtId="0" fontId="23" fillId="0" borderId="0" xfId="0" applyFont="1" applyAlignment="1">
      <alignment horizontal="left"/>
    </xf>
    <xf numFmtId="0" fontId="0" fillId="8" borderId="2" xfId="0" applyFill="1" applyBorder="1" applyAlignment="1" applyProtection="1">
      <alignment horizontal="left"/>
      <protection locked="0"/>
    </xf>
    <xf numFmtId="3" fontId="0" fillId="8" borderId="2" xfId="0" applyNumberFormat="1" applyFill="1" applyBorder="1" applyAlignment="1" applyProtection="1">
      <alignment horizontal="center"/>
      <protection locked="0"/>
    </xf>
    <xf numFmtId="3" fontId="0" fillId="8" borderId="1" xfId="0" applyNumberFormat="1" applyFill="1" applyBorder="1" applyAlignment="1" applyProtection="1">
      <alignment horizontal="center"/>
      <protection locked="0"/>
    </xf>
    <xf numFmtId="0" fontId="0" fillId="8" borderId="3" xfId="0" applyFill="1" applyBorder="1" applyAlignment="1" applyProtection="1">
      <alignment horizontal="left"/>
      <protection locked="0"/>
    </xf>
    <xf numFmtId="3" fontId="0" fillId="8" borderId="3" xfId="0" applyNumberFormat="1" applyFill="1" applyBorder="1" applyAlignment="1" applyProtection="1">
      <alignment horizontal="center"/>
      <protection locked="0"/>
    </xf>
    <xf numFmtId="3" fontId="0" fillId="8" borderId="9" xfId="0" applyNumberFormat="1" applyFill="1" applyBorder="1" applyAlignment="1" applyProtection="1">
      <alignment horizontal="center"/>
      <protection locked="0"/>
    </xf>
    <xf numFmtId="0" fontId="30" fillId="4" borderId="0" xfId="0" applyFont="1" applyFill="1" applyBorder="1" applyAlignment="1" applyProtection="1">
      <alignment/>
      <protection/>
    </xf>
    <xf numFmtId="0" fontId="23" fillId="0" borderId="0" xfId="0" applyFont="1" applyAlignment="1">
      <alignment/>
    </xf>
    <xf numFmtId="0" fontId="9" fillId="4" borderId="4" xfId="0" applyFont="1" applyFill="1" applyBorder="1" applyAlignment="1" applyProtection="1">
      <alignment/>
      <protection/>
    </xf>
    <xf numFmtId="0" fontId="12" fillId="0" borderId="22" xfId="0" applyFont="1" applyBorder="1" applyAlignment="1">
      <alignment/>
    </xf>
    <xf numFmtId="0" fontId="12" fillId="0" borderId="6" xfId="0" applyFont="1" applyBorder="1" applyAlignment="1">
      <alignment/>
    </xf>
    <xf numFmtId="0" fontId="32" fillId="7" borderId="76" xfId="0" applyFont="1" applyFill="1" applyBorder="1" applyAlignment="1">
      <alignment/>
    </xf>
    <xf numFmtId="0" fontId="32" fillId="7" borderId="0" xfId="0" applyFont="1" applyFill="1" applyAlignment="1">
      <alignment/>
    </xf>
    <xf numFmtId="0" fontId="9" fillId="4" borderId="63" xfId="0" applyFont="1" applyFill="1" applyBorder="1" applyAlignment="1" applyProtection="1">
      <alignment vertical="center" wrapText="1"/>
      <protection/>
    </xf>
    <xf numFmtId="0" fontId="12" fillId="0" borderId="12" xfId="0" applyFont="1" applyBorder="1" applyAlignment="1">
      <alignment vertical="center" wrapText="1"/>
    </xf>
    <xf numFmtId="0" fontId="0" fillId="0" borderId="64" xfId="0" applyBorder="1" applyAlignment="1">
      <alignment/>
    </xf>
    <xf numFmtId="0" fontId="0" fillId="0" borderId="31" xfId="0" applyBorder="1" applyAlignment="1">
      <alignment/>
    </xf>
    <xf numFmtId="0" fontId="12" fillId="7" borderId="2" xfId="0" applyFont="1" applyFill="1" applyBorder="1" applyAlignment="1" applyProtection="1">
      <alignment horizontal="center"/>
      <protection/>
    </xf>
    <xf numFmtId="49" fontId="0" fillId="8" borderId="3" xfId="0" applyNumberFormat="1" applyFont="1" applyFill="1" applyBorder="1" applyAlignment="1" applyProtection="1">
      <alignment horizontal="center"/>
      <protection locked="0"/>
    </xf>
    <xf numFmtId="0" fontId="12" fillId="7" borderId="33" xfId="0" applyFont="1" applyFill="1" applyBorder="1" applyAlignment="1">
      <alignment vertical="center" wrapText="1" shrinkToFit="1"/>
    </xf>
    <xf numFmtId="0" fontId="12" fillId="7" borderId="22" xfId="0" applyFont="1" applyFill="1" applyBorder="1" applyAlignment="1">
      <alignment vertical="center" wrapText="1" shrinkToFit="1"/>
    </xf>
    <xf numFmtId="0" fontId="12" fillId="7" borderId="86" xfId="0" applyFont="1" applyFill="1" applyBorder="1" applyAlignment="1">
      <alignment vertical="center" wrapText="1" shrinkToFit="1"/>
    </xf>
    <xf numFmtId="0" fontId="12" fillId="7" borderId="33" xfId="0" applyFont="1" applyFill="1" applyBorder="1" applyAlignment="1">
      <alignment horizontal="center" vertical="center"/>
    </xf>
    <xf numFmtId="0" fontId="12" fillId="7" borderId="6" xfId="0" applyFont="1" applyFill="1" applyBorder="1" applyAlignment="1">
      <alignment horizontal="center" vertical="center"/>
    </xf>
    <xf numFmtId="0" fontId="3" fillId="0" borderId="0" xfId="0" applyFont="1" applyAlignment="1">
      <alignment horizontal="left"/>
    </xf>
    <xf numFmtId="0" fontId="9" fillId="4" borderId="40" xfId="0" applyFont="1" applyFill="1" applyBorder="1" applyAlignment="1">
      <alignment wrapText="1"/>
    </xf>
    <xf numFmtId="0" fontId="23" fillId="7" borderId="0" xfId="0" applyFont="1" applyFill="1" applyAlignment="1">
      <alignment vertical="top"/>
    </xf>
    <xf numFmtId="0" fontId="0" fillId="7" borderId="0" xfId="0" applyFont="1" applyFill="1" applyAlignment="1">
      <alignment vertical="top"/>
    </xf>
    <xf numFmtId="0" fontId="29" fillId="7" borderId="0" xfId="0" applyFont="1" applyFill="1" applyAlignment="1">
      <alignment/>
    </xf>
    <xf numFmtId="0" fontId="0" fillId="7" borderId="0" xfId="0" applyFill="1" applyAlignment="1">
      <alignment/>
    </xf>
    <xf numFmtId="3" fontId="0" fillId="0" borderId="39" xfId="0" applyNumberFormat="1" applyBorder="1" applyAlignment="1" applyProtection="1">
      <alignment horizontal="center" vertical="center"/>
      <protection locked="0"/>
    </xf>
    <xf numFmtId="3" fontId="0" fillId="0" borderId="18" xfId="0" applyNumberFormat="1" applyBorder="1" applyAlignment="1" applyProtection="1">
      <alignment horizontal="center" vertical="center"/>
      <protection locked="0"/>
    </xf>
    <xf numFmtId="0" fontId="0" fillId="7" borderId="19" xfId="0" applyFill="1" applyBorder="1" applyAlignment="1">
      <alignment/>
    </xf>
    <xf numFmtId="0" fontId="9" fillId="7" borderId="23" xfId="0" applyFont="1" applyFill="1" applyBorder="1" applyAlignment="1" applyProtection="1">
      <alignment vertical="center"/>
      <protection/>
    </xf>
    <xf numFmtId="0" fontId="9" fillId="7" borderId="24" xfId="0" applyFont="1" applyFill="1" applyBorder="1" applyAlignment="1" applyProtection="1">
      <alignment vertical="center"/>
      <protection/>
    </xf>
    <xf numFmtId="0" fontId="0" fillId="7" borderId="4" xfId="0" applyFill="1" applyBorder="1" applyAlignment="1">
      <alignment/>
    </xf>
    <xf numFmtId="0" fontId="0" fillId="0" borderId="86" xfId="0" applyBorder="1" applyAlignment="1">
      <alignment/>
    </xf>
    <xf numFmtId="0" fontId="12" fillId="7" borderId="40" xfId="0" applyFont="1" applyFill="1" applyBorder="1" applyAlignment="1">
      <alignment wrapText="1" shrinkToFit="1"/>
    </xf>
    <xf numFmtId="0" fontId="0" fillId="7" borderId="40" xfId="0" applyFill="1" applyBorder="1" applyAlignment="1">
      <alignment wrapText="1" shrinkToFit="1"/>
    </xf>
    <xf numFmtId="0" fontId="0" fillId="8" borderId="39" xfId="0" applyFont="1" applyFill="1" applyBorder="1" applyAlignment="1" applyProtection="1">
      <alignment horizontal="center"/>
      <protection locked="0"/>
    </xf>
    <xf numFmtId="0" fontId="0" fillId="8" borderId="57" xfId="0" applyFont="1" applyFill="1" applyBorder="1" applyAlignment="1" applyProtection="1">
      <alignment horizontal="center"/>
      <protection locked="0"/>
    </xf>
    <xf numFmtId="14" fontId="6" fillId="3" borderId="59" xfId="0" applyNumberFormat="1" applyFont="1" applyFill="1" applyBorder="1" applyAlignment="1" applyProtection="1">
      <alignment horizontal="center" wrapText="1"/>
      <protection locked="0"/>
    </xf>
    <xf numFmtId="0" fontId="0" fillId="8" borderId="17" xfId="0" applyFont="1" applyFill="1" applyBorder="1" applyAlignment="1" applyProtection="1">
      <alignment horizontal="center"/>
      <protection locked="0"/>
    </xf>
    <xf numFmtId="0" fontId="9" fillId="4" borderId="0" xfId="0" applyFont="1" applyFill="1" applyBorder="1" applyAlignment="1">
      <alignment horizontal="left"/>
    </xf>
    <xf numFmtId="0" fontId="0" fillId="0" borderId="0" xfId="0" applyBorder="1" applyAlignment="1">
      <alignment horizontal="left"/>
    </xf>
    <xf numFmtId="0" fontId="0" fillId="0" borderId="40" xfId="0" applyBorder="1" applyAlignment="1">
      <alignment horizontal="left"/>
    </xf>
    <xf numFmtId="0" fontId="0" fillId="0" borderId="32" xfId="0" applyBorder="1" applyAlignment="1">
      <alignment vertical="center"/>
    </xf>
    <xf numFmtId="0" fontId="9" fillId="4" borderId="4" xfId="0" applyFont="1" applyFill="1" applyBorder="1" applyAlignment="1">
      <alignment horizontal="center" vertical="center"/>
    </xf>
    <xf numFmtId="0" fontId="9" fillId="4" borderId="8" xfId="0" applyFont="1" applyFill="1" applyBorder="1" applyAlignment="1">
      <alignment horizontal="center"/>
    </xf>
    <xf numFmtId="0" fontId="9" fillId="4" borderId="33" xfId="0" applyFont="1" applyFill="1" applyBorder="1" applyAlignment="1">
      <alignment horizontal="center" vertical="center"/>
    </xf>
    <xf numFmtId="0" fontId="9" fillId="4" borderId="86" xfId="0" applyFont="1" applyFill="1" applyBorder="1" applyAlignment="1">
      <alignment horizontal="center" vertical="center"/>
    </xf>
    <xf numFmtId="0" fontId="9" fillId="4" borderId="26" xfId="0" applyFont="1" applyFill="1" applyBorder="1" applyAlignment="1">
      <alignment horizontal="center"/>
    </xf>
    <xf numFmtId="0" fontId="9" fillId="4" borderId="72" xfId="0" applyFont="1" applyFill="1" applyBorder="1" applyAlignment="1">
      <alignment horizontal="center"/>
    </xf>
    <xf numFmtId="0" fontId="9" fillId="4" borderId="5" xfId="0" applyFont="1" applyFill="1" applyBorder="1" applyAlignment="1">
      <alignment vertical="center"/>
    </xf>
    <xf numFmtId="0" fontId="6" fillId="3" borderId="26" xfId="0" applyFont="1" applyFill="1" applyBorder="1" applyAlignment="1" applyProtection="1">
      <alignment vertical="center"/>
      <protection locked="0"/>
    </xf>
    <xf numFmtId="0" fontId="9" fillId="4" borderId="76" xfId="0" applyFont="1" applyFill="1" applyBorder="1" applyAlignment="1">
      <alignment/>
    </xf>
    <xf numFmtId="0" fontId="9" fillId="4" borderId="16" xfId="0" applyFont="1" applyFill="1" applyBorder="1" applyAlignment="1">
      <alignment vertical="center" wrapText="1"/>
    </xf>
    <xf numFmtId="0" fontId="0" fillId="0" borderId="20" xfId="0" applyBorder="1" applyAlignment="1">
      <alignment vertical="center" wrapText="1"/>
    </xf>
    <xf numFmtId="0" fontId="0" fillId="0" borderId="39" xfId="0" applyFont="1" applyBorder="1" applyAlignment="1" applyProtection="1">
      <alignment horizontal="left" vertical="center"/>
      <protection locked="0"/>
    </xf>
    <xf numFmtId="0" fontId="0" fillId="0" borderId="18" xfId="0" applyBorder="1" applyAlignment="1" applyProtection="1">
      <alignment horizontal="left" vertical="center"/>
      <protection locked="0"/>
    </xf>
    <xf numFmtId="0" fontId="0" fillId="4" borderId="19" xfId="0" applyFill="1" applyBorder="1" applyAlignment="1">
      <alignment/>
    </xf>
    <xf numFmtId="0" fontId="0" fillId="4" borderId="0" xfId="0" applyFill="1" applyBorder="1" applyAlignment="1">
      <alignment/>
    </xf>
    <xf numFmtId="3" fontId="6" fillId="3" borderId="26" xfId="0" applyNumberFormat="1" applyFont="1" applyFill="1" applyBorder="1" applyAlignment="1" applyProtection="1">
      <alignment vertical="center"/>
      <protection locked="0"/>
    </xf>
    <xf numFmtId="3" fontId="0" fillId="0" borderId="72" xfId="0" applyNumberFormat="1" applyBorder="1" applyAlignment="1" applyProtection="1">
      <alignment vertical="center"/>
      <protection locked="0"/>
    </xf>
    <xf numFmtId="3" fontId="6" fillId="3" borderId="26" xfId="0" applyNumberFormat="1" applyFont="1" applyFill="1" applyBorder="1" applyAlignment="1" applyProtection="1">
      <alignment vertical="center"/>
      <protection/>
    </xf>
    <xf numFmtId="3" fontId="0" fillId="0" borderId="72" xfId="0" applyNumberFormat="1" applyBorder="1" applyAlignment="1" applyProtection="1">
      <alignment vertical="center"/>
      <protection/>
    </xf>
    <xf numFmtId="3" fontId="6" fillId="3" borderId="7" xfId="0" applyNumberFormat="1" applyFont="1" applyFill="1" applyBorder="1" applyAlignment="1">
      <alignment horizontal="right" vertical="center"/>
    </xf>
    <xf numFmtId="3" fontId="0" fillId="0" borderId="58" xfId="0" applyNumberFormat="1" applyBorder="1" applyAlignment="1">
      <alignment horizontal="right" vertical="center"/>
    </xf>
    <xf numFmtId="3" fontId="6" fillId="3" borderId="7" xfId="0" applyNumberFormat="1" applyFont="1" applyFill="1" applyBorder="1" applyAlignment="1">
      <alignment horizontal="center" vertical="center"/>
    </xf>
    <xf numFmtId="0" fontId="6" fillId="4" borderId="7" xfId="0" applyFont="1" applyFill="1" applyBorder="1" applyAlignment="1">
      <alignment/>
    </xf>
    <xf numFmtId="0" fontId="9" fillId="4" borderId="40" xfId="0" applyFont="1" applyFill="1" applyBorder="1" applyAlignment="1">
      <alignment/>
    </xf>
    <xf numFmtId="0" fontId="0" fillId="7" borderId="86" xfId="0" applyFill="1" applyBorder="1" applyAlignment="1">
      <alignment/>
    </xf>
    <xf numFmtId="0" fontId="9" fillId="4" borderId="24" xfId="0" applyFont="1" applyFill="1" applyBorder="1" applyAlignment="1">
      <alignment vertical="center"/>
    </xf>
    <xf numFmtId="0" fontId="9" fillId="4" borderId="58" xfId="0" applyFont="1" applyFill="1" applyBorder="1" applyAlignment="1">
      <alignment vertical="center"/>
    </xf>
    <xf numFmtId="0" fontId="6" fillId="4" borderId="26" xfId="0" applyFont="1" applyFill="1" applyBorder="1" applyAlignment="1">
      <alignment/>
    </xf>
    <xf numFmtId="0" fontId="9" fillId="4" borderId="33" xfId="0" applyFont="1" applyFill="1" applyBorder="1" applyAlignment="1">
      <alignment horizontal="center"/>
    </xf>
    <xf numFmtId="0" fontId="0" fillId="7" borderId="86" xfId="0" applyFill="1" applyBorder="1" applyAlignment="1">
      <alignment horizontal="center"/>
    </xf>
    <xf numFmtId="0" fontId="0" fillId="7" borderId="6" xfId="0" applyFill="1" applyBorder="1" applyAlignment="1">
      <alignment horizontal="center"/>
    </xf>
    <xf numFmtId="0" fontId="12" fillId="0" borderId="0" xfId="0" applyFont="1" applyAlignment="1">
      <alignment horizontal="left"/>
    </xf>
    <xf numFmtId="0" fontId="9" fillId="4" borderId="33" xfId="0" applyFont="1" applyFill="1" applyBorder="1" applyAlignment="1">
      <alignment horizontal="center" vertical="center" wrapText="1"/>
    </xf>
    <xf numFmtId="0" fontId="0" fillId="0" borderId="72" xfId="0" applyBorder="1" applyAlignment="1">
      <alignment horizontal="center"/>
    </xf>
    <xf numFmtId="0" fontId="9" fillId="4" borderId="59" xfId="0" applyFont="1" applyFill="1" applyBorder="1" applyAlignment="1">
      <alignment horizontal="left" vertical="center"/>
    </xf>
    <xf numFmtId="0" fontId="0" fillId="0" borderId="17" xfId="0" applyBorder="1" applyAlignment="1">
      <alignment horizontal="left" vertical="center"/>
    </xf>
    <xf numFmtId="3" fontId="0" fillId="8" borderId="72" xfId="0" applyNumberFormat="1" applyFill="1" applyBorder="1" applyAlignment="1" applyProtection="1">
      <alignment horizontal="center" vertical="center"/>
      <protection locked="0"/>
    </xf>
    <xf numFmtId="0" fontId="9" fillId="4" borderId="26" xfId="0" applyFont="1" applyFill="1" applyBorder="1" applyAlignment="1" applyProtection="1">
      <alignment/>
      <protection/>
    </xf>
    <xf numFmtId="0" fontId="0" fillId="0" borderId="43" xfId="0" applyBorder="1" applyAlignment="1" applyProtection="1">
      <alignment/>
      <protection/>
    </xf>
    <xf numFmtId="3" fontId="0" fillId="8" borderId="72" xfId="0" applyNumberFormat="1" applyFill="1" applyBorder="1" applyAlignment="1" applyProtection="1">
      <alignment horizontal="center" vertical="center"/>
      <protection/>
    </xf>
    <xf numFmtId="0" fontId="9" fillId="4" borderId="58" xfId="0" applyFont="1" applyFill="1" applyBorder="1" applyAlignment="1" applyProtection="1">
      <alignment vertical="center" wrapText="1"/>
      <protection/>
    </xf>
    <xf numFmtId="0" fontId="9" fillId="4" borderId="0" xfId="0" applyFont="1" applyFill="1" applyBorder="1" applyAlignment="1">
      <alignment horizontal="right" vertical="center"/>
    </xf>
    <xf numFmtId="0" fontId="7" fillId="4" borderId="0" xfId="0" applyFont="1" applyFill="1" applyBorder="1" applyAlignment="1">
      <alignment vertical="center" wrapText="1" shrinkToFit="1"/>
    </xf>
    <xf numFmtId="0" fontId="0" fillId="0" borderId="0" xfId="0" applyAlignment="1">
      <alignment vertical="center" wrapText="1" shrinkToFit="1"/>
    </xf>
    <xf numFmtId="0" fontId="33" fillId="7" borderId="76" xfId="0" applyFont="1" applyFill="1" applyBorder="1" applyAlignment="1">
      <alignment/>
    </xf>
    <xf numFmtId="0" fontId="20" fillId="7" borderId="0" xfId="0" applyFont="1" applyFill="1" applyAlignment="1">
      <alignment vertical="top" wrapText="1"/>
    </xf>
    <xf numFmtId="0" fontId="0" fillId="7" borderId="0" xfId="0" applyFill="1" applyAlignment="1">
      <alignment vertical="top" wrapText="1"/>
    </xf>
    <xf numFmtId="0" fontId="0" fillId="7" borderId="72" xfId="0" applyFill="1" applyBorder="1" applyAlignment="1" applyProtection="1">
      <alignment horizontal="center"/>
      <protection/>
    </xf>
    <xf numFmtId="0" fontId="0" fillId="7" borderId="43" xfId="0" applyFill="1" applyBorder="1" applyAlignment="1" applyProtection="1">
      <alignment horizontal="center"/>
      <protection/>
    </xf>
    <xf numFmtId="0" fontId="23" fillId="7" borderId="0" xfId="0" applyFont="1" applyFill="1" applyAlignment="1">
      <alignment horizontal="center" wrapText="1"/>
    </xf>
    <xf numFmtId="0" fontId="23" fillId="0" borderId="0" xfId="0" applyFont="1" applyAlignment="1">
      <alignment horizontal="center" wrapText="1"/>
    </xf>
    <xf numFmtId="0" fontId="12" fillId="7" borderId="59" xfId="0" applyFont="1" applyFill="1" applyBorder="1" applyAlignment="1">
      <alignment horizontal="left" vertical="center"/>
    </xf>
    <xf numFmtId="0" fontId="12" fillId="7" borderId="17" xfId="0" applyFont="1" applyFill="1" applyBorder="1" applyAlignment="1">
      <alignment horizontal="left" vertical="center"/>
    </xf>
    <xf numFmtId="0" fontId="9" fillId="4" borderId="40" xfId="0" applyFont="1" applyFill="1" applyBorder="1" applyAlignment="1">
      <alignment horizontal="left"/>
    </xf>
    <xf numFmtId="0" fontId="0" fillId="7" borderId="35" xfId="0" applyFill="1" applyBorder="1" applyAlignment="1">
      <alignment/>
    </xf>
    <xf numFmtId="0" fontId="0" fillId="7" borderId="42" xfId="0" applyFill="1" applyBorder="1" applyAlignment="1">
      <alignment/>
    </xf>
    <xf numFmtId="0" fontId="0" fillId="7" borderId="82" xfId="0" applyFill="1" applyBorder="1" applyAlignment="1">
      <alignment/>
    </xf>
    <xf numFmtId="3" fontId="0" fillId="8" borderId="58" xfId="0" applyNumberFormat="1" applyFill="1" applyBorder="1" applyAlignment="1" applyProtection="1">
      <alignment horizontal="center" vertical="center"/>
      <protection/>
    </xf>
    <xf numFmtId="0" fontId="9" fillId="4" borderId="7" xfId="0" applyFont="1" applyFill="1" applyBorder="1" applyAlignment="1" applyProtection="1">
      <alignment/>
      <protection/>
    </xf>
    <xf numFmtId="0" fontId="0" fillId="0" borderId="44" xfId="0" applyBorder="1" applyAlignment="1" applyProtection="1">
      <alignment/>
      <protection/>
    </xf>
    <xf numFmtId="0" fontId="9" fillId="4" borderId="59" xfId="0" applyFont="1" applyFill="1" applyBorder="1" applyAlignment="1">
      <alignment vertical="center" wrapText="1"/>
    </xf>
    <xf numFmtId="0" fontId="0" fillId="0" borderId="17" xfId="0" applyBorder="1" applyAlignment="1">
      <alignment vertical="center" wrapText="1"/>
    </xf>
    <xf numFmtId="0" fontId="9" fillId="4" borderId="17" xfId="0" applyFont="1" applyFill="1" applyBorder="1" applyAlignment="1">
      <alignment vertical="center" wrapText="1"/>
    </xf>
    <xf numFmtId="3" fontId="0" fillId="0" borderId="39" xfId="0" applyNumberFormat="1" applyFont="1" applyBorder="1" applyAlignment="1" applyProtection="1">
      <alignment horizontal="center" vertical="center"/>
      <protection locked="0"/>
    </xf>
    <xf numFmtId="3" fontId="0" fillId="0" borderId="20" xfId="0" applyNumberFormat="1" applyFont="1" applyBorder="1" applyAlignment="1" applyProtection="1">
      <alignment horizontal="center" vertical="center"/>
      <protection locked="0"/>
    </xf>
    <xf numFmtId="3" fontId="0" fillId="0" borderId="57" xfId="0" applyNumberFormat="1" applyFont="1" applyBorder="1" applyAlignment="1" applyProtection="1">
      <alignment horizontal="center" vertical="center"/>
      <protection locked="0"/>
    </xf>
    <xf numFmtId="3" fontId="0" fillId="0" borderId="18" xfId="0" applyNumberFormat="1" applyFont="1" applyBorder="1" applyAlignment="1" applyProtection="1">
      <alignment horizontal="center" vertical="center"/>
      <protection locked="0"/>
    </xf>
    <xf numFmtId="0" fontId="9" fillId="7" borderId="23" xfId="0" applyFont="1" applyFill="1" applyBorder="1" applyAlignment="1" applyProtection="1">
      <alignment horizontal="left" vertical="center" wrapText="1"/>
      <protection/>
    </xf>
    <xf numFmtId="0" fontId="9" fillId="7" borderId="72" xfId="0" applyFont="1" applyFill="1" applyBorder="1" applyAlignment="1" applyProtection="1">
      <alignment horizontal="left" vertical="center" wrapText="1"/>
      <protection/>
    </xf>
    <xf numFmtId="49" fontId="3" fillId="4" borderId="0" xfId="0" applyNumberFormat="1" applyFont="1" applyFill="1" applyBorder="1" applyAlignment="1">
      <alignment horizontal="center"/>
    </xf>
    <xf numFmtId="49" fontId="0" fillId="4" borderId="0" xfId="0" applyNumberFormat="1" applyFont="1" applyFill="1" applyBorder="1" applyAlignment="1">
      <alignment horizontal="center"/>
    </xf>
    <xf numFmtId="0" fontId="9" fillId="7" borderId="25" xfId="0" applyFont="1" applyFill="1" applyBorder="1" applyAlignment="1" applyProtection="1">
      <alignment horizontal="left" vertical="center" wrapText="1"/>
      <protection/>
    </xf>
    <xf numFmtId="0" fontId="9" fillId="7" borderId="84" xfId="0" applyFont="1" applyFill="1" applyBorder="1" applyAlignment="1" applyProtection="1">
      <alignment horizontal="left" vertical="center" wrapText="1"/>
      <protection/>
    </xf>
    <xf numFmtId="49" fontId="20" fillId="4" borderId="0" xfId="0" applyNumberFormat="1" applyFont="1" applyFill="1" applyBorder="1" applyAlignment="1">
      <alignment horizontal="left"/>
    </xf>
    <xf numFmtId="49" fontId="20" fillId="4" borderId="0" xfId="0" applyNumberFormat="1" applyFont="1" applyFill="1" applyBorder="1" applyAlignment="1">
      <alignment horizontal="left"/>
    </xf>
    <xf numFmtId="2" fontId="23" fillId="4" borderId="0" xfId="0" applyNumberFormat="1" applyFont="1" applyFill="1" applyBorder="1" applyAlignment="1">
      <alignment horizontal="center"/>
    </xf>
    <xf numFmtId="0" fontId="9" fillId="4" borderId="0" xfId="0" applyFont="1" applyFill="1" applyBorder="1" applyAlignment="1" applyProtection="1">
      <alignment horizontal="left" vertical="center" wrapText="1"/>
      <protection/>
    </xf>
    <xf numFmtId="0" fontId="8" fillId="7" borderId="20" xfId="0" applyFont="1" applyFill="1" applyBorder="1" applyAlignment="1" applyProtection="1">
      <alignment horizontal="left" vertical="center" wrapText="1"/>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0" fillId="0" borderId="0" xfId="0" applyBorder="1" applyAlignment="1">
      <alignment horizontal="right" vertical="center"/>
    </xf>
    <xf numFmtId="0" fontId="3" fillId="7" borderId="0" xfId="0" applyFont="1" applyFill="1" applyAlignment="1">
      <alignment vertical="center" wrapText="1" shrinkToFit="1"/>
    </xf>
    <xf numFmtId="0" fontId="0" fillId="23" borderId="35" xfId="0" applyFill="1" applyBorder="1" applyAlignment="1">
      <alignment/>
    </xf>
    <xf numFmtId="0" fontId="0" fillId="23" borderId="42" xfId="0" applyFill="1" applyBorder="1" applyAlignment="1">
      <alignment/>
    </xf>
    <xf numFmtId="0" fontId="0" fillId="23" borderId="82" xfId="0" applyFill="1" applyBorder="1" applyAlignment="1">
      <alignment/>
    </xf>
    <xf numFmtId="0" fontId="7" fillId="4" borderId="0" xfId="0" applyFont="1" applyFill="1" applyBorder="1" applyAlignment="1" applyProtection="1">
      <alignment horizontal="left" vertical="center"/>
      <protection/>
    </xf>
    <xf numFmtId="0" fontId="0" fillId="0" borderId="0" xfId="0" applyBorder="1" applyAlignment="1">
      <alignment horizontal="left" vertical="center"/>
    </xf>
    <xf numFmtId="0" fontId="0" fillId="7" borderId="34" xfId="0" applyFill="1" applyBorder="1" applyAlignment="1">
      <alignment vertical="center"/>
    </xf>
    <xf numFmtId="0" fontId="9" fillId="4" borderId="40" xfId="0" applyFont="1" applyFill="1" applyBorder="1" applyAlignment="1" applyProtection="1">
      <alignment horizontal="left" vertical="center" wrapText="1"/>
      <protection/>
    </xf>
    <xf numFmtId="0" fontId="0" fillId="7" borderId="40" xfId="0" applyFill="1" applyBorder="1" applyAlignment="1">
      <alignment vertical="center"/>
    </xf>
    <xf numFmtId="0" fontId="19" fillId="4" borderId="0" xfId="0" applyFont="1" applyFill="1" applyBorder="1" applyAlignment="1" applyProtection="1">
      <alignment horizontal="center" vertical="center" wrapText="1"/>
      <protection/>
    </xf>
    <xf numFmtId="0" fontId="5" fillId="7" borderId="0" xfId="0" applyFont="1" applyFill="1" applyBorder="1" applyAlignment="1">
      <alignment horizontal="center" vertical="center"/>
    </xf>
    <xf numFmtId="0" fontId="8" fillId="4" borderId="76" xfId="0" applyFont="1" applyFill="1" applyBorder="1" applyAlignment="1" applyProtection="1">
      <alignment horizontal="left" vertical="center" wrapText="1"/>
      <protection/>
    </xf>
    <xf numFmtId="0" fontId="41" fillId="7" borderId="76" xfId="0" applyFont="1" applyFill="1" applyBorder="1" applyAlignment="1">
      <alignment horizontal="left" vertical="center"/>
    </xf>
    <xf numFmtId="0" fontId="9" fillId="4" borderId="0" xfId="0" applyFont="1" applyFill="1" applyBorder="1" applyAlignment="1" applyProtection="1">
      <alignment horizontal="center" vertical="center"/>
      <protection/>
    </xf>
    <xf numFmtId="0" fontId="9" fillId="7" borderId="20" xfId="0" applyFont="1" applyFill="1" applyBorder="1" applyAlignment="1" applyProtection="1">
      <alignment horizontal="left" vertical="center" wrapText="1"/>
      <protection/>
    </xf>
    <xf numFmtId="0" fontId="9" fillId="7" borderId="57" xfId="0" applyFont="1" applyFill="1" applyBorder="1" applyAlignment="1" applyProtection="1">
      <alignment horizontal="left" vertical="center" wrapText="1"/>
      <protection/>
    </xf>
    <xf numFmtId="0" fontId="6" fillId="4" borderId="75" xfId="0" applyFont="1" applyFill="1" applyBorder="1" applyAlignment="1">
      <alignment/>
    </xf>
    <xf numFmtId="0" fontId="0" fillId="0" borderId="92" xfId="0" applyBorder="1" applyAlignment="1">
      <alignment/>
    </xf>
    <xf numFmtId="0" fontId="0" fillId="0" borderId="35" xfId="0" applyBorder="1" applyAlignment="1">
      <alignment/>
    </xf>
    <xf numFmtId="0" fontId="9" fillId="4" borderId="33" xfId="0" applyFont="1" applyFill="1" applyBorder="1" applyAlignment="1">
      <alignment horizontal="center"/>
    </xf>
    <xf numFmtId="0" fontId="0" fillId="0" borderId="6" xfId="0" applyBorder="1" applyAlignment="1">
      <alignment horizontal="center"/>
    </xf>
    <xf numFmtId="0" fontId="18" fillId="4" borderId="0" xfId="0" applyFont="1" applyFill="1" applyBorder="1" applyAlignment="1">
      <alignment horizontal="center" vertical="center" wrapText="1"/>
    </xf>
    <xf numFmtId="0" fontId="54" fillId="0" borderId="0" xfId="0" applyFont="1" applyAlignment="1">
      <alignment horizontal="center" vertical="center" wrapText="1"/>
    </xf>
    <xf numFmtId="0" fontId="52" fillId="7" borderId="0" xfId="0" applyFont="1" applyFill="1" applyAlignment="1">
      <alignment horizontal="center" vertical="center" wrapText="1" shrinkToFit="1"/>
    </xf>
    <xf numFmtId="0" fontId="52" fillId="0" borderId="0" xfId="0" applyFont="1" applyAlignment="1">
      <alignment horizontal="center" vertical="center" wrapText="1" shrinkToFit="1"/>
    </xf>
    <xf numFmtId="0" fontId="11" fillId="4" borderId="0" xfId="0" applyFont="1" applyFill="1" applyBorder="1" applyAlignment="1" applyProtection="1">
      <alignment horizontal="center" vertical="center"/>
      <protection/>
    </xf>
    <xf numFmtId="0" fontId="52" fillId="0" borderId="0" xfId="0" applyFont="1" applyBorder="1" applyAlignment="1">
      <alignment horizontal="center" vertical="center"/>
    </xf>
    <xf numFmtId="0" fontId="11" fillId="4" borderId="0" xfId="0" applyFont="1" applyFill="1" applyBorder="1" applyAlignment="1" applyProtection="1">
      <alignment horizontal="center" vertical="center" wrapText="1"/>
      <protection/>
    </xf>
    <xf numFmtId="0" fontId="52" fillId="7" borderId="0" xfId="0" applyFont="1" applyFill="1" applyBorder="1" applyAlignment="1">
      <alignment horizontal="center" vertical="center"/>
    </xf>
    <xf numFmtId="0" fontId="20" fillId="8" borderId="0" xfId="0" applyFont="1" applyFill="1" applyAlignment="1">
      <alignment horizontal="left"/>
    </xf>
    <xf numFmtId="49" fontId="3" fillId="8" borderId="0" xfId="0" applyNumberFormat="1" applyFont="1" applyFill="1" applyAlignment="1">
      <alignment horizontal="center"/>
    </xf>
    <xf numFmtId="0" fontId="0" fillId="8" borderId="0" xfId="0" applyFill="1" applyAlignment="1">
      <alignment/>
    </xf>
    <xf numFmtId="0" fontId="23" fillId="8" borderId="0" xfId="0" applyFont="1" applyFill="1" applyAlignment="1">
      <alignment horizontal="center"/>
    </xf>
    <xf numFmtId="0" fontId="4" fillId="0" borderId="0" xfId="0" applyFont="1" applyAlignment="1">
      <alignment/>
    </xf>
    <xf numFmtId="0" fontId="9" fillId="3" borderId="1" xfId="0" applyFont="1" applyFill="1" applyBorder="1" applyAlignment="1">
      <alignment horizontal="center" vertical="center" wrapText="1"/>
    </xf>
    <xf numFmtId="0" fontId="0" fillId="8" borderId="1" xfId="0" applyFill="1" applyBorder="1" applyAlignment="1">
      <alignment horizontal="center" vertical="center" wrapText="1"/>
    </xf>
    <xf numFmtId="0" fontId="9" fillId="3" borderId="0" xfId="0" applyFont="1" applyFill="1" applyBorder="1" applyAlignment="1" applyProtection="1">
      <alignment horizontal="right" vertical="center"/>
      <protection/>
    </xf>
    <xf numFmtId="0" fontId="0" fillId="8" borderId="0" xfId="0" applyFill="1" applyBorder="1" applyAlignment="1" applyProtection="1">
      <alignment horizontal="right" vertical="center"/>
      <protection/>
    </xf>
    <xf numFmtId="0" fontId="0" fillId="8" borderId="0" xfId="0" applyFill="1" applyAlignment="1" applyProtection="1">
      <alignment vertical="center"/>
      <protection/>
    </xf>
    <xf numFmtId="0" fontId="0" fillId="8" borderId="0" xfId="0" applyFill="1" applyAlignment="1" applyProtection="1">
      <alignment/>
      <protection/>
    </xf>
    <xf numFmtId="0" fontId="51" fillId="8" borderId="0" xfId="0" applyFont="1" applyFill="1" applyAlignment="1" applyProtection="1">
      <alignment horizontal="center"/>
      <protection/>
    </xf>
    <xf numFmtId="0" fontId="52" fillId="8" borderId="0" xfId="0" applyFont="1" applyFill="1" applyAlignment="1" applyProtection="1">
      <alignment/>
      <protection/>
    </xf>
    <xf numFmtId="0" fontId="52" fillId="8" borderId="32" xfId="0" applyFont="1" applyFill="1" applyBorder="1" applyAlignment="1" applyProtection="1">
      <alignment/>
      <protection/>
    </xf>
    <xf numFmtId="0" fontId="6" fillId="3" borderId="3" xfId="0" applyFont="1" applyFill="1" applyBorder="1" applyAlignment="1">
      <alignment horizontal="left" vertical="center"/>
    </xf>
    <xf numFmtId="0" fontId="0" fillId="8" borderId="3" xfId="0" applyFill="1" applyBorder="1" applyAlignment="1">
      <alignment horizontal="left" vertical="center"/>
    </xf>
    <xf numFmtId="0" fontId="9" fillId="3" borderId="2" xfId="0" applyFont="1" applyFill="1" applyBorder="1" applyAlignment="1">
      <alignment horizontal="center" vertical="center" wrapText="1"/>
    </xf>
    <xf numFmtId="0" fontId="0" fillId="8" borderId="2" xfId="0" applyFill="1" applyBorder="1" applyAlignment="1">
      <alignment horizontal="center" vertical="center" wrapText="1"/>
    </xf>
    <xf numFmtId="0" fontId="52" fillId="8" borderId="0" xfId="0" applyFont="1" applyFill="1" applyAlignment="1" applyProtection="1">
      <alignment horizontal="center"/>
      <protection/>
    </xf>
    <xf numFmtId="0" fontId="53" fillId="8" borderId="0" xfId="0" applyFont="1" applyFill="1" applyAlignment="1" applyProtection="1">
      <alignment horizontal="center"/>
      <protection/>
    </xf>
    <xf numFmtId="0" fontId="9" fillId="3" borderId="10" xfId="0" applyFont="1" applyFill="1" applyBorder="1" applyAlignment="1">
      <alignment horizontal="center" vertical="center"/>
    </xf>
    <xf numFmtId="0" fontId="0" fillId="8" borderId="26" xfId="0" applyFill="1" applyBorder="1" applyAlignment="1" applyProtection="1">
      <alignment horizontal="center" vertical="center"/>
      <protection/>
    </xf>
    <xf numFmtId="0" fontId="0" fillId="8" borderId="72" xfId="0" applyFill="1" applyBorder="1" applyAlignment="1">
      <alignment/>
    </xf>
    <xf numFmtId="0" fontId="0" fillId="8" borderId="37" xfId="0" applyFill="1" applyBorder="1" applyAlignment="1">
      <alignment/>
    </xf>
    <xf numFmtId="0" fontId="51" fillId="8" borderId="0" xfId="0" applyFont="1" applyFill="1" applyAlignment="1">
      <alignment horizontal="center" vertical="center"/>
    </xf>
    <xf numFmtId="0" fontId="4" fillId="8" borderId="0" xfId="0" applyFont="1" applyFill="1" applyAlignment="1">
      <alignment/>
    </xf>
    <xf numFmtId="0" fontId="20" fillId="8" borderId="0" xfId="0" applyFont="1" applyFill="1" applyAlignment="1">
      <alignment/>
    </xf>
    <xf numFmtId="0" fontId="53" fillId="8" borderId="0" xfId="0" applyFont="1" applyFill="1" applyAlignment="1">
      <alignment horizontal="right" vertical="center"/>
    </xf>
    <xf numFmtId="0" fontId="53" fillId="8" borderId="37" xfId="0" applyFont="1" applyFill="1" applyBorder="1" applyAlignment="1">
      <alignment horizontal="right" vertical="center"/>
    </xf>
    <xf numFmtId="0" fontId="0" fillId="8" borderId="76" xfId="0" applyFill="1" applyBorder="1" applyAlignment="1">
      <alignment/>
    </xf>
    <xf numFmtId="0" fontId="41" fillId="8" borderId="0" xfId="0" applyFont="1" applyFill="1" applyAlignment="1">
      <alignment vertical="center"/>
    </xf>
    <xf numFmtId="0" fontId="41" fillId="8" borderId="0" xfId="0" applyFont="1" applyFill="1" applyAlignment="1">
      <alignment vertical="center" wrapText="1"/>
    </xf>
    <xf numFmtId="0" fontId="83" fillId="19" borderId="15" xfId="16" applyFont="1" applyFill="1" applyBorder="1" applyAlignment="1" applyProtection="1">
      <alignment horizontal="left" vertical="center"/>
      <protection/>
    </xf>
    <xf numFmtId="0" fontId="0" fillId="0" borderId="25" xfId="0" applyBorder="1" applyAlignment="1" applyProtection="1">
      <alignment vertical="center"/>
      <protection/>
    </xf>
    <xf numFmtId="0" fontId="102" fillId="19" borderId="8" xfId="16" applyFont="1" applyFill="1" applyBorder="1" applyAlignment="1" applyProtection="1">
      <alignment horizontal="left" vertical="center"/>
      <protection locked="0"/>
    </xf>
    <xf numFmtId="0" fontId="102" fillId="19" borderId="23" xfId="16" applyFont="1" applyFill="1" applyBorder="1" applyAlignment="1" applyProtection="1">
      <alignment horizontal="left" vertical="center"/>
      <protection locked="0"/>
    </xf>
    <xf numFmtId="0" fontId="50" fillId="0" borderId="23" xfId="0" applyFont="1" applyBorder="1" applyAlignment="1">
      <alignment vertical="center"/>
    </xf>
    <xf numFmtId="0" fontId="50" fillId="0" borderId="72" xfId="0" applyFont="1" applyBorder="1" applyAlignment="1">
      <alignment vertical="center"/>
    </xf>
    <xf numFmtId="49" fontId="102" fillId="19" borderId="78" xfId="16" applyNumberFormat="1" applyFont="1" applyFill="1" applyBorder="1" applyAlignment="1" applyProtection="1">
      <alignment horizontal="left" vertical="center"/>
      <protection/>
    </xf>
    <xf numFmtId="49" fontId="102" fillId="19" borderId="40" xfId="16" applyNumberFormat="1" applyFont="1" applyFill="1" applyBorder="1" applyAlignment="1" applyProtection="1">
      <alignment horizontal="left" vertical="center"/>
      <protection/>
    </xf>
    <xf numFmtId="0" fontId="0" fillId="0" borderId="40" xfId="0" applyBorder="1" applyAlignment="1" applyProtection="1">
      <alignment vertical="center"/>
      <protection/>
    </xf>
    <xf numFmtId="0" fontId="0" fillId="0" borderId="79" xfId="0" applyBorder="1" applyAlignment="1" applyProtection="1">
      <alignment vertical="center"/>
      <protection/>
    </xf>
    <xf numFmtId="0" fontId="83" fillId="19" borderId="0" xfId="16" applyFont="1" applyFill="1" applyBorder="1" applyAlignment="1" applyProtection="1">
      <alignment horizontal="left" vertical="center" wrapText="1"/>
      <protection/>
    </xf>
    <xf numFmtId="49" fontId="102" fillId="19" borderId="8" xfId="16" applyNumberFormat="1" applyFont="1" applyFill="1" applyBorder="1" applyAlignment="1" applyProtection="1">
      <alignment horizontal="left" vertical="center"/>
      <protection locked="0"/>
    </xf>
    <xf numFmtId="49" fontId="102" fillId="19" borderId="23" xfId="16" applyNumberFormat="1" applyFont="1" applyFill="1" applyBorder="1" applyAlignment="1" applyProtection="1">
      <alignment horizontal="left" vertical="center"/>
      <protection locked="0"/>
    </xf>
    <xf numFmtId="49" fontId="102" fillId="19" borderId="43" xfId="16" applyNumberFormat="1" applyFont="1" applyFill="1" applyBorder="1" applyAlignment="1" applyProtection="1">
      <alignment horizontal="left" vertical="center"/>
      <protection locked="0"/>
    </xf>
    <xf numFmtId="0" fontId="0" fillId="0" borderId="0" xfId="0" applyBorder="1" applyAlignment="1">
      <alignment horizontal="left" vertical="center" wrapText="1"/>
    </xf>
    <xf numFmtId="0" fontId="83" fillId="19" borderId="40" xfId="16" applyFont="1" applyFill="1" applyBorder="1" applyAlignment="1" applyProtection="1">
      <alignment horizontal="left" vertical="center" wrapText="1"/>
      <protection/>
    </xf>
    <xf numFmtId="0" fontId="0" fillId="0" borderId="40" xfId="0" applyBorder="1" applyAlignment="1">
      <alignment horizontal="left" vertical="center" wrapText="1"/>
    </xf>
    <xf numFmtId="0" fontId="102" fillId="19" borderId="8" xfId="16" applyFont="1" applyFill="1" applyBorder="1" applyAlignment="1" applyProtection="1">
      <alignment horizontal="left" vertical="center"/>
      <protection/>
    </xf>
    <xf numFmtId="0" fontId="102" fillId="19" borderId="23" xfId="16" applyFont="1" applyFill="1" applyBorder="1" applyAlignment="1" applyProtection="1">
      <alignment horizontal="left" vertical="center"/>
      <protection/>
    </xf>
    <xf numFmtId="0" fontId="50" fillId="0" borderId="23" xfId="0" applyFont="1" applyBorder="1" applyAlignment="1" applyProtection="1">
      <alignment vertical="center"/>
      <protection/>
    </xf>
    <xf numFmtId="0" fontId="50" fillId="0" borderId="72" xfId="0" applyFont="1" applyBorder="1" applyAlignment="1" applyProtection="1">
      <alignment vertical="center"/>
      <protection/>
    </xf>
    <xf numFmtId="0" fontId="83" fillId="19" borderId="75" xfId="16" applyFont="1" applyFill="1" applyBorder="1" applyAlignment="1" applyProtection="1">
      <alignment horizontal="left" vertical="center"/>
      <protection/>
    </xf>
    <xf numFmtId="0" fontId="83" fillId="19" borderId="76" xfId="16" applyFont="1" applyFill="1" applyBorder="1" applyAlignment="1" applyProtection="1">
      <alignment horizontal="left" vertical="center"/>
      <protection/>
    </xf>
    <xf numFmtId="0" fontId="0" fillId="0" borderId="76" xfId="0" applyBorder="1" applyAlignment="1" applyProtection="1">
      <alignment vertical="center"/>
      <protection/>
    </xf>
    <xf numFmtId="2" fontId="102" fillId="19" borderId="26" xfId="16" applyNumberFormat="1" applyFont="1" applyFill="1" applyBorder="1" applyAlignment="1" applyProtection="1">
      <alignment horizontal="left" vertical="center"/>
      <protection/>
    </xf>
    <xf numFmtId="0" fontId="0" fillId="0" borderId="43" xfId="0" applyBorder="1" applyAlignment="1" applyProtection="1">
      <alignment horizontal="left" vertical="center"/>
      <protection/>
    </xf>
    <xf numFmtId="0" fontId="83" fillId="19" borderId="5" xfId="16" applyFont="1" applyFill="1" applyBorder="1" applyAlignment="1" applyProtection="1">
      <alignment horizontal="left" vertical="center"/>
      <protection/>
    </xf>
    <xf numFmtId="0" fontId="83" fillId="19" borderId="24" xfId="16" applyFont="1" applyFill="1" applyBorder="1" applyAlignment="1" applyProtection="1">
      <alignment horizontal="left" vertical="center"/>
      <protection/>
    </xf>
    <xf numFmtId="0" fontId="0" fillId="0" borderId="24" xfId="0" applyBorder="1" applyAlignment="1" applyProtection="1">
      <alignment vertical="center"/>
      <protection/>
    </xf>
    <xf numFmtId="0" fontId="0" fillId="0" borderId="44" xfId="0" applyBorder="1" applyAlignment="1" applyProtection="1">
      <alignment vertical="center"/>
      <protection/>
    </xf>
    <xf numFmtId="2" fontId="83" fillId="19" borderId="22" xfId="16" applyNumberFormat="1" applyFont="1" applyFill="1" applyBorder="1" applyAlignment="1" applyProtection="1">
      <alignment horizontal="left" vertical="center"/>
      <protection/>
    </xf>
    <xf numFmtId="2" fontId="83" fillId="19" borderId="6" xfId="16" applyNumberFormat="1" applyFont="1" applyFill="1" applyBorder="1" applyAlignment="1" applyProtection="1">
      <alignment horizontal="left" vertical="center"/>
      <protection/>
    </xf>
    <xf numFmtId="0" fontId="102" fillId="19" borderId="8" xfId="16" applyNumberFormat="1" applyFont="1" applyFill="1" applyBorder="1" applyAlignment="1" applyProtection="1">
      <alignment horizontal="left" vertical="center"/>
      <protection locked="0"/>
    </xf>
    <xf numFmtId="0" fontId="102" fillId="19" borderId="23" xfId="16" applyNumberFormat="1" applyFont="1" applyFill="1" applyBorder="1" applyAlignment="1" applyProtection="1">
      <alignment horizontal="left" vertical="center"/>
      <protection locked="0"/>
    </xf>
    <xf numFmtId="0" fontId="102" fillId="19" borderId="72" xfId="16" applyNumberFormat="1" applyFont="1" applyFill="1" applyBorder="1" applyAlignment="1" applyProtection="1">
      <alignment horizontal="left" vertical="center"/>
      <protection locked="0"/>
    </xf>
    <xf numFmtId="0" fontId="83" fillId="19" borderId="25" xfId="16" applyFont="1" applyFill="1" applyBorder="1" applyAlignment="1" applyProtection="1">
      <alignment horizontal="left" vertical="center"/>
      <protection/>
    </xf>
    <xf numFmtId="0" fontId="0" fillId="0" borderId="25" xfId="0" applyBorder="1" applyAlignment="1">
      <alignment vertical="center"/>
    </xf>
    <xf numFmtId="0" fontId="83" fillId="19" borderId="0" xfId="16" applyFont="1" applyFill="1" applyBorder="1" applyAlignment="1" applyProtection="1">
      <alignment horizontal="left" vertical="center"/>
      <protection/>
    </xf>
    <xf numFmtId="0" fontId="102" fillId="19" borderId="26" xfId="16" applyFont="1" applyFill="1" applyBorder="1" applyAlignment="1" applyProtection="1">
      <alignment horizontal="left" vertical="center"/>
      <protection locked="0"/>
    </xf>
    <xf numFmtId="0" fontId="50" fillId="0" borderId="23" xfId="0" applyFont="1" applyBorder="1" applyAlignment="1" applyProtection="1">
      <alignment vertical="center"/>
      <protection locked="0"/>
    </xf>
    <xf numFmtId="0" fontId="50" fillId="0" borderId="43" xfId="0" applyFont="1" applyBorder="1" applyAlignment="1" applyProtection="1">
      <alignment vertical="center"/>
      <protection locked="0"/>
    </xf>
    <xf numFmtId="0" fontId="83" fillId="19" borderId="0" xfId="16" applyFont="1" applyFill="1" applyAlignment="1" applyProtection="1">
      <alignment horizontal="center"/>
      <protection/>
    </xf>
    <xf numFmtId="0" fontId="100" fillId="19" borderId="0" xfId="16" applyFont="1" applyFill="1" applyAlignment="1" applyProtection="1">
      <alignment horizontal="center" vertical="center"/>
      <protection/>
    </xf>
    <xf numFmtId="0" fontId="101" fillId="19" borderId="0" xfId="16" applyFont="1" applyFill="1" applyAlignment="1" applyProtection="1">
      <alignment horizontal="center" vertical="center"/>
      <protection/>
    </xf>
    <xf numFmtId="0" fontId="83" fillId="19" borderId="0" xfId="16" applyFont="1" applyFill="1" applyAlignment="1" applyProtection="1">
      <alignment horizontal="left"/>
      <protection/>
    </xf>
    <xf numFmtId="0" fontId="83" fillId="19" borderId="0" xfId="16" applyFont="1" applyFill="1" applyBorder="1" applyAlignment="1" applyProtection="1">
      <alignment horizontal="left"/>
      <protection/>
    </xf>
    <xf numFmtId="0" fontId="83" fillId="19" borderId="19" xfId="16" applyFont="1" applyFill="1" applyBorder="1" applyAlignment="1" applyProtection="1">
      <alignment horizontal="left" vertical="center"/>
      <protection/>
    </xf>
    <xf numFmtId="0" fontId="83" fillId="19" borderId="32" xfId="16" applyFont="1" applyFill="1" applyBorder="1" applyAlignment="1" applyProtection="1">
      <alignment horizontal="left" vertical="center"/>
      <protection/>
    </xf>
    <xf numFmtId="0" fontId="83" fillId="19" borderId="0" xfId="16" applyFont="1" applyFill="1" applyBorder="1" applyAlignment="1" applyProtection="1">
      <alignment horizontal="center" vertical="center"/>
      <protection/>
    </xf>
    <xf numFmtId="49" fontId="103" fillId="19" borderId="8" xfId="16" applyNumberFormat="1" applyFont="1" applyFill="1" applyBorder="1" applyAlignment="1" applyProtection="1">
      <alignment horizontal="left" vertical="center"/>
      <protection locked="0"/>
    </xf>
    <xf numFmtId="49" fontId="103" fillId="19" borderId="23" xfId="16" applyNumberFormat="1" applyFont="1" applyFill="1" applyBorder="1" applyAlignment="1" applyProtection="1">
      <alignment horizontal="left" vertical="center"/>
      <protection locked="0"/>
    </xf>
    <xf numFmtId="49" fontId="103" fillId="19" borderId="43" xfId="16" applyNumberFormat="1" applyFont="1" applyFill="1" applyBorder="1" applyAlignment="1" applyProtection="1">
      <alignment horizontal="left" vertical="center"/>
      <protection locked="0"/>
    </xf>
    <xf numFmtId="0" fontId="0" fillId="0" borderId="77" xfId="0" applyBorder="1" applyAlignment="1">
      <alignment vertical="center"/>
    </xf>
    <xf numFmtId="0" fontId="102" fillId="19" borderId="19" xfId="16" applyNumberFormat="1" applyFont="1" applyFill="1" applyBorder="1" applyAlignment="1" applyProtection="1">
      <alignment horizontal="center" vertical="center"/>
      <protection/>
    </xf>
    <xf numFmtId="0" fontId="102" fillId="19" borderId="0" xfId="16" applyNumberFormat="1" applyFont="1" applyFill="1" applyBorder="1" applyAlignment="1" applyProtection="1">
      <alignment horizontal="center" vertical="center"/>
      <protection/>
    </xf>
    <xf numFmtId="0" fontId="0" fillId="0" borderId="0" xfId="0" applyAlignment="1" applyProtection="1">
      <alignment vertical="center"/>
      <protection/>
    </xf>
    <xf numFmtId="0" fontId="0" fillId="0" borderId="32" xfId="0" applyBorder="1" applyAlignment="1" applyProtection="1">
      <alignment vertical="center"/>
      <protection/>
    </xf>
    <xf numFmtId="0" fontId="83" fillId="19" borderId="0" xfId="16" applyFont="1" applyFill="1" applyBorder="1" applyAlignment="1">
      <alignment horizontal="center"/>
      <protection/>
    </xf>
    <xf numFmtId="0" fontId="102" fillId="0" borderId="96" xfId="16" applyFont="1" applyFill="1" applyBorder="1" applyAlignment="1" applyProtection="1">
      <alignment horizontal="center" vertical="center"/>
      <protection locked="0"/>
    </xf>
    <xf numFmtId="0" fontId="102" fillId="0" borderId="94" xfId="16" applyFont="1" applyFill="1" applyBorder="1" applyAlignment="1" applyProtection="1">
      <alignment horizontal="center" vertical="center"/>
      <protection locked="0"/>
    </xf>
    <xf numFmtId="0" fontId="102" fillId="0" borderId="97" xfId="16" applyFont="1" applyFill="1" applyBorder="1" applyAlignment="1" applyProtection="1">
      <alignment horizontal="center" vertical="center"/>
      <protection locked="0"/>
    </xf>
    <xf numFmtId="14" fontId="102" fillId="19" borderId="26" xfId="16" applyNumberFormat="1" applyFont="1" applyFill="1" applyBorder="1" applyAlignment="1" applyProtection="1">
      <alignment horizontal="center" vertical="center"/>
      <protection locked="0"/>
    </xf>
    <xf numFmtId="14" fontId="102" fillId="19" borderId="72" xfId="16" applyNumberFormat="1" applyFont="1" applyFill="1" applyBorder="1" applyAlignment="1" applyProtection="1">
      <alignment horizontal="center" vertical="center"/>
      <protection locked="0"/>
    </xf>
    <xf numFmtId="0" fontId="83" fillId="19" borderId="0" xfId="16" applyFont="1" applyFill="1" applyBorder="1" applyAlignment="1" applyProtection="1">
      <alignment horizontal="center"/>
      <protection/>
    </xf>
    <xf numFmtId="0" fontId="103" fillId="19" borderId="0" xfId="16" applyFont="1" applyFill="1" applyAlignment="1" applyProtection="1">
      <alignment horizontal="left" vertical="center"/>
      <protection/>
    </xf>
    <xf numFmtId="14" fontId="102" fillId="19" borderId="81" xfId="16" applyNumberFormat="1" applyFont="1" applyFill="1" applyBorder="1" applyAlignment="1" applyProtection="1">
      <alignment horizontal="center" vertical="center"/>
      <protection locked="0"/>
    </xf>
    <xf numFmtId="0" fontId="102" fillId="19" borderId="81" xfId="16" applyFont="1" applyFill="1" applyBorder="1" applyAlignment="1" applyProtection="1">
      <alignment horizontal="center" vertical="center"/>
      <protection locked="0"/>
    </xf>
    <xf numFmtId="49" fontId="102" fillId="19" borderId="26" xfId="16" applyNumberFormat="1" applyFont="1" applyFill="1" applyBorder="1" applyAlignment="1" applyProtection="1">
      <alignment horizontal="center" vertical="center"/>
      <protection locked="0"/>
    </xf>
    <xf numFmtId="49" fontId="102" fillId="19" borderId="72" xfId="16" applyNumberFormat="1" applyFont="1" applyFill="1" applyBorder="1" applyAlignment="1" applyProtection="1">
      <alignment horizontal="center" vertical="center"/>
      <protection locked="0"/>
    </xf>
    <xf numFmtId="0" fontId="83" fillId="19" borderId="0" xfId="16" applyFont="1" applyFill="1" applyAlignment="1" applyProtection="1">
      <alignment horizontal="center" vertical="center"/>
      <protection/>
    </xf>
    <xf numFmtId="0" fontId="83" fillId="19" borderId="42" xfId="16" applyFont="1" applyFill="1" applyBorder="1" applyAlignment="1" applyProtection="1">
      <alignment horizontal="left" vertical="center"/>
      <protection/>
    </xf>
    <xf numFmtId="0" fontId="83" fillId="19" borderId="42" xfId="16" applyFont="1" applyFill="1" applyBorder="1" applyAlignment="1" applyProtection="1">
      <alignment horizontal="left" vertical="center"/>
      <protection/>
    </xf>
    <xf numFmtId="167" fontId="102" fillId="19" borderId="26" xfId="16" applyNumberFormat="1" applyFont="1" applyFill="1" applyBorder="1" applyAlignment="1" applyProtection="1">
      <alignment horizontal="center" vertical="center"/>
      <protection locked="0"/>
    </xf>
    <xf numFmtId="167" fontId="102" fillId="19" borderId="72" xfId="16" applyNumberFormat="1" applyFont="1" applyFill="1" applyBorder="1" applyAlignment="1" applyProtection="1">
      <alignment horizontal="center" vertical="center"/>
      <protection locked="0"/>
    </xf>
    <xf numFmtId="0" fontId="102" fillId="0" borderId="98" xfId="16" applyFont="1" applyFill="1" applyBorder="1" applyAlignment="1" applyProtection="1">
      <alignment horizontal="center" vertical="center"/>
      <protection locked="0"/>
    </xf>
    <xf numFmtId="0" fontId="102" fillId="0" borderId="99" xfId="16" applyFont="1" applyFill="1" applyBorder="1" applyAlignment="1" applyProtection="1">
      <alignment horizontal="center" vertical="center"/>
      <protection locked="0"/>
    </xf>
    <xf numFmtId="0" fontId="102" fillId="0" borderId="100" xfId="16" applyFont="1" applyFill="1" applyBorder="1" applyAlignment="1" applyProtection="1">
      <alignment horizontal="center" vertical="center"/>
      <protection locked="0"/>
    </xf>
    <xf numFmtId="0" fontId="83" fillId="19" borderId="34" xfId="16" applyFont="1" applyFill="1" applyBorder="1" applyAlignment="1" applyProtection="1">
      <alignment horizontal="center" vertical="center"/>
      <protection/>
    </xf>
    <xf numFmtId="0" fontId="102" fillId="0" borderId="47" xfId="16" applyFont="1" applyFill="1" applyBorder="1" applyAlignment="1" applyProtection="1">
      <alignment horizontal="center" vertical="center"/>
      <protection locked="0"/>
    </xf>
    <xf numFmtId="0" fontId="102" fillId="0" borderId="42" xfId="16" applyFont="1" applyFill="1" applyBorder="1" applyAlignment="1" applyProtection="1">
      <alignment horizontal="center" vertical="center"/>
      <protection locked="0"/>
    </xf>
    <xf numFmtId="0" fontId="102" fillId="0" borderId="42" xfId="16" applyFont="1" applyFill="1" applyBorder="1" applyAlignment="1" applyProtection="1">
      <alignment horizontal="center" vertical="center"/>
      <protection locked="0"/>
    </xf>
    <xf numFmtId="0" fontId="102" fillId="0" borderId="82" xfId="16" applyFont="1" applyFill="1" applyBorder="1" applyAlignment="1" applyProtection="1">
      <alignment horizontal="center" vertical="center"/>
      <protection locked="0"/>
    </xf>
    <xf numFmtId="0" fontId="83" fillId="19" borderId="0" xfId="16" applyFont="1" applyFill="1" applyAlignment="1" applyProtection="1">
      <alignment horizontal="left" vertical="center"/>
      <protection/>
    </xf>
    <xf numFmtId="49" fontId="102" fillId="19" borderId="23" xfId="16" applyNumberFormat="1" applyFont="1" applyFill="1" applyBorder="1" applyAlignment="1" applyProtection="1">
      <alignment horizontal="center" vertical="center"/>
      <protection locked="0"/>
    </xf>
    <xf numFmtId="0" fontId="104" fillId="19" borderId="83" xfId="16" applyFont="1" applyFill="1" applyBorder="1" applyAlignment="1" applyProtection="1">
      <alignment horizontal="center"/>
      <protection locked="0"/>
    </xf>
    <xf numFmtId="0" fontId="104" fillId="19" borderId="25" xfId="16" applyFont="1" applyFill="1" applyBorder="1" applyAlignment="1" applyProtection="1">
      <alignment horizontal="center"/>
      <protection locked="0"/>
    </xf>
    <xf numFmtId="0" fontId="104" fillId="19" borderId="84" xfId="16" applyFont="1" applyFill="1" applyBorder="1" applyAlignment="1" applyProtection="1">
      <alignment horizontal="center"/>
      <protection locked="0"/>
    </xf>
    <xf numFmtId="0" fontId="104" fillId="19" borderId="34" xfId="16" applyFont="1" applyFill="1" applyBorder="1" applyAlignment="1" applyProtection="1">
      <alignment horizontal="center"/>
      <protection locked="0"/>
    </xf>
    <xf numFmtId="0" fontId="104" fillId="19" borderId="0" xfId="16" applyFont="1" applyFill="1" applyBorder="1" applyAlignment="1" applyProtection="1">
      <alignment horizontal="center"/>
      <protection locked="0"/>
    </xf>
    <xf numFmtId="0" fontId="104" fillId="19" borderId="37" xfId="16" applyFont="1" applyFill="1" applyBorder="1" applyAlignment="1" applyProtection="1">
      <alignment horizontal="center"/>
      <protection locked="0"/>
    </xf>
    <xf numFmtId="0" fontId="104" fillId="19" borderId="47" xfId="16" applyFont="1" applyFill="1" applyBorder="1" applyAlignment="1" applyProtection="1">
      <alignment horizontal="center"/>
      <protection locked="0"/>
    </xf>
    <xf numFmtId="0" fontId="104" fillId="19" borderId="42" xfId="16" applyFont="1" applyFill="1" applyBorder="1" applyAlignment="1" applyProtection="1">
      <alignment horizontal="center"/>
      <protection locked="0"/>
    </xf>
    <xf numFmtId="0" fontId="104" fillId="19" borderId="82" xfId="16" applyFont="1" applyFill="1" applyBorder="1" applyAlignment="1" applyProtection="1">
      <alignment horizontal="center"/>
      <protection locked="0"/>
    </xf>
    <xf numFmtId="0" fontId="57" fillId="24" borderId="0" xfId="16" applyFont="1" applyFill="1" applyAlignment="1" applyProtection="1">
      <alignment horizontal="left" vertical="center"/>
      <protection/>
    </xf>
    <xf numFmtId="0" fontId="104" fillId="24" borderId="0" xfId="16" applyFont="1" applyFill="1" applyAlignment="1" applyProtection="1">
      <alignment horizontal="justify" vertical="center" wrapText="1"/>
      <protection/>
    </xf>
    <xf numFmtId="0" fontId="83" fillId="19" borderId="25" xfId="16" applyFont="1" applyFill="1" applyBorder="1" applyAlignment="1" applyProtection="1">
      <alignment horizontal="center"/>
      <protection/>
    </xf>
    <xf numFmtId="0" fontId="83" fillId="19" borderId="25" xfId="16" applyFont="1" applyFill="1" applyBorder="1" applyAlignment="1" applyProtection="1">
      <alignment horizontal="center"/>
      <protection/>
    </xf>
    <xf numFmtId="0" fontId="0" fillId="0" borderId="25" xfId="0" applyBorder="1" applyAlignment="1">
      <alignment horizontal="center"/>
    </xf>
    <xf numFmtId="0" fontId="104" fillId="19" borderId="0" xfId="16" applyFont="1" applyFill="1" applyAlignment="1" applyProtection="1">
      <alignment horizontal="left"/>
      <protection/>
    </xf>
    <xf numFmtId="0" fontId="102" fillId="19" borderId="81" xfId="16" applyNumberFormat="1" applyFont="1" applyFill="1" applyBorder="1" applyAlignment="1" applyProtection="1">
      <alignment horizontal="center" vertical="center"/>
      <protection locked="0"/>
    </xf>
    <xf numFmtId="0" fontId="2" fillId="19" borderId="0" xfId="16" applyFill="1" applyAlignment="1">
      <alignment horizontal="center"/>
      <protection/>
    </xf>
    <xf numFmtId="0" fontId="83" fillId="19" borderId="0" xfId="16" applyFont="1" applyFill="1" applyAlignment="1">
      <alignment horizontal="center" vertical="center"/>
      <protection/>
    </xf>
    <xf numFmtId="0" fontId="103" fillId="19" borderId="0" xfId="16" applyFont="1" applyFill="1" applyAlignment="1">
      <alignment horizontal="center" vertical="center"/>
      <protection/>
    </xf>
    <xf numFmtId="0" fontId="102" fillId="19" borderId="0" xfId="16" applyFont="1" applyFill="1" applyBorder="1" applyAlignment="1" applyProtection="1">
      <alignment horizontal="center" vertical="center"/>
      <protection locked="0"/>
    </xf>
    <xf numFmtId="0" fontId="2" fillId="19" borderId="0" xfId="16" applyFill="1" applyAlignment="1">
      <alignment horizontal="center" vertical="center"/>
      <protection/>
    </xf>
    <xf numFmtId="0" fontId="0" fillId="19" borderId="34" xfId="0" applyFont="1" applyFill="1" applyBorder="1" applyAlignment="1" applyProtection="1">
      <alignment vertical="center"/>
      <protection/>
    </xf>
    <xf numFmtId="0" fontId="0" fillId="19" borderId="0" xfId="0" applyFill="1" applyAlignment="1" applyProtection="1">
      <alignment vertical="center"/>
      <protection/>
    </xf>
    <xf numFmtId="0" fontId="0" fillId="19" borderId="37" xfId="0" applyFill="1" applyBorder="1" applyAlignment="1" applyProtection="1">
      <alignment vertical="center"/>
      <protection/>
    </xf>
    <xf numFmtId="0" fontId="12" fillId="8" borderId="34" xfId="0" applyFont="1" applyFill="1" applyBorder="1" applyAlignment="1">
      <alignment vertical="center"/>
    </xf>
    <xf numFmtId="4" fontId="0" fillId="8" borderId="26" xfId="0" applyNumberFormat="1" applyFont="1" applyFill="1" applyBorder="1" applyAlignment="1" applyProtection="1">
      <alignment vertical="center"/>
      <protection/>
    </xf>
    <xf numFmtId="0" fontId="0" fillId="0" borderId="23" xfId="0" applyBorder="1" applyAlignment="1">
      <alignment vertical="center"/>
    </xf>
    <xf numFmtId="0" fontId="0" fillId="0" borderId="72" xfId="0" applyBorder="1" applyAlignment="1">
      <alignment vertical="center"/>
    </xf>
    <xf numFmtId="3" fontId="3" fillId="8" borderId="34" xfId="0" applyNumberFormat="1" applyFont="1" applyFill="1" applyBorder="1" applyAlignment="1">
      <alignment vertical="center"/>
    </xf>
    <xf numFmtId="4" fontId="0" fillId="3" borderId="26" xfId="0" applyNumberFormat="1" applyFont="1" applyFill="1" applyBorder="1" applyAlignment="1" applyProtection="1">
      <alignment vertical="center"/>
      <protection/>
    </xf>
    <xf numFmtId="0" fontId="0" fillId="0" borderId="23" xfId="0" applyBorder="1" applyAlignment="1" applyProtection="1">
      <alignment vertical="center"/>
      <protection/>
    </xf>
    <xf numFmtId="0" fontId="0" fillId="0" borderId="72" xfId="0" applyBorder="1" applyAlignment="1" applyProtection="1">
      <alignment vertical="center"/>
      <protection/>
    </xf>
    <xf numFmtId="0" fontId="0" fillId="19" borderId="0" xfId="0" applyFill="1" applyBorder="1" applyAlignment="1" applyProtection="1">
      <alignment vertical="center"/>
      <protection/>
    </xf>
    <xf numFmtId="0" fontId="23" fillId="8" borderId="47" xfId="0" applyFont="1" applyFill="1" applyBorder="1" applyAlignment="1">
      <alignment horizontal="center" vertical="center"/>
    </xf>
    <xf numFmtId="0" fontId="0" fillId="0" borderId="42" xfId="0" applyBorder="1" applyAlignment="1">
      <alignment horizontal="center" vertical="center"/>
    </xf>
    <xf numFmtId="0" fontId="23" fillId="8" borderId="34" xfId="0" applyFont="1" applyFill="1" applyBorder="1" applyAlignment="1">
      <alignment horizontal="center" vertical="center"/>
    </xf>
    <xf numFmtId="0" fontId="0" fillId="0" borderId="0" xfId="0" applyBorder="1" applyAlignment="1">
      <alignment horizontal="center" vertical="center"/>
    </xf>
    <xf numFmtId="0" fontId="0" fillId="8" borderId="34" xfId="0" applyFont="1" applyFill="1" applyBorder="1" applyAlignment="1">
      <alignment vertical="center"/>
    </xf>
    <xf numFmtId="0" fontId="32" fillId="8" borderId="42" xfId="0" applyFont="1" applyFill="1" applyBorder="1" applyAlignment="1" applyProtection="1">
      <alignment horizontal="right" vertical="center"/>
      <protection/>
    </xf>
    <xf numFmtId="0" fontId="0" fillId="3" borderId="42" xfId="0" applyFont="1" applyFill="1" applyBorder="1" applyAlignment="1" applyProtection="1">
      <alignment horizontal="right" vertical="center"/>
      <protection/>
    </xf>
    <xf numFmtId="0" fontId="0" fillId="3" borderId="82" xfId="0" applyFont="1" applyFill="1" applyBorder="1" applyAlignment="1" applyProtection="1">
      <alignment horizontal="right" vertical="center"/>
      <protection/>
    </xf>
    <xf numFmtId="4" fontId="0" fillId="8" borderId="26" xfId="0" applyNumberFormat="1" applyFont="1" applyFill="1" applyBorder="1" applyAlignment="1" applyProtection="1">
      <alignment vertical="center"/>
      <protection locked="0"/>
    </xf>
    <xf numFmtId="0" fontId="0" fillId="0" borderId="23" xfId="0" applyBorder="1" applyAlignment="1" applyProtection="1">
      <alignment vertical="center"/>
      <protection locked="0"/>
    </xf>
    <xf numFmtId="0" fontId="0" fillId="0" borderId="72" xfId="0" applyBorder="1" applyAlignment="1" applyProtection="1">
      <alignment vertical="center"/>
      <protection locked="0"/>
    </xf>
    <xf numFmtId="0" fontId="12" fillId="8" borderId="34" xfId="0" applyFont="1" applyFill="1" applyBorder="1" applyAlignment="1">
      <alignment vertical="center"/>
    </xf>
    <xf numFmtId="4" fontId="0" fillId="3" borderId="34" xfId="0" applyNumberFormat="1" applyFont="1" applyFill="1" applyBorder="1" applyAlignment="1" applyProtection="1">
      <alignment vertical="center"/>
      <protection/>
    </xf>
    <xf numFmtId="0" fontId="0" fillId="0" borderId="0" xfId="0" applyBorder="1" applyAlignment="1" applyProtection="1">
      <alignment vertical="center"/>
      <protection/>
    </xf>
    <xf numFmtId="0" fontId="0" fillId="0" borderId="37" xfId="0" applyBorder="1" applyAlignment="1" applyProtection="1">
      <alignment vertical="center"/>
      <protection/>
    </xf>
    <xf numFmtId="0" fontId="0" fillId="0" borderId="34" xfId="0" applyBorder="1" applyAlignment="1" applyProtection="1">
      <alignment vertical="center"/>
      <protection/>
    </xf>
    <xf numFmtId="3" fontId="12" fillId="8" borderId="101" xfId="0" applyNumberFormat="1" applyFont="1" applyFill="1" applyBorder="1" applyAlignment="1">
      <alignment vertical="center" wrapText="1"/>
    </xf>
    <xf numFmtId="0" fontId="0" fillId="0" borderId="102" xfId="0" applyBorder="1" applyAlignment="1">
      <alignment vertical="center" wrapText="1"/>
    </xf>
    <xf numFmtId="0" fontId="0" fillId="0" borderId="103" xfId="0" applyBorder="1" applyAlignment="1">
      <alignment vertical="center" wrapText="1"/>
    </xf>
    <xf numFmtId="0" fontId="0" fillId="0" borderId="104" xfId="0" applyBorder="1" applyAlignment="1">
      <alignment vertical="center" wrapText="1"/>
    </xf>
    <xf numFmtId="0" fontId="0" fillId="0" borderId="0" xfId="0" applyBorder="1" applyAlignment="1">
      <alignment vertical="center" wrapText="1"/>
    </xf>
    <xf numFmtId="0" fontId="0" fillId="0" borderId="105" xfId="0" applyBorder="1" applyAlignment="1">
      <alignment vertical="center" wrapText="1"/>
    </xf>
    <xf numFmtId="0" fontId="0" fillId="0" borderId="106" xfId="0" applyBorder="1" applyAlignment="1">
      <alignment vertical="center" wrapText="1"/>
    </xf>
    <xf numFmtId="0" fontId="0" fillId="0" borderId="81" xfId="0" applyBorder="1" applyAlignment="1">
      <alignment vertical="center" wrapText="1"/>
    </xf>
    <xf numFmtId="0" fontId="0" fillId="0" borderId="107" xfId="0" applyBorder="1" applyAlignment="1">
      <alignment vertical="center" wrapText="1"/>
    </xf>
    <xf numFmtId="0" fontId="12" fillId="3" borderId="104" xfId="0" applyFont="1" applyFill="1" applyBorder="1" applyAlignment="1">
      <alignment vertical="center"/>
    </xf>
    <xf numFmtId="0" fontId="0" fillId="0" borderId="104" xfId="0" applyBorder="1" applyAlignment="1">
      <alignment vertical="center"/>
    </xf>
    <xf numFmtId="3" fontId="41" fillId="8" borderId="0" xfId="0" applyNumberFormat="1" applyFont="1" applyFill="1" applyBorder="1" applyAlignment="1">
      <alignment horizontal="center" vertical="center"/>
    </xf>
    <xf numFmtId="0" fontId="0" fillId="0" borderId="105" xfId="0" applyBorder="1" applyAlignment="1">
      <alignment vertical="center"/>
    </xf>
    <xf numFmtId="0" fontId="0" fillId="8" borderId="0" xfId="0" applyFont="1" applyFill="1" applyBorder="1" applyAlignment="1">
      <alignment vertical="center"/>
    </xf>
    <xf numFmtId="0" fontId="3" fillId="8" borderId="34" xfId="0" applyFont="1" applyFill="1" applyBorder="1" applyAlignment="1">
      <alignment vertical="center"/>
    </xf>
    <xf numFmtId="3" fontId="41" fillId="8" borderId="23" xfId="0" applyNumberFormat="1" applyFont="1" applyFill="1" applyBorder="1" applyAlignment="1">
      <alignment horizontal="center" vertical="center"/>
    </xf>
    <xf numFmtId="0" fontId="0" fillId="0" borderId="23" xfId="0" applyBorder="1" applyAlignment="1">
      <alignment horizontal="center" vertical="center"/>
    </xf>
    <xf numFmtId="3" fontId="41" fillId="8" borderId="42" xfId="0" applyNumberFormat="1" applyFont="1" applyFill="1" applyBorder="1" applyAlignment="1">
      <alignment horizontal="center" vertical="center"/>
    </xf>
    <xf numFmtId="0" fontId="12" fillId="8" borderId="0" xfId="0" applyFont="1" applyFill="1" applyBorder="1" applyAlignment="1">
      <alignment horizontal="center" vertical="center"/>
    </xf>
    <xf numFmtId="0" fontId="0" fillId="19" borderId="0" xfId="0" applyFill="1" applyAlignment="1">
      <alignment vertical="center"/>
    </xf>
    <xf numFmtId="0" fontId="0" fillId="19" borderId="34" xfId="0" applyFill="1" applyBorder="1" applyAlignment="1">
      <alignment vertical="center"/>
    </xf>
    <xf numFmtId="0" fontId="0" fillId="8" borderId="34" xfId="0" applyFont="1" applyFill="1" applyBorder="1" applyAlignment="1">
      <alignment/>
    </xf>
    <xf numFmtId="0" fontId="0" fillId="3" borderId="0" xfId="0" applyFont="1" applyFill="1" applyBorder="1" applyAlignment="1">
      <alignment/>
    </xf>
    <xf numFmtId="0" fontId="0" fillId="3" borderId="37" xfId="0" applyFont="1" applyFill="1" applyBorder="1" applyAlignment="1">
      <alignment/>
    </xf>
    <xf numFmtId="0" fontId="41" fillId="8" borderId="34" xfId="0" applyFont="1" applyFill="1" applyBorder="1" applyAlignment="1">
      <alignment vertical="center" wrapText="1"/>
    </xf>
    <xf numFmtId="0" fontId="41" fillId="8" borderId="0" xfId="0" applyFont="1" applyFill="1" applyBorder="1" applyAlignment="1">
      <alignment vertical="center" wrapText="1"/>
    </xf>
    <xf numFmtId="0" fontId="3" fillId="3" borderId="0" xfId="0" applyFont="1" applyFill="1" applyBorder="1" applyAlignment="1">
      <alignment vertical="center"/>
    </xf>
    <xf numFmtId="0" fontId="3" fillId="3" borderId="0" xfId="0" applyFont="1" applyFill="1" applyAlignment="1">
      <alignment vertical="center"/>
    </xf>
    <xf numFmtId="0" fontId="3" fillId="3" borderId="37" xfId="0" applyFont="1" applyFill="1" applyBorder="1" applyAlignment="1">
      <alignment vertical="center"/>
    </xf>
    <xf numFmtId="0" fontId="0" fillId="3" borderId="0" xfId="0" applyFont="1" applyFill="1" applyBorder="1" applyAlignment="1">
      <alignment vertical="center"/>
    </xf>
    <xf numFmtId="0" fontId="12" fillId="8" borderId="34" xfId="0" applyFont="1" applyFill="1" applyBorder="1" applyAlignment="1">
      <alignment vertical="center" wrapText="1"/>
    </xf>
    <xf numFmtId="0" fontId="12" fillId="8" borderId="0" xfId="0" applyFont="1" applyFill="1" applyBorder="1" applyAlignment="1">
      <alignment vertical="center" wrapText="1"/>
    </xf>
    <xf numFmtId="0" fontId="12" fillId="8" borderId="37" xfId="0" applyFont="1" applyFill="1" applyBorder="1" applyAlignment="1">
      <alignment vertical="center" wrapText="1"/>
    </xf>
    <xf numFmtId="166" fontId="0" fillId="8" borderId="26" xfId="0" applyNumberFormat="1" applyFont="1" applyFill="1" applyBorder="1" applyAlignment="1" applyProtection="1">
      <alignment horizontal="center" vertical="center"/>
      <protection locked="0"/>
    </xf>
    <xf numFmtId="166" fontId="0" fillId="8" borderId="23" xfId="0" applyNumberFormat="1" applyFont="1" applyFill="1" applyBorder="1" applyAlignment="1" applyProtection="1">
      <alignment horizontal="center" vertical="center"/>
      <protection locked="0"/>
    </xf>
    <xf numFmtId="166" fontId="0" fillId="8" borderId="72" xfId="0" applyNumberFormat="1" applyFont="1" applyFill="1" applyBorder="1" applyAlignment="1" applyProtection="1">
      <alignment horizontal="center" vertical="center"/>
      <protection locked="0"/>
    </xf>
    <xf numFmtId="0" fontId="41" fillId="8" borderId="34" xfId="0" applyFont="1" applyFill="1" applyBorder="1" applyAlignment="1">
      <alignment vertical="center"/>
    </xf>
    <xf numFmtId="0" fontId="41" fillId="8" borderId="0" xfId="0" applyFont="1" applyFill="1" applyBorder="1" applyAlignment="1">
      <alignment vertical="center"/>
    </xf>
    <xf numFmtId="0" fontId="3" fillId="8" borderId="62" xfId="0" applyFont="1" applyFill="1" applyBorder="1" applyAlignment="1">
      <alignment vertical="center"/>
    </xf>
    <xf numFmtId="0" fontId="41" fillId="8" borderId="61" xfId="0" applyFont="1" applyFill="1" applyBorder="1" applyAlignment="1">
      <alignment vertical="center"/>
    </xf>
    <xf numFmtId="0" fontId="3" fillId="8" borderId="0" xfId="0" applyFont="1" applyFill="1" applyBorder="1" applyAlignment="1">
      <alignment vertical="center"/>
    </xf>
    <xf numFmtId="0" fontId="12" fillId="8" borderId="0" xfId="0" applyFont="1" applyFill="1" applyBorder="1" applyAlignment="1">
      <alignment vertical="center"/>
    </xf>
    <xf numFmtId="0" fontId="0" fillId="3" borderId="0" xfId="0" applyFont="1" applyFill="1" applyBorder="1" applyAlignment="1">
      <alignment vertical="center"/>
    </xf>
    <xf numFmtId="0" fontId="12" fillId="8" borderId="0" xfId="0" applyFont="1" applyFill="1" applyBorder="1" applyAlignment="1">
      <alignment vertical="center" wrapText="1"/>
    </xf>
    <xf numFmtId="0" fontId="0" fillId="3" borderId="0" xfId="0" applyFont="1" applyFill="1" applyBorder="1" applyAlignment="1">
      <alignment vertical="center" wrapText="1"/>
    </xf>
    <xf numFmtId="0" fontId="41" fillId="8" borderId="34" xfId="0" applyFont="1" applyFill="1" applyBorder="1" applyAlignment="1">
      <alignment vertical="center"/>
    </xf>
    <xf numFmtId="0" fontId="41" fillId="8" borderId="62" xfId="0" applyFont="1" applyFill="1" applyBorder="1" applyAlignment="1">
      <alignment vertical="center"/>
    </xf>
    <xf numFmtId="0" fontId="12" fillId="8" borderId="0" xfId="0" applyFont="1" applyFill="1" applyBorder="1" applyAlignment="1">
      <alignment vertical="center"/>
    </xf>
    <xf numFmtId="49" fontId="41" fillId="8" borderId="0" xfId="0" applyNumberFormat="1" applyFont="1" applyFill="1" applyBorder="1" applyAlignment="1">
      <alignment horizontal="center" vertical="center"/>
    </xf>
    <xf numFmtId="49" fontId="0" fillId="3" borderId="0" xfId="0" applyNumberFormat="1" applyFont="1" applyFill="1" applyBorder="1" applyAlignment="1">
      <alignment horizontal="center" vertical="center"/>
    </xf>
    <xf numFmtId="49" fontId="0" fillId="3" borderId="37" xfId="0" applyNumberFormat="1" applyFont="1" applyFill="1" applyBorder="1" applyAlignment="1">
      <alignment horizontal="center" vertical="center"/>
    </xf>
    <xf numFmtId="0" fontId="12" fillId="8" borderId="34" xfId="0" applyFont="1" applyFill="1" applyBorder="1" applyAlignment="1">
      <alignment vertical="center" wrapText="1"/>
    </xf>
    <xf numFmtId="0" fontId="0" fillId="3" borderId="0" xfId="0" applyFont="1" applyFill="1" applyBorder="1" applyAlignment="1">
      <alignment vertical="center"/>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0" fontId="52" fillId="8" borderId="0" xfId="0" applyFont="1" applyFill="1" applyBorder="1" applyAlignment="1">
      <alignment horizontal="center" vertical="center"/>
    </xf>
    <xf numFmtId="0" fontId="0" fillId="3" borderId="0" xfId="0" applyFont="1" applyFill="1" applyAlignment="1">
      <alignment horizontal="center"/>
    </xf>
    <xf numFmtId="0" fontId="57" fillId="8" borderId="0" xfId="0" applyFont="1" applyFill="1" applyBorder="1" applyAlignment="1">
      <alignment horizontal="center" vertical="center"/>
    </xf>
    <xf numFmtId="0" fontId="3" fillId="8" borderId="0" xfId="0" applyFont="1" applyFill="1" applyBorder="1" applyAlignment="1">
      <alignment horizontal="center" vertical="center"/>
    </xf>
    <xf numFmtId="0" fontId="0" fillId="3" borderId="0" xfId="0" applyFont="1" applyFill="1" applyAlignment="1">
      <alignment horizontal="center"/>
    </xf>
    <xf numFmtId="0" fontId="0" fillId="8" borderId="0" xfId="0" applyFont="1" applyFill="1" applyBorder="1" applyAlignment="1">
      <alignment/>
    </xf>
    <xf numFmtId="0" fontId="0" fillId="8" borderId="37" xfId="0" applyFont="1" applyFill="1" applyBorder="1" applyAlignment="1">
      <alignment/>
    </xf>
    <xf numFmtId="0" fontId="0" fillId="8" borderId="42" xfId="0" applyFont="1" applyFill="1" applyBorder="1" applyAlignment="1" applyProtection="1">
      <alignment/>
      <protection/>
    </xf>
    <xf numFmtId="0" fontId="0" fillId="0" borderId="42" xfId="0" applyBorder="1" applyAlignment="1" applyProtection="1">
      <alignment/>
      <protection/>
    </xf>
    <xf numFmtId="0" fontId="3" fillId="8" borderId="26" xfId="0" applyFont="1" applyFill="1" applyBorder="1" applyAlignment="1">
      <alignment vertical="center"/>
    </xf>
    <xf numFmtId="0" fontId="3" fillId="8" borderId="23" xfId="0" applyFont="1" applyFill="1" applyBorder="1" applyAlignment="1">
      <alignment vertical="center"/>
    </xf>
    <xf numFmtId="0" fontId="0" fillId="0" borderId="23" xfId="0" applyFont="1" applyBorder="1" applyAlignment="1">
      <alignment vertical="center"/>
    </xf>
    <xf numFmtId="0" fontId="0" fillId="0" borderId="72" xfId="0" applyFont="1" applyBorder="1" applyAlignment="1">
      <alignment vertical="center"/>
    </xf>
    <xf numFmtId="0" fontId="0" fillId="8" borderId="83" xfId="0" applyFont="1" applyFill="1" applyBorder="1" applyAlignment="1">
      <alignment vertical="center"/>
    </xf>
    <xf numFmtId="0" fontId="0" fillId="0" borderId="25" xfId="0" applyBorder="1" applyAlignment="1">
      <alignment vertical="center"/>
    </xf>
    <xf numFmtId="0" fontId="0" fillId="0" borderId="84" xfId="0" applyBorder="1" applyAlignment="1">
      <alignment vertical="center"/>
    </xf>
    <xf numFmtId="0" fontId="41" fillId="3" borderId="34" xfId="0" applyFont="1" applyFill="1" applyBorder="1" applyAlignment="1">
      <alignment horizontal="right"/>
    </xf>
    <xf numFmtId="0" fontId="41" fillId="3" borderId="0" xfId="0" applyFont="1" applyFill="1" applyBorder="1" applyAlignment="1">
      <alignment horizontal="right"/>
    </xf>
    <xf numFmtId="0" fontId="0" fillId="8" borderId="0" xfId="0" applyFont="1" applyFill="1" applyBorder="1" applyAlignment="1">
      <alignment vertical="center"/>
    </xf>
    <xf numFmtId="0" fontId="41" fillId="8" borderId="0" xfId="0" applyFont="1" applyFill="1" applyBorder="1" applyAlignment="1">
      <alignment horizontal="center"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0" fillId="3" borderId="37" xfId="0" applyFont="1" applyFill="1" applyBorder="1" applyAlignment="1">
      <alignment vertical="center"/>
    </xf>
    <xf numFmtId="0" fontId="12" fillId="8" borderId="62" xfId="0" applyFont="1" applyFill="1" applyBorder="1" applyAlignment="1">
      <alignment vertical="center" wrapText="1"/>
    </xf>
    <xf numFmtId="0" fontId="3" fillId="8" borderId="72" xfId="0" applyFont="1" applyFill="1" applyBorder="1" applyAlignment="1">
      <alignment vertical="center"/>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8" borderId="0" xfId="0" applyFont="1" applyFill="1" applyBorder="1" applyAlignment="1">
      <alignment/>
    </xf>
    <xf numFmtId="4" fontId="0" fillId="8" borderId="26" xfId="0" applyNumberFormat="1" applyFont="1" applyFill="1" applyBorder="1" applyAlignment="1" applyProtection="1">
      <alignment vertical="center"/>
      <protection locked="0"/>
    </xf>
    <xf numFmtId="0" fontId="12" fillId="8" borderId="42" xfId="0" applyFont="1" applyFill="1" applyBorder="1" applyAlignment="1">
      <alignment vertical="center"/>
    </xf>
    <xf numFmtId="0" fontId="0" fillId="0" borderId="42" xfId="0" applyBorder="1" applyAlignment="1">
      <alignment vertical="center"/>
    </xf>
    <xf numFmtId="3" fontId="0" fillId="8" borderId="26" xfId="0" applyNumberFormat="1" applyFont="1" applyFill="1" applyBorder="1" applyAlignment="1" applyProtection="1">
      <alignment horizontal="left" vertical="center"/>
      <protection locked="0"/>
    </xf>
    <xf numFmtId="0" fontId="0" fillId="0" borderId="23" xfId="0" applyBorder="1" applyAlignment="1" applyProtection="1">
      <alignment horizontal="left" vertical="center"/>
      <protection locked="0"/>
    </xf>
    <xf numFmtId="0" fontId="0" fillId="0" borderId="72" xfId="0" applyBorder="1" applyAlignment="1" applyProtection="1">
      <alignment horizontal="left" vertical="center"/>
      <protection locked="0"/>
    </xf>
    <xf numFmtId="0" fontId="12" fillId="8" borderId="23" xfId="0" applyFont="1" applyFill="1" applyBorder="1" applyAlignment="1">
      <alignment vertical="center"/>
    </xf>
    <xf numFmtId="0" fontId="0" fillId="0" borderId="23" xfId="0" applyBorder="1" applyAlignment="1">
      <alignment vertical="center"/>
    </xf>
    <xf numFmtId="0" fontId="0" fillId="8" borderId="34" xfId="0" applyFont="1" applyFill="1" applyBorder="1" applyAlignment="1">
      <alignment vertical="center"/>
    </xf>
    <xf numFmtId="0" fontId="0" fillId="8" borderId="37" xfId="0" applyFont="1" applyFill="1" applyBorder="1" applyAlignment="1">
      <alignment vertical="center"/>
    </xf>
    <xf numFmtId="0" fontId="0" fillId="8" borderId="0" xfId="0" applyFont="1" applyFill="1" applyBorder="1" applyAlignment="1" applyProtection="1">
      <alignment vertical="center"/>
      <protection/>
    </xf>
    <xf numFmtId="0" fontId="12" fillId="8" borderId="0" xfId="0" applyFont="1" applyFill="1" applyBorder="1" applyAlignment="1" applyProtection="1">
      <alignment horizontal="center" vertical="center"/>
      <protection/>
    </xf>
    <xf numFmtId="0" fontId="12" fillId="8" borderId="34" xfId="0" applyFont="1" applyFill="1" applyBorder="1" applyAlignment="1" applyProtection="1">
      <alignment vertical="center"/>
      <protection/>
    </xf>
    <xf numFmtId="0" fontId="12" fillId="8" borderId="34" xfId="0" applyFont="1" applyFill="1" applyBorder="1" applyAlignment="1" applyProtection="1">
      <alignment horizontal="center" vertical="center"/>
      <protection/>
    </xf>
    <xf numFmtId="0" fontId="0" fillId="8" borderId="0" xfId="0" applyFont="1" applyFill="1" applyBorder="1" applyAlignment="1">
      <alignment vertical="center"/>
    </xf>
    <xf numFmtId="0" fontId="0" fillId="3" borderId="0" xfId="0" applyFont="1" applyFill="1" applyBorder="1" applyAlignment="1">
      <alignment vertical="center"/>
    </xf>
    <xf numFmtId="0" fontId="0" fillId="3" borderId="37" xfId="0" applyFont="1" applyFill="1" applyBorder="1" applyAlignment="1">
      <alignment vertical="center"/>
    </xf>
    <xf numFmtId="0" fontId="12" fillId="8" borderId="25" xfId="0" applyFont="1" applyFill="1" applyBorder="1" applyAlignment="1">
      <alignment horizontal="left" vertical="center"/>
    </xf>
    <xf numFmtId="0" fontId="12" fillId="8" borderId="25" xfId="0" applyFont="1" applyFill="1" applyBorder="1" applyAlignment="1">
      <alignment horizontal="left" vertical="center"/>
    </xf>
    <xf numFmtId="0" fontId="12" fillId="8" borderId="84" xfId="0" applyFont="1" applyFill="1" applyBorder="1" applyAlignment="1">
      <alignment horizontal="left" vertical="center"/>
    </xf>
    <xf numFmtId="1" fontId="0" fillId="8" borderId="26" xfId="0" applyNumberFormat="1" applyFont="1" applyFill="1" applyBorder="1" applyAlignment="1" applyProtection="1">
      <alignment horizontal="center" vertical="center"/>
      <protection/>
    </xf>
    <xf numFmtId="1" fontId="0" fillId="8" borderId="23" xfId="0" applyNumberFormat="1" applyFont="1" applyFill="1" applyBorder="1" applyAlignment="1" applyProtection="1">
      <alignment horizontal="center" vertical="center"/>
      <protection/>
    </xf>
    <xf numFmtId="1" fontId="0" fillId="8" borderId="72" xfId="0" applyNumberFormat="1" applyFont="1" applyFill="1" applyBorder="1" applyAlignment="1" applyProtection="1">
      <alignment horizontal="center" vertical="center"/>
      <protection/>
    </xf>
    <xf numFmtId="49" fontId="3" fillId="8" borderId="26" xfId="0" applyNumberFormat="1" applyFont="1" applyFill="1" applyBorder="1" applyAlignment="1" applyProtection="1">
      <alignment vertical="center"/>
      <protection/>
    </xf>
    <xf numFmtId="0" fontId="3" fillId="8" borderId="23" xfId="0" applyFont="1" applyFill="1" applyBorder="1" applyAlignment="1" applyProtection="1">
      <alignment vertical="center"/>
      <protection/>
    </xf>
    <xf numFmtId="0" fontId="3" fillId="3" borderId="23" xfId="0" applyFont="1" applyFill="1" applyBorder="1" applyAlignment="1">
      <alignment vertical="center"/>
    </xf>
    <xf numFmtId="0" fontId="3" fillId="3" borderId="72" xfId="0" applyFont="1" applyFill="1" applyBorder="1" applyAlignment="1">
      <alignment vertical="center"/>
    </xf>
    <xf numFmtId="0" fontId="12" fillId="8" borderId="0" xfId="0" applyFont="1" applyFill="1" applyBorder="1" applyAlignment="1">
      <alignment horizontal="left" vertical="center"/>
    </xf>
    <xf numFmtId="0" fontId="12" fillId="8" borderId="0" xfId="0" applyFont="1" applyFill="1" applyBorder="1" applyAlignment="1">
      <alignment horizontal="left" vertical="center"/>
    </xf>
    <xf numFmtId="0" fontId="12" fillId="8" borderId="37" xfId="0" applyFont="1" applyFill="1" applyBorder="1" applyAlignment="1">
      <alignment horizontal="left" vertical="center"/>
    </xf>
    <xf numFmtId="0" fontId="0" fillId="8" borderId="42" xfId="0" applyFont="1" applyFill="1" applyBorder="1" applyAlignment="1">
      <alignment vertical="center"/>
    </xf>
    <xf numFmtId="0" fontId="12" fillId="3" borderId="23" xfId="0" applyFont="1" applyFill="1" applyBorder="1" applyAlignment="1">
      <alignment horizontal="left" vertical="center"/>
    </xf>
    <xf numFmtId="0" fontId="0" fillId="0" borderId="23" xfId="0" applyBorder="1" applyAlignment="1">
      <alignment horizontal="left" vertical="center"/>
    </xf>
    <xf numFmtId="14" fontId="0" fillId="8" borderId="108" xfId="0" applyNumberFormat="1" applyFont="1" applyFill="1" applyBorder="1" applyAlignment="1" applyProtection="1">
      <alignment horizontal="center" vertical="center"/>
      <protection locked="0"/>
    </xf>
    <xf numFmtId="0" fontId="0" fillId="8" borderId="109" xfId="0" applyFont="1" applyFill="1" applyBorder="1" applyAlignment="1" applyProtection="1">
      <alignment horizontal="center" vertical="center"/>
      <protection locked="0"/>
    </xf>
    <xf numFmtId="0" fontId="0" fillId="3" borderId="109" xfId="0" applyFont="1" applyFill="1" applyBorder="1" applyAlignment="1" applyProtection="1">
      <alignment horizontal="center" vertical="center"/>
      <protection locked="0"/>
    </xf>
    <xf numFmtId="0" fontId="0" fillId="3" borderId="110" xfId="0" applyFont="1" applyFill="1" applyBorder="1" applyAlignment="1" applyProtection="1">
      <alignment horizontal="center" vertical="center"/>
      <protection locked="0"/>
    </xf>
    <xf numFmtId="0" fontId="3" fillId="8" borderId="26" xfId="0" applyFont="1" applyFill="1" applyBorder="1" applyAlignment="1">
      <alignment horizontal="center" vertical="center"/>
    </xf>
    <xf numFmtId="0" fontId="3" fillId="8" borderId="23" xfId="0" applyFont="1" applyFill="1" applyBorder="1" applyAlignment="1">
      <alignment horizontal="center" vertical="center"/>
    </xf>
    <xf numFmtId="0" fontId="3" fillId="8" borderId="72" xfId="0" applyFont="1" applyFill="1" applyBorder="1" applyAlignment="1">
      <alignment horizontal="center" vertical="center"/>
    </xf>
    <xf numFmtId="0" fontId="0" fillId="8" borderId="34" xfId="0" applyFont="1" applyFill="1" applyBorder="1" applyAlignment="1">
      <alignment vertical="center"/>
    </xf>
    <xf numFmtId="0" fontId="0" fillId="8" borderId="0" xfId="0" applyFont="1" applyFill="1" applyBorder="1" applyAlignment="1">
      <alignment vertical="center"/>
    </xf>
    <xf numFmtId="0" fontId="0" fillId="8" borderId="37" xfId="0" applyFont="1" applyFill="1" applyBorder="1" applyAlignment="1">
      <alignment vertical="center"/>
    </xf>
    <xf numFmtId="0" fontId="12" fillId="8" borderId="111" xfId="0" applyFont="1" applyFill="1" applyBorder="1" applyAlignment="1">
      <alignment horizontal="center" vertical="center"/>
    </xf>
    <xf numFmtId="0" fontId="12" fillId="8" borderId="37" xfId="0" applyFont="1" applyFill="1" applyBorder="1" applyAlignment="1">
      <alignment horizontal="center" vertical="center"/>
    </xf>
    <xf numFmtId="0" fontId="41" fillId="8" borderId="42" xfId="0" applyFont="1" applyFill="1" applyBorder="1" applyAlignment="1">
      <alignment vertical="center"/>
    </xf>
    <xf numFmtId="0" fontId="0" fillId="8" borderId="26" xfId="0" applyNumberFormat="1" applyFont="1" applyFill="1" applyBorder="1" applyAlignment="1" applyProtection="1">
      <alignment horizontal="left" vertical="center"/>
      <protection locked="0"/>
    </xf>
    <xf numFmtId="0" fontId="0" fillId="8" borderId="23" xfId="0" applyNumberFormat="1" applyFont="1" applyFill="1" applyBorder="1" applyAlignment="1" applyProtection="1">
      <alignment horizontal="left" vertical="center"/>
      <protection locked="0"/>
    </xf>
    <xf numFmtId="0" fontId="0" fillId="8" borderId="72" xfId="0" applyNumberFormat="1" applyFont="1" applyFill="1" applyBorder="1" applyAlignment="1" applyProtection="1">
      <alignment horizontal="left" vertical="center"/>
      <protection locked="0"/>
    </xf>
    <xf numFmtId="1" fontId="3" fillId="8" borderId="112" xfId="0" applyNumberFormat="1" applyFont="1" applyFill="1" applyBorder="1" applyAlignment="1" applyProtection="1">
      <alignment horizontal="left" vertical="center"/>
      <protection locked="0"/>
    </xf>
    <xf numFmtId="1" fontId="3" fillId="8" borderId="113" xfId="0" applyNumberFormat="1" applyFont="1" applyFill="1" applyBorder="1" applyAlignment="1" applyProtection="1">
      <alignment horizontal="left" vertical="center"/>
      <protection locked="0"/>
    </xf>
    <xf numFmtId="1" fontId="3" fillId="3" borderId="113" xfId="0" applyNumberFormat="1" applyFont="1" applyFill="1" applyBorder="1" applyAlignment="1" applyProtection="1">
      <alignment horizontal="left" vertical="center"/>
      <protection locked="0"/>
    </xf>
    <xf numFmtId="1" fontId="3" fillId="0" borderId="113" xfId="0" applyNumberFormat="1" applyFont="1" applyBorder="1" applyAlignment="1" applyProtection="1">
      <alignment horizontal="left" vertical="center"/>
      <protection locked="0"/>
    </xf>
    <xf numFmtId="1" fontId="3" fillId="0" borderId="114" xfId="0" applyNumberFormat="1" applyFont="1" applyBorder="1" applyAlignment="1" applyProtection="1">
      <alignment horizontal="left" vertical="center"/>
      <protection locked="0"/>
    </xf>
    <xf numFmtId="0" fontId="12" fillId="8" borderId="0" xfId="0" applyFont="1" applyFill="1" applyBorder="1" applyAlignment="1" applyProtection="1">
      <alignment vertical="center"/>
      <protection/>
    </xf>
    <xf numFmtId="0" fontId="41" fillId="8" borderId="115" xfId="0" applyFont="1" applyFill="1" applyBorder="1" applyAlignment="1" applyProtection="1">
      <alignment vertical="center"/>
      <protection/>
    </xf>
    <xf numFmtId="0" fontId="3" fillId="3" borderId="115" xfId="0" applyFont="1" applyFill="1" applyBorder="1" applyAlignment="1" applyProtection="1">
      <alignment vertical="center"/>
      <protection/>
    </xf>
    <xf numFmtId="0" fontId="3" fillId="0" borderId="115" xfId="0" applyFont="1" applyBorder="1" applyAlignment="1" applyProtection="1">
      <alignment vertical="center"/>
      <protection/>
    </xf>
    <xf numFmtId="0" fontId="12" fillId="8" borderId="47" xfId="0" applyFont="1" applyFill="1" applyBorder="1" applyAlignment="1">
      <alignment vertical="center"/>
    </xf>
    <xf numFmtId="0" fontId="0" fillId="0" borderId="82" xfId="0" applyBorder="1" applyAlignment="1">
      <alignment vertical="center"/>
    </xf>
    <xf numFmtId="0" fontId="0" fillId="8" borderId="83" xfId="0" applyNumberFormat="1" applyFont="1" applyFill="1" applyBorder="1" applyAlignment="1" applyProtection="1">
      <alignment vertical="center"/>
      <protection/>
    </xf>
    <xf numFmtId="0" fontId="0" fillId="8" borderId="25" xfId="0" applyNumberFormat="1" applyFont="1" applyFill="1" applyBorder="1" applyAlignment="1" applyProtection="1">
      <alignment vertical="center"/>
      <protection/>
    </xf>
    <xf numFmtId="0" fontId="0" fillId="3" borderId="25" xfId="0" applyNumberFormat="1" applyFont="1" applyFill="1" applyBorder="1" applyAlignment="1">
      <alignment vertical="center"/>
    </xf>
    <xf numFmtId="0" fontId="0" fillId="3" borderId="84" xfId="0" applyNumberFormat="1" applyFont="1" applyFill="1" applyBorder="1" applyAlignment="1">
      <alignment vertical="center"/>
    </xf>
    <xf numFmtId="0" fontId="0" fillId="8" borderId="26" xfId="0" applyNumberFormat="1" applyFont="1" applyFill="1" applyBorder="1" applyAlignment="1" applyProtection="1">
      <alignment horizontal="left" vertical="center"/>
      <protection/>
    </xf>
    <xf numFmtId="0" fontId="0" fillId="8" borderId="23" xfId="0" applyNumberFormat="1" applyFont="1" applyFill="1" applyBorder="1" applyAlignment="1" applyProtection="1">
      <alignment horizontal="left" vertical="center"/>
      <protection/>
    </xf>
    <xf numFmtId="0" fontId="0" fillId="3" borderId="23" xfId="0" applyNumberFormat="1" applyFont="1" applyFill="1" applyBorder="1" applyAlignment="1" applyProtection="1">
      <alignment horizontal="left" vertical="center"/>
      <protection/>
    </xf>
    <xf numFmtId="0" fontId="0" fillId="0" borderId="23" xfId="0" applyNumberFormat="1" applyBorder="1" applyAlignment="1" applyProtection="1">
      <alignment horizontal="left" vertical="center"/>
      <protection/>
    </xf>
    <xf numFmtId="0" fontId="0" fillId="0" borderId="72" xfId="0" applyNumberFormat="1" applyBorder="1" applyAlignment="1" applyProtection="1">
      <alignment horizontal="left" vertical="center"/>
      <protection/>
    </xf>
    <xf numFmtId="49" fontId="3" fillId="8" borderId="23" xfId="0" applyNumberFormat="1" applyFont="1" applyFill="1" applyBorder="1" applyAlignment="1" applyProtection="1">
      <alignment vertical="center"/>
      <protection/>
    </xf>
    <xf numFmtId="0" fontId="3" fillId="8" borderId="72" xfId="0" applyFont="1" applyFill="1" applyBorder="1" applyAlignment="1" applyProtection="1">
      <alignment vertical="center"/>
      <protection/>
    </xf>
    <xf numFmtId="49" fontId="0" fillId="8" borderId="26" xfId="0" applyNumberFormat="1" applyFont="1" applyFill="1" applyBorder="1" applyAlignment="1" applyProtection="1">
      <alignment vertical="center"/>
      <protection/>
    </xf>
    <xf numFmtId="0" fontId="12" fillId="8" borderId="34" xfId="0" applyFont="1" applyFill="1" applyBorder="1" applyAlignment="1">
      <alignment horizontal="center" vertical="center"/>
    </xf>
    <xf numFmtId="4" fontId="0" fillId="0" borderId="26" xfId="0" applyNumberFormat="1" applyBorder="1" applyAlignment="1">
      <alignment vertical="center"/>
    </xf>
    <xf numFmtId="4" fontId="0" fillId="0" borderId="23" xfId="0" applyNumberFormat="1" applyBorder="1" applyAlignment="1">
      <alignment vertical="center"/>
    </xf>
    <xf numFmtId="4" fontId="0" fillId="0" borderId="72" xfId="0" applyNumberFormat="1" applyBorder="1" applyAlignment="1">
      <alignment vertical="center"/>
    </xf>
    <xf numFmtId="0" fontId="0" fillId="8" borderId="83" xfId="0" applyFont="1" applyFill="1" applyBorder="1" applyAlignment="1">
      <alignment vertical="center"/>
    </xf>
    <xf numFmtId="0" fontId="0" fillId="0" borderId="84" xfId="0" applyBorder="1" applyAlignment="1">
      <alignment vertical="center"/>
    </xf>
    <xf numFmtId="0" fontId="41" fillId="0" borderId="34" xfId="0" applyFont="1" applyBorder="1" applyAlignment="1" applyProtection="1">
      <alignment horizontal="center" vertical="center"/>
      <protection/>
    </xf>
    <xf numFmtId="0" fontId="41" fillId="0" borderId="0" xfId="0" applyFont="1" applyBorder="1" applyAlignment="1" applyProtection="1">
      <alignment horizontal="center" vertical="center"/>
      <protection/>
    </xf>
    <xf numFmtId="0" fontId="41" fillId="0" borderId="37" xfId="0" applyFont="1" applyBorder="1" applyAlignment="1" applyProtection="1">
      <alignment horizontal="center" vertical="center"/>
      <protection/>
    </xf>
    <xf numFmtId="4" fontId="3" fillId="8" borderId="16" xfId="0" applyNumberFormat="1" applyFont="1" applyFill="1" applyBorder="1" applyAlignment="1" applyProtection="1" quotePrefix="1">
      <alignment vertical="center"/>
      <protection/>
    </xf>
    <xf numFmtId="4" fontId="3" fillId="8" borderId="20" xfId="0" applyNumberFormat="1" applyFont="1" applyFill="1" applyBorder="1" applyAlignment="1" applyProtection="1" quotePrefix="1">
      <alignment vertical="center"/>
      <protection/>
    </xf>
    <xf numFmtId="4" fontId="3" fillId="8" borderId="20" xfId="0" applyNumberFormat="1" applyFont="1" applyFill="1" applyBorder="1" applyAlignment="1" applyProtection="1">
      <alignment vertical="center"/>
      <protection/>
    </xf>
    <xf numFmtId="4" fontId="3" fillId="8" borderId="18" xfId="0" applyNumberFormat="1" applyFont="1" applyFill="1" applyBorder="1" applyAlignment="1" applyProtection="1">
      <alignment vertical="center"/>
      <protection/>
    </xf>
    <xf numFmtId="0" fontId="3" fillId="8" borderId="19" xfId="0" applyFont="1" applyFill="1" applyBorder="1" applyAlignment="1" applyProtection="1">
      <alignment vertical="center"/>
      <protection/>
    </xf>
    <xf numFmtId="0" fontId="0" fillId="3" borderId="34" xfId="0" applyFont="1" applyFill="1" applyBorder="1" applyAlignment="1" applyProtection="1">
      <alignment vertical="center"/>
      <protection/>
    </xf>
    <xf numFmtId="0" fontId="41" fillId="0" borderId="25" xfId="0" applyFont="1" applyBorder="1" applyAlignment="1">
      <alignment vertical="center"/>
    </xf>
    <xf numFmtId="0" fontId="3" fillId="8" borderId="19" xfId="0" applyFont="1" applyFill="1" applyBorder="1" applyAlignment="1">
      <alignment vertical="center"/>
    </xf>
    <xf numFmtId="0" fontId="12" fillId="8" borderId="34" xfId="0" applyFont="1" applyFill="1" applyBorder="1" applyAlignment="1" applyProtection="1">
      <alignment vertical="center"/>
      <protection/>
    </xf>
    <xf numFmtId="0" fontId="0" fillId="8" borderId="34" xfId="0" applyFont="1" applyFill="1" applyBorder="1" applyAlignment="1" applyProtection="1">
      <alignment vertical="center"/>
      <protection/>
    </xf>
    <xf numFmtId="4" fontId="3" fillId="8" borderId="16" xfId="0" applyNumberFormat="1" applyFont="1" applyFill="1" applyBorder="1" applyAlignment="1" applyProtection="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12" fillId="8" borderId="34" xfId="0" applyFont="1" applyFill="1" applyBorder="1" applyAlignment="1">
      <alignment horizontal="left" vertical="center" wrapText="1"/>
    </xf>
    <xf numFmtId="0" fontId="12" fillId="8" borderId="0" xfId="0" applyFont="1" applyFill="1" applyBorder="1" applyAlignment="1">
      <alignment horizontal="left" vertical="center" wrapText="1"/>
    </xf>
    <xf numFmtId="0" fontId="0" fillId="0" borderId="37" xfId="0" applyBorder="1" applyAlignment="1">
      <alignment vertical="center" wrapText="1"/>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6" xfId="0" applyFont="1" applyFill="1" applyBorder="1" applyAlignment="1">
      <alignment vertical="center"/>
    </xf>
    <xf numFmtId="14" fontId="0" fillId="8" borderId="26" xfId="0" applyNumberFormat="1" applyFont="1" applyFill="1"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8" borderId="34" xfId="0" applyFont="1" applyFill="1" applyBorder="1" applyAlignment="1" applyProtection="1">
      <alignment vertical="center"/>
      <protection/>
    </xf>
    <xf numFmtId="0" fontId="41" fillId="8" borderId="83" xfId="0" applyFont="1" applyFill="1" applyBorder="1" applyAlignment="1">
      <alignment wrapText="1"/>
    </xf>
    <xf numFmtId="0" fontId="3" fillId="3" borderId="25" xfId="0" applyFont="1" applyFill="1" applyBorder="1" applyAlignment="1">
      <alignment/>
    </xf>
    <xf numFmtId="0" fontId="3" fillId="3" borderId="34" xfId="0" applyFont="1" applyFill="1" applyBorder="1" applyAlignment="1">
      <alignment/>
    </xf>
    <xf numFmtId="0" fontId="3" fillId="3" borderId="0" xfId="0" applyFont="1" applyFill="1" applyAlignment="1">
      <alignment/>
    </xf>
    <xf numFmtId="0" fontId="0" fillId="8" borderId="26"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12" fillId="8" borderId="34" xfId="0" applyFont="1" applyFill="1" applyBorder="1" applyAlignment="1">
      <alignment horizontal="left" vertical="center"/>
    </xf>
    <xf numFmtId="0" fontId="12" fillId="8" borderId="37" xfId="0" applyFont="1" applyFill="1" applyBorder="1" applyAlignment="1">
      <alignment horizontal="left" vertical="center"/>
    </xf>
    <xf numFmtId="0" fontId="41" fillId="8" borderId="34" xfId="0" applyFont="1" applyFill="1" applyBorder="1" applyAlignment="1">
      <alignment vertical="center" wrapText="1"/>
    </xf>
    <xf numFmtId="0" fontId="0" fillId="3" borderId="0" xfId="0" applyFont="1" applyFill="1" applyBorder="1" applyAlignment="1">
      <alignment vertical="center" wrapText="1"/>
    </xf>
    <xf numFmtId="0" fontId="0" fillId="3" borderId="37" xfId="0" applyFont="1" applyFill="1" applyBorder="1" applyAlignment="1">
      <alignment vertical="center" wrapText="1"/>
    </xf>
    <xf numFmtId="14" fontId="0" fillId="8" borderId="26" xfId="0" applyNumberFormat="1" applyFont="1" applyFill="1" applyBorder="1" applyAlignment="1" applyProtection="1">
      <alignment horizontal="center" vertical="center"/>
      <protection locked="0"/>
    </xf>
    <xf numFmtId="0" fontId="0" fillId="8" borderId="23" xfId="0" applyFont="1" applyFill="1" applyBorder="1" applyAlignment="1" applyProtection="1">
      <alignment horizontal="center" vertical="center"/>
      <protection locked="0"/>
    </xf>
    <xf numFmtId="0" fontId="0" fillId="8" borderId="72" xfId="0" applyFont="1" applyFill="1" applyBorder="1" applyAlignment="1" applyProtection="1">
      <alignment horizontal="center" vertical="center"/>
      <protection locked="0"/>
    </xf>
    <xf numFmtId="0" fontId="12" fillId="8" borderId="83" xfId="0" applyFont="1" applyFill="1" applyBorder="1" applyAlignment="1">
      <alignment horizontal="center"/>
    </xf>
    <xf numFmtId="0" fontId="12" fillId="8" borderId="25" xfId="0" applyFont="1" applyFill="1" applyBorder="1" applyAlignment="1">
      <alignment horizontal="center"/>
    </xf>
    <xf numFmtId="0" fontId="12" fillId="8" borderId="84" xfId="0" applyFont="1" applyFill="1" applyBorder="1" applyAlignment="1">
      <alignment horizontal="center"/>
    </xf>
    <xf numFmtId="0" fontId="12" fillId="8" borderId="34" xfId="0" applyFont="1" applyFill="1" applyBorder="1" applyAlignment="1">
      <alignment horizontal="center"/>
    </xf>
    <xf numFmtId="0" fontId="12" fillId="8" borderId="0" xfId="0" applyFont="1" applyFill="1" applyBorder="1" applyAlignment="1">
      <alignment horizontal="center"/>
    </xf>
    <xf numFmtId="0" fontId="12" fillId="8" borderId="37" xfId="0" applyFont="1" applyFill="1" applyBorder="1" applyAlignment="1">
      <alignment horizontal="center"/>
    </xf>
    <xf numFmtId="0" fontId="12" fillId="8" borderId="47" xfId="0" applyFont="1" applyFill="1" applyBorder="1" applyAlignment="1">
      <alignment horizontal="center"/>
    </xf>
    <xf numFmtId="0" fontId="12" fillId="8" borderId="42" xfId="0" applyFont="1" applyFill="1" applyBorder="1" applyAlignment="1">
      <alignment horizontal="center"/>
    </xf>
    <xf numFmtId="0" fontId="12" fillId="8" borderId="82" xfId="0" applyFont="1" applyFill="1" applyBorder="1" applyAlignment="1">
      <alignment horizontal="center"/>
    </xf>
    <xf numFmtId="0" fontId="12" fillId="8" borderId="83" xfId="0" applyFont="1" applyFill="1" applyBorder="1" applyAlignment="1">
      <alignment horizontal="left" vertical="center"/>
    </xf>
    <xf numFmtId="0" fontId="12" fillId="8" borderId="84" xfId="0" applyFont="1" applyFill="1" applyBorder="1" applyAlignment="1">
      <alignment horizontal="left" vertical="center"/>
    </xf>
    <xf numFmtId="0" fontId="3" fillId="8" borderId="0" xfId="0" applyFont="1" applyFill="1" applyBorder="1" applyAlignment="1">
      <alignment horizontal="center" vertical="center"/>
    </xf>
    <xf numFmtId="0" fontId="0" fillId="8" borderId="37" xfId="0" applyFont="1" applyFill="1" applyBorder="1" applyAlignment="1">
      <alignment vertical="center"/>
    </xf>
    <xf numFmtId="0" fontId="0" fillId="8" borderId="26" xfId="0" applyFont="1" applyFill="1" applyBorder="1" applyAlignment="1" applyProtection="1">
      <alignment horizontal="left" vertical="center"/>
      <protection locked="0"/>
    </xf>
    <xf numFmtId="0" fontId="0" fillId="8" borderId="23" xfId="0" applyFont="1" applyFill="1" applyBorder="1" applyAlignment="1" applyProtection="1">
      <alignment horizontal="left" vertical="center"/>
      <protection locked="0"/>
    </xf>
    <xf numFmtId="0" fontId="0" fillId="3" borderId="23" xfId="0" applyFont="1" applyFill="1" applyBorder="1" applyAlignment="1" applyProtection="1">
      <alignment horizontal="left" vertical="center"/>
      <protection locked="0"/>
    </xf>
    <xf numFmtId="0" fontId="0" fillId="3" borderId="72" xfId="0" applyFont="1" applyFill="1" applyBorder="1" applyAlignment="1" applyProtection="1">
      <alignment horizontal="left" vertical="center"/>
      <protection locked="0"/>
    </xf>
    <xf numFmtId="49" fontId="0" fillId="8" borderId="26" xfId="0" applyNumberFormat="1" applyFont="1" applyFill="1" applyBorder="1" applyAlignment="1" applyProtection="1">
      <alignment horizontal="left" vertical="center"/>
      <protection locked="0"/>
    </xf>
    <xf numFmtId="0" fontId="0" fillId="8" borderId="72" xfId="0" applyFont="1" applyFill="1" applyBorder="1" applyAlignment="1" applyProtection="1">
      <alignment horizontal="left" vertical="center"/>
      <protection locked="0"/>
    </xf>
    <xf numFmtId="0" fontId="0" fillId="3" borderId="37" xfId="0" applyFont="1" applyFill="1" applyBorder="1" applyAlignment="1">
      <alignmen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3" borderId="23" xfId="0" applyNumberFormat="1" applyFont="1" applyFill="1" applyBorder="1" applyAlignment="1">
      <alignment vertical="center"/>
    </xf>
    <xf numFmtId="0" fontId="0" fillId="3" borderId="72" xfId="0" applyNumberFormat="1" applyFont="1" applyFill="1" applyBorder="1" applyAlignment="1">
      <alignment vertical="center"/>
    </xf>
    <xf numFmtId="0" fontId="0" fillId="8" borderId="72" xfId="0" applyNumberFormat="1" applyFont="1" applyFill="1" applyBorder="1" applyAlignment="1" applyProtection="1">
      <alignment vertical="center"/>
      <protection locked="0"/>
    </xf>
    <xf numFmtId="0" fontId="12" fillId="8" borderId="0" xfId="0" applyNumberFormat="1" applyFont="1" applyFill="1" applyBorder="1" applyAlignment="1">
      <alignment vertical="center"/>
    </xf>
    <xf numFmtId="0" fontId="0" fillId="3" borderId="0" xfId="0" applyNumberFormat="1" applyFont="1" applyFill="1" applyBorder="1" applyAlignment="1">
      <alignment vertical="center"/>
    </xf>
    <xf numFmtId="0" fontId="12" fillId="3" borderId="42" xfId="0" applyFont="1" applyFill="1" applyBorder="1" applyAlignment="1">
      <alignment horizontal="left" vertical="center"/>
    </xf>
    <xf numFmtId="0" fontId="12" fillId="3" borderId="82" xfId="0" applyFont="1" applyFill="1" applyBorder="1" applyAlignment="1">
      <alignment horizontal="left" vertical="center"/>
    </xf>
    <xf numFmtId="0" fontId="5" fillId="8" borderId="0" xfId="0" applyFont="1" applyFill="1" applyBorder="1" applyAlignment="1">
      <alignment horizontal="center" vertical="center"/>
    </xf>
    <xf numFmtId="0" fontId="0" fillId="3" borderId="0" xfId="0" applyFont="1" applyFill="1" applyAlignment="1">
      <alignment/>
    </xf>
    <xf numFmtId="0" fontId="12" fillId="8" borderId="42" xfId="0" applyFont="1" applyFill="1" applyBorder="1" applyAlignment="1">
      <alignment horizontal="left" vertical="center"/>
    </xf>
    <xf numFmtId="0" fontId="0" fillId="0" borderId="42" xfId="0" applyFont="1" applyBorder="1" applyAlignment="1">
      <alignment horizontal="left"/>
    </xf>
    <xf numFmtId="0" fontId="0" fillId="3" borderId="26" xfId="0" applyFont="1" applyFill="1" applyBorder="1" applyAlignment="1">
      <alignment horizontal="center"/>
    </xf>
    <xf numFmtId="0" fontId="0" fillId="0" borderId="23" xfId="0" applyBorder="1" applyAlignment="1">
      <alignment horizontal="center"/>
    </xf>
    <xf numFmtId="0" fontId="12" fillId="8" borderId="47" xfId="0" applyFont="1" applyFill="1" applyBorder="1" applyAlignment="1">
      <alignment vertical="center"/>
    </xf>
    <xf numFmtId="0" fontId="12" fillId="8" borderId="42" xfId="0" applyFont="1" applyFill="1" applyBorder="1" applyAlignment="1">
      <alignment vertical="center"/>
    </xf>
    <xf numFmtId="0" fontId="0" fillId="0" borderId="42" xfId="0" applyFont="1" applyBorder="1" applyAlignment="1">
      <alignment vertical="center"/>
    </xf>
    <xf numFmtId="0" fontId="0" fillId="8" borderId="26" xfId="0" applyFont="1" applyFill="1" applyBorder="1" applyAlignment="1" applyProtection="1">
      <alignment horizontal="center" vertical="center"/>
      <protection locked="0"/>
    </xf>
    <xf numFmtId="0" fontId="0" fillId="3" borderId="0" xfId="0" applyFont="1" applyFill="1" applyBorder="1" applyAlignment="1">
      <alignment/>
    </xf>
    <xf numFmtId="0" fontId="41" fillId="0" borderId="0" xfId="0" applyFont="1" applyAlignment="1">
      <alignment horizontal="right"/>
    </xf>
    <xf numFmtId="0" fontId="12" fillId="8" borderId="23" xfId="0" applyFont="1" applyFill="1" applyBorder="1" applyAlignment="1">
      <alignment vertical="center"/>
    </xf>
    <xf numFmtId="0" fontId="0" fillId="8" borderId="0" xfId="0" applyFont="1" applyFill="1" applyBorder="1" applyAlignment="1">
      <alignment/>
    </xf>
    <xf numFmtId="0" fontId="0" fillId="3" borderId="0" xfId="0" applyFont="1" applyFill="1" applyBorder="1" applyAlignment="1">
      <alignment/>
    </xf>
    <xf numFmtId="4" fontId="3" fillId="8" borderId="16" xfId="0" applyNumberFormat="1" applyFont="1" applyFill="1" applyBorder="1" applyAlignment="1" applyProtection="1">
      <alignment vertical="center"/>
      <protection/>
    </xf>
    <xf numFmtId="4" fontId="3" fillId="8" borderId="16"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quotePrefix="1">
      <alignment vertical="center"/>
      <protection locked="0"/>
    </xf>
    <xf numFmtId="4" fontId="3" fillId="8" borderId="20" xfId="0" applyNumberFormat="1" applyFont="1" applyFill="1" applyBorder="1" applyAlignment="1" applyProtection="1">
      <alignment vertical="center"/>
      <protection locked="0"/>
    </xf>
    <xf numFmtId="4" fontId="3" fillId="8" borderId="18" xfId="0" applyNumberFormat="1" applyFont="1" applyFill="1" applyBorder="1" applyAlignment="1" applyProtection="1">
      <alignment vertical="center"/>
      <protection locked="0"/>
    </xf>
    <xf numFmtId="0" fontId="0" fillId="8" borderId="0" xfId="0" applyFont="1" applyFill="1" applyBorder="1" applyAlignment="1">
      <alignment vertical="center"/>
    </xf>
    <xf numFmtId="0" fontId="3" fillId="8" borderId="37" xfId="0" applyFont="1" applyFill="1" applyBorder="1" applyAlignment="1">
      <alignment horizontal="center" vertical="center"/>
    </xf>
    <xf numFmtId="0" fontId="12" fillId="8" borderId="26" xfId="0" applyFont="1" applyFill="1" applyBorder="1" applyAlignment="1">
      <alignment vertical="center"/>
    </xf>
    <xf numFmtId="0" fontId="0" fillId="0" borderId="23" xfId="0" applyFont="1" applyBorder="1" applyAlignment="1">
      <alignment vertical="center"/>
    </xf>
    <xf numFmtId="0" fontId="0" fillId="3" borderId="23" xfId="0" applyFont="1" applyFill="1" applyBorder="1" applyAlignment="1" applyProtection="1">
      <alignment horizontal="center" vertical="center"/>
      <protection locked="0"/>
    </xf>
    <xf numFmtId="0" fontId="0" fillId="3" borderId="72" xfId="0" applyFont="1" applyFill="1" applyBorder="1" applyAlignment="1" applyProtection="1">
      <alignment horizontal="center" vertical="center"/>
      <protection locked="0"/>
    </xf>
    <xf numFmtId="3" fontId="0" fillId="8" borderId="26" xfId="0" applyNumberFormat="1" applyFont="1" applyFill="1" applyBorder="1" applyAlignment="1" applyProtection="1">
      <alignment horizontal="left" vertical="center"/>
      <protection locked="0"/>
    </xf>
    <xf numFmtId="3" fontId="0" fillId="8" borderId="23" xfId="0" applyNumberFormat="1" applyFont="1" applyFill="1" applyBorder="1" applyAlignment="1" applyProtection="1">
      <alignment horizontal="left" vertical="center"/>
      <protection locked="0"/>
    </xf>
    <xf numFmtId="3" fontId="0" fillId="8" borderId="72" xfId="0" applyNumberFormat="1" applyFont="1" applyFill="1" applyBorder="1" applyAlignment="1" applyProtection="1">
      <alignment horizontal="left" vertical="center"/>
      <protection locked="0"/>
    </xf>
    <xf numFmtId="49" fontId="3" fillId="8" borderId="26" xfId="0" applyNumberFormat="1" applyFont="1" applyFill="1" applyBorder="1" applyAlignment="1" applyProtection="1">
      <alignment horizontal="center" vertical="center"/>
      <protection locked="0"/>
    </xf>
    <xf numFmtId="0" fontId="0" fillId="3" borderId="72" xfId="0" applyFont="1" applyFill="1" applyBorder="1" applyAlignment="1" applyProtection="1">
      <alignment vertical="center"/>
      <protection locked="0"/>
    </xf>
    <xf numFmtId="0" fontId="0" fillId="3" borderId="111" xfId="0" applyFont="1" applyFill="1" applyBorder="1" applyAlignment="1">
      <alignment vertical="center"/>
    </xf>
    <xf numFmtId="0" fontId="0" fillId="8" borderId="37" xfId="0" applyFont="1" applyFill="1" applyBorder="1" applyAlignment="1">
      <alignment vertical="center"/>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0" fillId="8" borderId="0" xfId="0" applyNumberFormat="1" applyFont="1" applyFill="1" applyBorder="1" applyAlignment="1">
      <alignment vertical="center"/>
    </xf>
    <xf numFmtId="49" fontId="3" fillId="8" borderId="72" xfId="0" applyNumberFormat="1" applyFont="1" applyFill="1" applyBorder="1" applyAlignment="1" applyProtection="1">
      <alignment horizontal="center" vertical="center"/>
      <protection locked="0"/>
    </xf>
    <xf numFmtId="49" fontId="12" fillId="8" borderId="42" xfId="0" applyNumberFormat="1" applyFont="1" applyFill="1" applyBorder="1" applyAlignment="1">
      <alignment horizontal="center" vertical="center"/>
    </xf>
    <xf numFmtId="49" fontId="12" fillId="8" borderId="0" xfId="0" applyNumberFormat="1" applyFont="1" applyFill="1" applyBorder="1" applyAlignment="1">
      <alignment horizontal="right" vertical="center"/>
    </xf>
    <xf numFmtId="0" fontId="0" fillId="8" borderId="26" xfId="0" applyNumberFormat="1" applyFont="1" applyFill="1" applyBorder="1" applyAlignment="1" applyProtection="1">
      <alignment vertical="center"/>
      <protection locked="0"/>
    </xf>
    <xf numFmtId="0" fontId="0" fillId="8" borderId="23" xfId="0" applyNumberFormat="1" applyFont="1" applyFill="1" applyBorder="1" applyAlignment="1" applyProtection="1">
      <alignment vertical="center"/>
      <protection locked="0"/>
    </xf>
    <xf numFmtId="0" fontId="0" fillId="8" borderId="72" xfId="0" applyNumberFormat="1" applyFont="1" applyFill="1" applyBorder="1" applyAlignment="1" applyProtection="1">
      <alignment vertical="center"/>
      <protection locked="0"/>
    </xf>
    <xf numFmtId="0" fontId="0" fillId="3" borderId="23" xfId="0" applyFont="1" applyFill="1" applyBorder="1" applyAlignment="1">
      <alignment horizontal="center" vertical="center"/>
    </xf>
    <xf numFmtId="0" fontId="0" fillId="3" borderId="72" xfId="0" applyFont="1" applyFill="1" applyBorder="1" applyAlignment="1">
      <alignment horizontal="center" vertical="center"/>
    </xf>
    <xf numFmtId="0" fontId="0" fillId="3" borderId="34" xfId="0" applyFont="1" applyFill="1" applyBorder="1" applyAlignment="1">
      <alignment vertical="center"/>
    </xf>
    <xf numFmtId="1" fontId="0" fillId="8" borderId="26" xfId="0" applyNumberFormat="1" applyFont="1" applyFill="1" applyBorder="1" applyAlignment="1" applyProtection="1">
      <alignment horizontal="center" vertical="center"/>
      <protection locked="0"/>
    </xf>
    <xf numFmtId="1" fontId="0" fillId="8" borderId="23" xfId="0" applyNumberFormat="1" applyFont="1" applyFill="1" applyBorder="1" applyAlignment="1" applyProtection="1">
      <alignment horizontal="center" vertical="center"/>
      <protection locked="0"/>
    </xf>
    <xf numFmtId="1" fontId="0" fillId="8" borderId="72" xfId="0" applyNumberFormat="1" applyFont="1" applyFill="1" applyBorder="1" applyAlignment="1" applyProtection="1">
      <alignment horizontal="center" vertical="center"/>
      <protection locked="0"/>
    </xf>
    <xf numFmtId="0" fontId="0" fillId="8" borderId="26" xfId="0" applyNumberFormat="1" applyFont="1" applyFill="1" applyBorder="1" applyAlignment="1" applyProtection="1">
      <alignment horizontal="center" vertical="center"/>
      <protection locked="0"/>
    </xf>
    <xf numFmtId="0" fontId="0" fillId="8" borderId="23" xfId="0" applyNumberFormat="1" applyFont="1" applyFill="1" applyBorder="1" applyAlignment="1" applyProtection="1">
      <alignment horizontal="center" vertical="center"/>
      <protection locked="0"/>
    </xf>
    <xf numFmtId="0" fontId="0" fillId="8" borderId="72" xfId="0" applyNumberFormat="1" applyFont="1" applyFill="1" applyBorder="1" applyAlignment="1" applyProtection="1">
      <alignment horizontal="center" vertical="center"/>
      <protection locked="0"/>
    </xf>
    <xf numFmtId="49" fontId="0" fillId="8" borderId="26" xfId="0" applyNumberFormat="1" applyFont="1" applyFill="1" applyBorder="1" applyAlignment="1" applyProtection="1">
      <alignment horizontal="center" vertical="center"/>
      <protection locked="0"/>
    </xf>
    <xf numFmtId="49" fontId="0" fillId="8" borderId="23" xfId="0" applyNumberFormat="1" applyFont="1" applyFill="1" applyBorder="1" applyAlignment="1" applyProtection="1">
      <alignment horizontal="center" vertical="center"/>
      <protection locked="0"/>
    </xf>
    <xf numFmtId="49" fontId="0" fillId="3" borderId="23" xfId="0" applyNumberFormat="1" applyFont="1" applyFill="1" applyBorder="1" applyAlignment="1" applyProtection="1">
      <alignment horizontal="center" vertical="center"/>
      <protection locked="0"/>
    </xf>
    <xf numFmtId="49" fontId="0" fillId="3" borderId="72" xfId="0" applyNumberFormat="1" applyFont="1" applyFill="1" applyBorder="1" applyAlignment="1" applyProtection="1">
      <alignment horizontal="center" vertical="center"/>
      <protection locked="0"/>
    </xf>
    <xf numFmtId="49" fontId="46" fillId="6" borderId="0" xfId="0" applyNumberFormat="1" applyFont="1" applyFill="1" applyAlignment="1">
      <alignment vertical="center"/>
    </xf>
    <xf numFmtId="0" fontId="0" fillId="8" borderId="26" xfId="0" applyFont="1" applyFill="1" applyBorder="1" applyAlignment="1">
      <alignment horizontal="center" vertical="center"/>
    </xf>
    <xf numFmtId="0" fontId="0" fillId="8" borderId="23" xfId="0" applyFont="1" applyFill="1" applyBorder="1" applyAlignment="1">
      <alignment horizontal="center" vertical="center"/>
    </xf>
    <xf numFmtId="0" fontId="0" fillId="8" borderId="72" xfId="0" applyFont="1" applyFill="1" applyBorder="1" applyAlignment="1">
      <alignment horizontal="center" vertical="center"/>
    </xf>
    <xf numFmtId="0" fontId="57" fillId="8" borderId="34" xfId="0" applyFont="1" applyFill="1" applyBorder="1" applyAlignment="1">
      <alignment vertical="center"/>
    </xf>
    <xf numFmtId="0" fontId="28" fillId="3" borderId="0" xfId="0" applyFont="1" applyFill="1" applyBorder="1" applyAlignment="1">
      <alignment vertical="center"/>
    </xf>
    <xf numFmtId="0" fontId="0" fillId="3" borderId="0" xfId="0" applyFont="1" applyFill="1" applyBorder="1" applyAlignment="1" applyProtection="1">
      <alignment vertical="center"/>
      <protection/>
    </xf>
    <xf numFmtId="0" fontId="0" fillId="3" borderId="37" xfId="0" applyFont="1" applyFill="1" applyBorder="1" applyAlignment="1" applyProtection="1">
      <alignment vertical="center"/>
      <protection/>
    </xf>
    <xf numFmtId="0" fontId="32" fillId="8" borderId="42" xfId="0" applyFont="1" applyFill="1" applyBorder="1" applyAlignment="1">
      <alignment horizontal="left" vertical="center"/>
    </xf>
    <xf numFmtId="0" fontId="0" fillId="3" borderId="42" xfId="0" applyFont="1" applyFill="1" applyBorder="1" applyAlignment="1">
      <alignment horizontal="left" vertical="center"/>
    </xf>
    <xf numFmtId="0" fontId="0" fillId="3" borderId="82" xfId="0" applyFont="1" applyFill="1" applyBorder="1" applyAlignment="1">
      <alignment/>
    </xf>
    <xf numFmtId="0" fontId="23" fillId="8" borderId="47" xfId="0" applyFont="1" applyFill="1" applyBorder="1" applyAlignment="1">
      <alignment horizontal="center"/>
    </xf>
    <xf numFmtId="0" fontId="23" fillId="8" borderId="42" xfId="0" applyFont="1" applyFill="1" applyBorder="1" applyAlignment="1">
      <alignment horizontal="center"/>
    </xf>
    <xf numFmtId="4" fontId="0" fillId="8" borderId="26" xfId="0" applyNumberFormat="1" applyFont="1" applyFill="1" applyBorder="1" applyAlignment="1" applyProtection="1">
      <alignment vertical="center"/>
      <protection locked="0"/>
    </xf>
    <xf numFmtId="4" fontId="0" fillId="3" borderId="23" xfId="0" applyNumberFormat="1" applyFont="1" applyFill="1" applyBorder="1" applyAlignment="1">
      <alignment vertical="center"/>
    </xf>
    <xf numFmtId="4" fontId="0" fillId="3" borderId="72" xfId="0" applyNumberFormat="1" applyFont="1" applyFill="1" applyBorder="1" applyAlignment="1">
      <alignment vertical="center"/>
    </xf>
    <xf numFmtId="49" fontId="12" fillId="8" borderId="0" xfId="0" applyNumberFormat="1" applyFont="1" applyFill="1" applyBorder="1" applyAlignment="1">
      <alignment horizontal="center" vertical="center"/>
    </xf>
    <xf numFmtId="0" fontId="57" fillId="8" borderId="0" xfId="0" applyFont="1" applyFill="1" applyBorder="1" applyAlignment="1">
      <alignment vertical="center"/>
    </xf>
    <xf numFmtId="0" fontId="57" fillId="8" borderId="37" xfId="0" applyFont="1" applyFill="1" applyBorder="1" applyAlignment="1">
      <alignment vertical="center"/>
    </xf>
    <xf numFmtId="0" fontId="41" fillId="8" borderId="34" xfId="0" applyFont="1" applyFill="1" applyBorder="1" applyAlignment="1">
      <alignment horizontal="left" vertical="center" wrapText="1"/>
    </xf>
    <xf numFmtId="0" fontId="0" fillId="0" borderId="34" xfId="0" applyBorder="1" applyAlignment="1">
      <alignment horizontal="left" vertical="center" wrapText="1"/>
    </xf>
    <xf numFmtId="0" fontId="3" fillId="8" borderId="34" xfId="0" applyFont="1" applyFill="1" applyBorder="1" applyAlignment="1">
      <alignment vertical="center"/>
    </xf>
    <xf numFmtId="0" fontId="3" fillId="8" borderId="37" xfId="0" applyFont="1" applyFill="1" applyBorder="1" applyAlignment="1">
      <alignment vertical="center"/>
    </xf>
    <xf numFmtId="0" fontId="12" fillId="19" borderId="117" xfId="0" applyFont="1" applyFill="1" applyBorder="1" applyAlignment="1">
      <alignment horizontal="center" vertical="center"/>
    </xf>
    <xf numFmtId="0" fontId="12" fillId="19" borderId="118" xfId="0" applyFont="1" applyFill="1" applyBorder="1" applyAlignment="1">
      <alignment horizontal="center" vertical="center"/>
    </xf>
    <xf numFmtId="0" fontId="52" fillId="19" borderId="0" xfId="0" applyFont="1" applyFill="1" applyAlignment="1">
      <alignment horizontal="center" vertical="center"/>
    </xf>
    <xf numFmtId="0" fontId="52" fillId="0" borderId="0" xfId="0" applyFont="1" applyAlignment="1">
      <alignment horizontal="center" vertical="center"/>
    </xf>
    <xf numFmtId="0" fontId="5" fillId="19" borderId="0" xfId="0" applyFont="1" applyFill="1" applyAlignment="1">
      <alignment horizontal="center" vertical="center"/>
    </xf>
    <xf numFmtId="0" fontId="5" fillId="0" borderId="0" xfId="0" applyFont="1" applyAlignment="1">
      <alignment horizontal="center" vertical="center"/>
    </xf>
    <xf numFmtId="0" fontId="57" fillId="19" borderId="0" xfId="0" applyFont="1" applyFill="1" applyAlignment="1">
      <alignment wrapText="1"/>
    </xf>
    <xf numFmtId="0" fontId="57" fillId="0" borderId="0" xfId="0" applyFont="1" applyAlignment="1">
      <alignment wrapText="1"/>
    </xf>
    <xf numFmtId="0" fontId="0" fillId="19" borderId="26" xfId="0" applyFill="1" applyBorder="1" applyAlignment="1">
      <alignment horizontal="left" vertical="center"/>
    </xf>
    <xf numFmtId="0" fontId="0" fillId="0" borderId="72" xfId="0" applyBorder="1" applyAlignment="1">
      <alignment horizontal="left" vertical="center"/>
    </xf>
    <xf numFmtId="0" fontId="0" fillId="19" borderId="83" xfId="0" applyFill="1" applyBorder="1" applyAlignment="1">
      <alignment vertical="center"/>
    </xf>
    <xf numFmtId="0" fontId="0" fillId="0" borderId="34" xfId="0" applyBorder="1" applyAlignment="1">
      <alignment vertical="center"/>
    </xf>
    <xf numFmtId="0" fontId="0" fillId="0" borderId="37" xfId="0" applyBorder="1" applyAlignment="1">
      <alignment vertical="center"/>
    </xf>
    <xf numFmtId="0" fontId="0" fillId="0" borderId="47" xfId="0" applyBorder="1" applyAlignment="1">
      <alignment vertical="center"/>
    </xf>
    <xf numFmtId="0" fontId="0" fillId="0" borderId="42" xfId="0" applyBorder="1" applyAlignment="1">
      <alignment vertical="center"/>
    </xf>
    <xf numFmtId="0" fontId="0" fillId="0" borderId="82" xfId="0" applyBorder="1" applyAlignment="1">
      <alignment vertical="center"/>
    </xf>
    <xf numFmtId="0" fontId="57" fillId="19" borderId="42" xfId="0" applyFont="1" applyFill="1" applyBorder="1" applyAlignment="1">
      <alignment horizontal="center"/>
    </xf>
    <xf numFmtId="0" fontId="57" fillId="0" borderId="42" xfId="0" applyFont="1" applyBorder="1" applyAlignment="1">
      <alignment horizontal="center"/>
    </xf>
    <xf numFmtId="1" fontId="0" fillId="19" borderId="26" xfId="0" applyNumberFormat="1" applyFill="1" applyBorder="1" applyAlignment="1">
      <alignment horizontal="center" vertical="center"/>
    </xf>
    <xf numFmtId="0" fontId="57" fillId="19" borderId="42" xfId="0" applyFont="1" applyFill="1" applyBorder="1" applyAlignment="1">
      <alignment wrapText="1"/>
    </xf>
    <xf numFmtId="0" fontId="57" fillId="0" borderId="42" xfId="0" applyFont="1" applyBorder="1" applyAlignment="1">
      <alignment wrapText="1"/>
    </xf>
    <xf numFmtId="0" fontId="3" fillId="19" borderId="83" xfId="0" applyFont="1" applyFill="1" applyBorder="1" applyAlignment="1">
      <alignment vertical="center"/>
    </xf>
    <xf numFmtId="0" fontId="3" fillId="0" borderId="25" xfId="0" applyFont="1" applyBorder="1" applyAlignment="1">
      <alignment vertical="center"/>
    </xf>
    <xf numFmtId="0" fontId="3" fillId="0" borderId="84" xfId="0" applyFont="1" applyBorder="1" applyAlignment="1">
      <alignment vertical="center"/>
    </xf>
    <xf numFmtId="49" fontId="41" fillId="19" borderId="0" xfId="0" applyNumberFormat="1" applyFont="1" applyFill="1" applyBorder="1" applyAlignment="1">
      <alignment horizontal="center" vertical="center"/>
    </xf>
    <xf numFmtId="49" fontId="0" fillId="0" borderId="0" xfId="0" applyNumberFormat="1" applyBorder="1" applyAlignment="1">
      <alignment vertical="center"/>
    </xf>
    <xf numFmtId="0" fontId="0" fillId="19" borderId="26" xfId="0" applyNumberFormat="1" applyFont="1" applyFill="1" applyBorder="1" applyAlignment="1" applyProtection="1">
      <alignment vertical="center"/>
      <protection/>
    </xf>
    <xf numFmtId="0" fontId="0" fillId="0" borderId="23" xfId="0" applyNumberFormat="1" applyBorder="1" applyAlignment="1" applyProtection="1">
      <alignment vertical="center"/>
      <protection/>
    </xf>
    <xf numFmtId="0" fontId="0" fillId="0" borderId="72" xfId="0" applyNumberFormat="1" applyBorder="1" applyAlignment="1" applyProtection="1">
      <alignment vertical="center"/>
      <protection/>
    </xf>
    <xf numFmtId="0" fontId="28" fillId="19" borderId="42" xfId="0" applyFont="1" applyFill="1" applyBorder="1" applyAlignment="1">
      <alignment vertical="center"/>
    </xf>
    <xf numFmtId="0" fontId="28" fillId="0" borderId="42" xfId="0" applyFont="1" applyBorder="1" applyAlignment="1">
      <alignment vertical="center"/>
    </xf>
    <xf numFmtId="0" fontId="0" fillId="19" borderId="26" xfId="0" applyFill="1" applyBorder="1" applyAlignment="1" applyProtection="1">
      <alignment vertical="center"/>
      <protection locked="0"/>
    </xf>
    <xf numFmtId="14" fontId="0" fillId="19" borderId="26" xfId="0" applyNumberFormat="1" applyFill="1" applyBorder="1" applyAlignment="1" applyProtection="1">
      <alignment horizontal="center" vertical="center"/>
      <protection locked="0"/>
    </xf>
    <xf numFmtId="0" fontId="0" fillId="0" borderId="23" xfId="0" applyBorder="1" applyAlignment="1" applyProtection="1">
      <alignment horizontal="center" vertical="center"/>
      <protection locked="0"/>
    </xf>
    <xf numFmtId="0" fontId="0" fillId="0" borderId="72" xfId="0" applyBorder="1" applyAlignment="1" applyProtection="1">
      <alignment horizontal="center" vertical="center"/>
      <protection locked="0"/>
    </xf>
    <xf numFmtId="0" fontId="0" fillId="19" borderId="26" xfId="0" applyFill="1" applyBorder="1" applyAlignment="1" applyProtection="1">
      <alignment horizontal="center" vertical="center"/>
      <protection/>
    </xf>
    <xf numFmtId="0" fontId="0" fillId="0" borderId="23" xfId="0" applyBorder="1" applyAlignment="1" applyProtection="1">
      <alignment horizontal="center" vertical="center"/>
      <protection/>
    </xf>
    <xf numFmtId="0" fontId="0" fillId="0" borderId="72" xfId="0" applyBorder="1" applyAlignment="1" applyProtection="1">
      <alignment horizontal="center" vertical="center"/>
      <protection/>
    </xf>
    <xf numFmtId="0" fontId="28" fillId="19" borderId="0" xfId="0" applyFont="1" applyFill="1" applyBorder="1" applyAlignment="1">
      <alignment vertical="center"/>
    </xf>
    <xf numFmtId="0" fontId="3" fillId="19" borderId="25" xfId="0" applyFont="1" applyFill="1" applyBorder="1" applyAlignment="1">
      <alignment vertical="center" wrapText="1"/>
    </xf>
    <xf numFmtId="0" fontId="3" fillId="0" borderId="25" xfId="0" applyFont="1" applyBorder="1" applyAlignment="1">
      <alignment vertical="center" wrapText="1"/>
    </xf>
    <xf numFmtId="0" fontId="0" fillId="19" borderId="47" xfId="0" applyFill="1" applyBorder="1" applyAlignment="1">
      <alignment vertical="center"/>
    </xf>
    <xf numFmtId="0" fontId="12" fillId="19" borderId="42" xfId="0" applyFont="1" applyFill="1" applyBorder="1" applyAlignment="1">
      <alignment horizontal="center" vertical="center"/>
    </xf>
    <xf numFmtId="0" fontId="12" fillId="0" borderId="42" xfId="0" applyFont="1" applyBorder="1" applyAlignment="1">
      <alignment horizontal="center" vertical="center"/>
    </xf>
    <xf numFmtId="0" fontId="12" fillId="0" borderId="82" xfId="0" applyFont="1" applyBorder="1" applyAlignment="1">
      <alignment horizontal="center" vertical="center"/>
    </xf>
    <xf numFmtId="0" fontId="28" fillId="19" borderId="0" xfId="0" applyFont="1" applyFill="1" applyBorder="1" applyAlignment="1" applyProtection="1">
      <alignment vertical="center"/>
      <protection/>
    </xf>
    <xf numFmtId="0" fontId="0" fillId="0" borderId="37" xfId="0" applyBorder="1" applyAlignment="1" applyProtection="1">
      <alignment vertical="center"/>
      <protection/>
    </xf>
    <xf numFmtId="14" fontId="0" fillId="19" borderId="81" xfId="0" applyNumberFormat="1" applyFill="1" applyBorder="1" applyAlignment="1" applyProtection="1">
      <alignment horizontal="center" vertical="center"/>
      <protection locked="0"/>
    </xf>
    <xf numFmtId="0" fontId="0" fillId="0" borderId="81" xfId="0" applyBorder="1" applyAlignment="1" applyProtection="1">
      <alignment horizontal="center" vertical="center"/>
      <protection locked="0"/>
    </xf>
    <xf numFmtId="0" fontId="0" fillId="19" borderId="0" xfId="0" applyFill="1" applyBorder="1" applyAlignment="1">
      <alignment vertical="center"/>
    </xf>
    <xf numFmtId="0" fontId="0" fillId="19" borderId="0" xfId="0" applyFill="1" applyBorder="1" applyAlignment="1" applyProtection="1">
      <alignment vertical="center"/>
      <protection locked="0"/>
    </xf>
    <xf numFmtId="0" fontId="0" fillId="0" borderId="0" xfId="0" applyBorder="1" applyAlignment="1" applyProtection="1">
      <alignment vertical="center"/>
      <protection locked="0"/>
    </xf>
    <xf numFmtId="0" fontId="0" fillId="0" borderId="81" xfId="0" applyBorder="1" applyAlignment="1" applyProtection="1">
      <alignment vertical="center"/>
      <protection locked="0"/>
    </xf>
    <xf numFmtId="0" fontId="28" fillId="19" borderId="102" xfId="0" applyFont="1" applyFill="1" applyBorder="1" applyAlignment="1">
      <alignment horizontal="center" vertical="center"/>
    </xf>
    <xf numFmtId="0" fontId="0" fillId="0" borderId="102" xfId="0" applyBorder="1" applyAlignment="1">
      <alignment horizontal="center" vertical="center"/>
    </xf>
    <xf numFmtId="0" fontId="0" fillId="19" borderId="34" xfId="0" applyFill="1" applyBorder="1" applyAlignment="1">
      <alignment vertical="center"/>
    </xf>
    <xf numFmtId="0" fontId="3" fillId="0" borderId="26" xfId="0" applyFont="1" applyBorder="1" applyAlignment="1" applyProtection="1">
      <alignment horizontal="center" vertical="center"/>
      <protection/>
    </xf>
    <xf numFmtId="0" fontId="3" fillId="0" borderId="23" xfId="0" applyFont="1" applyBorder="1" applyAlignment="1" applyProtection="1">
      <alignment horizontal="center" vertical="center"/>
      <protection/>
    </xf>
    <xf numFmtId="0" fontId="3" fillId="0" borderId="72" xfId="0" applyFont="1" applyBorder="1" applyAlignment="1" applyProtection="1">
      <alignment horizontal="center" vertical="center"/>
      <protection/>
    </xf>
    <xf numFmtId="0" fontId="0" fillId="0" borderId="34" xfId="0" applyBorder="1" applyAlignment="1" applyProtection="1">
      <alignment vertical="center"/>
      <protection/>
    </xf>
    <xf numFmtId="14" fontId="3" fillId="0" borderId="26" xfId="0" applyNumberFormat="1"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28" fillId="0" borderId="0" xfId="0" applyFont="1" applyBorder="1" applyAlignment="1" applyProtection="1">
      <alignment horizontal="left" vertical="center"/>
      <protection/>
    </xf>
    <xf numFmtId="0" fontId="63" fillId="19" borderId="0" xfId="0" applyFont="1" applyFill="1" applyAlignment="1">
      <alignment horizontal="center" vertical="center"/>
    </xf>
    <xf numFmtId="0" fontId="63" fillId="0" borderId="0" xfId="0" applyFont="1" applyAlignment="1">
      <alignment horizontal="center" vertical="center"/>
    </xf>
    <xf numFmtId="0" fontId="3" fillId="0" borderId="72" xfId="0" applyFont="1" applyBorder="1" applyAlignment="1">
      <alignment horizontal="center" vertical="center"/>
    </xf>
    <xf numFmtId="0" fontId="28" fillId="0" borderId="34" xfId="0" applyFont="1" applyBorder="1" applyAlignment="1" applyProtection="1">
      <alignment horizontal="left" vertical="center"/>
      <protection/>
    </xf>
    <xf numFmtId="0" fontId="28" fillId="0" borderId="34" xfId="0" applyFont="1" applyBorder="1" applyAlignment="1" applyProtection="1">
      <alignment vertical="center"/>
      <protection/>
    </xf>
    <xf numFmtId="0" fontId="28" fillId="19" borderId="0" xfId="16" applyFont="1" applyFill="1" applyAlignment="1">
      <alignment horizontal="center"/>
      <protection/>
    </xf>
    <xf numFmtId="0" fontId="12" fillId="19" borderId="0" xfId="16" applyFont="1" applyFill="1" applyAlignment="1">
      <alignment horizontal="left" wrapText="1"/>
      <protection/>
    </xf>
    <xf numFmtId="0" fontId="12" fillId="19" borderId="0" xfId="16" applyFont="1" applyFill="1" applyAlignment="1">
      <alignment horizontal="center"/>
      <protection/>
    </xf>
    <xf numFmtId="0" fontId="28" fillId="19" borderId="0" xfId="16" applyFont="1" applyFill="1" applyAlignment="1">
      <alignment horizontal="left" vertical="center"/>
      <protection/>
    </xf>
    <xf numFmtId="49" fontId="3" fillId="19" borderId="81" xfId="16" applyNumberFormat="1" applyFont="1" applyFill="1" applyBorder="1" applyAlignment="1" applyProtection="1">
      <alignment horizontal="center" vertical="center"/>
      <protection locked="0"/>
    </xf>
    <xf numFmtId="167" fontId="3" fillId="19" borderId="81" xfId="16" applyNumberFormat="1" applyFont="1" applyFill="1" applyBorder="1" applyAlignment="1" applyProtection="1">
      <alignment horizontal="center" vertical="center"/>
      <protection locked="0"/>
    </xf>
    <xf numFmtId="0" fontId="12" fillId="19" borderId="102" xfId="16" applyFont="1" applyFill="1" applyBorder="1" applyAlignment="1">
      <alignment horizontal="center"/>
      <protection/>
    </xf>
    <xf numFmtId="4" fontId="3" fillId="19" borderId="81" xfId="16" applyNumberFormat="1" applyFont="1" applyFill="1" applyBorder="1" applyAlignment="1" applyProtection="1">
      <alignment horizontal="center" vertical="center"/>
      <protection locked="0"/>
    </xf>
    <xf numFmtId="4" fontId="28" fillId="19" borderId="0" xfId="16" applyNumberFormat="1" applyFont="1" applyFill="1" applyAlignment="1">
      <alignment horizontal="center" vertical="center"/>
      <protection/>
    </xf>
    <xf numFmtId="3" fontId="28" fillId="19" borderId="0" xfId="16" applyNumberFormat="1" applyFont="1" applyFill="1" applyBorder="1" applyAlignment="1" applyProtection="1">
      <alignment horizontal="center"/>
      <protection/>
    </xf>
    <xf numFmtId="14" fontId="57" fillId="19" borderId="81" xfId="16" applyNumberFormat="1" applyFont="1" applyFill="1" applyBorder="1" applyAlignment="1" applyProtection="1">
      <alignment horizontal="center" vertical="center"/>
      <protection locked="0"/>
    </xf>
    <xf numFmtId="0" fontId="57" fillId="19" borderId="81" xfId="16" applyFont="1" applyFill="1" applyBorder="1" applyAlignment="1" applyProtection="1">
      <alignment horizontal="center" vertical="center"/>
      <protection/>
    </xf>
    <xf numFmtId="0" fontId="28" fillId="19" borderId="0" xfId="16" applyFont="1" applyFill="1" applyAlignment="1" applyProtection="1">
      <alignment horizontal="left" vertical="center"/>
      <protection locked="0"/>
    </xf>
    <xf numFmtId="0" fontId="28" fillId="19" borderId="0" xfId="16" applyFont="1" applyFill="1" applyAlignment="1">
      <alignment horizontal="center" vertical="center"/>
      <protection/>
    </xf>
    <xf numFmtId="0" fontId="3" fillId="19" borderId="81" xfId="16" applyNumberFormat="1" applyFont="1" applyFill="1" applyBorder="1" applyAlignment="1" applyProtection="1">
      <alignment horizontal="center" vertical="center"/>
      <protection/>
    </xf>
    <xf numFmtId="0" fontId="0" fillId="0" borderId="81" xfId="15" applyFont="1" applyBorder="1" applyAlignment="1" applyProtection="1">
      <alignment vertical="center"/>
      <protection/>
    </xf>
    <xf numFmtId="0" fontId="3" fillId="19" borderId="26" xfId="16" applyNumberFormat="1" applyFont="1" applyFill="1" applyBorder="1" applyAlignment="1" applyProtection="1">
      <alignment horizontal="center" vertical="center"/>
      <protection/>
    </xf>
    <xf numFmtId="0" fontId="3" fillId="19" borderId="72" xfId="16" applyNumberFormat="1" applyFont="1" applyFill="1" applyBorder="1" applyAlignment="1" applyProtection="1">
      <alignment horizontal="center" vertical="center"/>
      <protection/>
    </xf>
    <xf numFmtId="0" fontId="0" fillId="0" borderId="102" xfId="15" applyBorder="1" applyAlignment="1">
      <alignment horizontal="center"/>
      <protection/>
    </xf>
    <xf numFmtId="0" fontId="0" fillId="0" borderId="0" xfId="15" applyAlignment="1">
      <alignment horizontal="center"/>
      <protection/>
    </xf>
    <xf numFmtId="0" fontId="3" fillId="19" borderId="81" xfId="16" applyFont="1" applyFill="1" applyBorder="1" applyAlignment="1" applyProtection="1">
      <alignment horizontal="center" vertical="center"/>
      <protection locked="0"/>
    </xf>
    <xf numFmtId="1" fontId="52" fillId="19" borderId="81" xfId="16" applyNumberFormat="1" applyFont="1" applyFill="1" applyBorder="1" applyAlignment="1" applyProtection="1">
      <alignment horizontal="center" vertical="center"/>
      <protection/>
    </xf>
    <xf numFmtId="0" fontId="111" fillId="19" borderId="0" xfId="16" applyFont="1" applyFill="1" applyAlignment="1">
      <alignment horizontal="center" vertical="top"/>
      <protection/>
    </xf>
    <xf numFmtId="0" fontId="53" fillId="19" borderId="81" xfId="16" applyFont="1" applyFill="1" applyBorder="1" applyAlignment="1" applyProtection="1">
      <alignment horizontal="left" vertical="center"/>
      <protection locked="0"/>
    </xf>
    <xf numFmtId="0" fontId="53" fillId="0" borderId="81" xfId="15" applyFont="1" applyBorder="1" applyAlignment="1" applyProtection="1">
      <alignment horizontal="left" vertical="center"/>
      <protection locked="0"/>
    </xf>
    <xf numFmtId="0" fontId="12" fillId="19" borderId="0" xfId="16" applyFont="1" applyFill="1" applyAlignment="1">
      <alignment horizontal="center" vertical="top"/>
      <protection/>
    </xf>
    <xf numFmtId="0" fontId="53" fillId="19" borderId="81" xfId="16" applyFont="1" applyFill="1" applyBorder="1" applyAlignment="1" applyProtection="1">
      <alignment vertical="center"/>
      <protection locked="0"/>
    </xf>
    <xf numFmtId="0" fontId="53" fillId="0" borderId="81" xfId="15" applyFont="1" applyBorder="1" applyAlignment="1" applyProtection="1">
      <alignment vertical="center"/>
      <protection locked="0"/>
    </xf>
    <xf numFmtId="0" fontId="28" fillId="19" borderId="0" xfId="16" applyFont="1" applyFill="1" applyBorder="1" applyAlignment="1">
      <alignment horizontal="center"/>
      <protection/>
    </xf>
    <xf numFmtId="0" fontId="28" fillId="19" borderId="37" xfId="16" applyFont="1" applyFill="1" applyBorder="1" applyAlignment="1">
      <alignment horizontal="center"/>
      <protection/>
    </xf>
    <xf numFmtId="49" fontId="3" fillId="19" borderId="26" xfId="16" applyNumberFormat="1" applyFont="1" applyFill="1" applyBorder="1" applyAlignment="1" applyProtection="1">
      <alignment horizontal="center" vertical="center"/>
      <protection locked="0"/>
    </xf>
    <xf numFmtId="49" fontId="3" fillId="19" borderId="72" xfId="16" applyNumberFormat="1" applyFont="1" applyFill="1" applyBorder="1" applyAlignment="1" applyProtection="1">
      <alignment horizontal="center" vertical="center"/>
      <protection locked="0"/>
    </xf>
    <xf numFmtId="0" fontId="64" fillId="8" borderId="61" xfId="0" applyFont="1" applyFill="1" applyBorder="1" applyAlignment="1">
      <alignment horizontal="right" vertical="center"/>
    </xf>
    <xf numFmtId="0" fontId="0" fillId="0" borderId="62" xfId="0" applyBorder="1" applyAlignment="1">
      <alignment vertical="center"/>
    </xf>
    <xf numFmtId="0" fontId="64" fillId="8" borderId="61" xfId="0" applyFont="1" applyFill="1" applyBorder="1" applyAlignment="1">
      <alignment horizontal="left"/>
    </xf>
    <xf numFmtId="0" fontId="64" fillId="8" borderId="0" xfId="0" applyFont="1" applyFill="1" applyBorder="1" applyAlignment="1">
      <alignment horizontal="left"/>
    </xf>
    <xf numFmtId="0" fontId="64" fillId="8" borderId="62" xfId="0" applyFont="1" applyFill="1" applyBorder="1" applyAlignment="1">
      <alignment horizontal="left"/>
    </xf>
    <xf numFmtId="0" fontId="0" fillId="0" borderId="61" xfId="0" applyBorder="1" applyAlignment="1">
      <alignment horizontal="left"/>
    </xf>
    <xf numFmtId="0" fontId="0" fillId="0" borderId="0" xfId="0" applyAlignment="1">
      <alignment horizontal="left"/>
    </xf>
    <xf numFmtId="0" fontId="0" fillId="0" borderId="62" xfId="0" applyBorder="1" applyAlignment="1">
      <alignment horizontal="left"/>
    </xf>
    <xf numFmtId="0" fontId="0" fillId="8" borderId="61" xfId="0" applyFill="1" applyBorder="1" applyAlignment="1">
      <alignment vertical="center"/>
    </xf>
    <xf numFmtId="0" fontId="0" fillId="8" borderId="0" xfId="0" applyFill="1" applyBorder="1" applyAlignment="1">
      <alignment vertical="center"/>
    </xf>
    <xf numFmtId="0" fontId="0" fillId="8" borderId="62" xfId="0" applyFill="1" applyBorder="1" applyAlignment="1">
      <alignment vertical="center"/>
    </xf>
    <xf numFmtId="4" fontId="67" fillId="8" borderId="119" xfId="0" applyNumberFormat="1" applyFont="1" applyFill="1" applyBorder="1" applyAlignment="1" applyProtection="1">
      <alignment vertical="center"/>
      <protection/>
    </xf>
    <xf numFmtId="4" fontId="67" fillId="8" borderId="120" xfId="0" applyNumberFormat="1" applyFont="1" applyFill="1" applyBorder="1" applyAlignment="1" applyProtection="1">
      <alignment vertical="center"/>
      <protection/>
    </xf>
    <xf numFmtId="4" fontId="67" fillId="8" borderId="121" xfId="0" applyNumberFormat="1" applyFont="1" applyFill="1" applyBorder="1" applyAlignment="1" applyProtection="1">
      <alignment vertical="center"/>
      <protection/>
    </xf>
    <xf numFmtId="0" fontId="55" fillId="29" borderId="119" xfId="0" applyFont="1" applyFill="1" applyBorder="1" applyAlignment="1">
      <alignment vertical="center"/>
    </xf>
    <xf numFmtId="0" fontId="46" fillId="0" borderId="120" xfId="0" applyFont="1" applyBorder="1" applyAlignment="1">
      <alignment vertical="center"/>
    </xf>
    <xf numFmtId="0" fontId="55" fillId="29" borderId="61" xfId="0" applyFont="1" applyFill="1" applyBorder="1" applyAlignment="1">
      <alignment vertical="center"/>
    </xf>
    <xf numFmtId="0" fontId="55" fillId="29" borderId="0" xfId="0" applyFont="1" applyFill="1" applyBorder="1" applyAlignment="1">
      <alignment vertical="center"/>
    </xf>
    <xf numFmtId="0" fontId="46" fillId="0" borderId="0" xfId="0" applyFont="1" applyBorder="1" applyAlignment="1">
      <alignment vertical="center"/>
    </xf>
    <xf numFmtId="0" fontId="46" fillId="0" borderId="62" xfId="0" applyFont="1" applyBorder="1" applyAlignment="1">
      <alignment vertical="center"/>
    </xf>
    <xf numFmtId="0" fontId="71" fillId="8" borderId="0" xfId="0" applyFont="1" applyFill="1" applyBorder="1" applyAlignment="1">
      <alignment vertical="center"/>
    </xf>
    <xf numFmtId="0" fontId="72" fillId="0" borderId="0" xfId="0" applyFont="1" applyBorder="1" applyAlignment="1">
      <alignment vertical="center"/>
    </xf>
    <xf numFmtId="0" fontId="72" fillId="0" borderId="62" xfId="0" applyFont="1" applyBorder="1" applyAlignment="1">
      <alignment vertical="center"/>
    </xf>
    <xf numFmtId="3" fontId="67" fillId="8" borderId="119" xfId="0" applyNumberFormat="1" applyFont="1" applyFill="1" applyBorder="1" applyAlignment="1" applyProtection="1">
      <alignment vertical="center"/>
      <protection locked="0"/>
    </xf>
    <xf numFmtId="3" fontId="67" fillId="8" borderId="120" xfId="0" applyNumberFormat="1" applyFont="1" applyFill="1" applyBorder="1" applyAlignment="1" applyProtection="1">
      <alignment vertical="center"/>
      <protection locked="0"/>
    </xf>
    <xf numFmtId="3" fontId="67" fillId="8" borderId="121" xfId="0" applyNumberFormat="1" applyFont="1" applyFill="1" applyBorder="1" applyAlignment="1" applyProtection="1">
      <alignment vertical="center"/>
      <protection locked="0"/>
    </xf>
    <xf numFmtId="0" fontId="55" fillId="8" borderId="61" xfId="0" applyFont="1" applyFill="1" applyBorder="1" applyAlignment="1">
      <alignment vertical="center"/>
    </xf>
    <xf numFmtId="0" fontId="64" fillId="8" borderId="122" xfId="0" applyFont="1" applyFill="1" applyBorder="1" applyAlignment="1">
      <alignment horizontal="right" vertical="center"/>
    </xf>
    <xf numFmtId="0" fontId="64" fillId="8" borderId="67" xfId="0" applyFont="1" applyFill="1" applyBorder="1" applyAlignment="1">
      <alignment horizontal="right" vertical="center"/>
    </xf>
    <xf numFmtId="0" fontId="64" fillId="8" borderId="123" xfId="0" applyFont="1" applyFill="1" applyBorder="1" applyAlignment="1">
      <alignment horizontal="right" vertical="center"/>
    </xf>
    <xf numFmtId="0" fontId="0" fillId="0" borderId="61" xfId="0" applyBorder="1" applyAlignment="1">
      <alignment vertical="center"/>
    </xf>
    <xf numFmtId="0" fontId="0" fillId="8" borderId="122" xfId="0" applyFill="1" applyBorder="1" applyAlignment="1">
      <alignment vertical="center"/>
    </xf>
    <xf numFmtId="0" fontId="0" fillId="3" borderId="67" xfId="0" applyFill="1" applyBorder="1" applyAlignment="1">
      <alignment vertical="center"/>
    </xf>
    <xf numFmtId="0" fontId="0" fillId="3" borderId="123" xfId="0" applyFill="1" applyBorder="1" applyAlignment="1">
      <alignment vertical="center"/>
    </xf>
    <xf numFmtId="0" fontId="0" fillId="3" borderId="61" xfId="0" applyFill="1" applyBorder="1" applyAlignment="1">
      <alignment vertical="center"/>
    </xf>
    <xf numFmtId="0" fontId="0" fillId="3" borderId="0" xfId="0" applyFill="1" applyBorder="1" applyAlignment="1">
      <alignment vertical="center"/>
    </xf>
    <xf numFmtId="0" fontId="0" fillId="3" borderId="62" xfId="0" applyFill="1" applyBorder="1" applyAlignment="1">
      <alignment vertical="center"/>
    </xf>
    <xf numFmtId="0" fontId="64" fillId="8" borderId="111" xfId="0" applyFont="1" applyFill="1" applyBorder="1" applyAlignment="1">
      <alignment vertical="center"/>
    </xf>
    <xf numFmtId="0" fontId="3" fillId="8" borderId="0" xfId="0" applyFont="1" applyFill="1" applyBorder="1" applyAlignment="1">
      <alignment vertical="center"/>
    </xf>
    <xf numFmtId="0" fontId="67" fillId="8" borderId="119" xfId="0" applyFont="1" applyFill="1" applyBorder="1" applyAlignment="1" applyProtection="1">
      <alignment horizontal="center" vertical="center"/>
      <protection locked="0"/>
    </xf>
    <xf numFmtId="0" fontId="67" fillId="8" borderId="121" xfId="0" applyFont="1" applyFill="1" applyBorder="1" applyAlignment="1" applyProtection="1">
      <alignment horizontal="center" vertical="center"/>
      <protection locked="0"/>
    </xf>
    <xf numFmtId="0" fontId="56" fillId="8" borderId="61" xfId="0" applyFont="1" applyFill="1" applyBorder="1" applyAlignment="1">
      <alignment vertical="center" wrapText="1"/>
    </xf>
    <xf numFmtId="0" fontId="0" fillId="0" borderId="61" xfId="0" applyBorder="1" applyAlignment="1">
      <alignment/>
    </xf>
    <xf numFmtId="0" fontId="66" fillId="8" borderId="124" xfId="0" applyFont="1" applyFill="1" applyBorder="1" applyAlignment="1">
      <alignment horizontal="center"/>
    </xf>
    <xf numFmtId="0" fontId="0" fillId="0" borderId="111" xfId="0" applyBorder="1" applyAlignment="1">
      <alignment/>
    </xf>
    <xf numFmtId="0" fontId="0" fillId="0" borderId="125" xfId="0" applyBorder="1" applyAlignment="1">
      <alignment/>
    </xf>
    <xf numFmtId="14" fontId="67" fillId="8" borderId="122" xfId="0" applyNumberFormat="1" applyFont="1" applyFill="1" applyBorder="1" applyAlignment="1" applyProtection="1">
      <alignment horizontal="center" vertical="center"/>
      <protection locked="0"/>
    </xf>
    <xf numFmtId="0" fontId="0" fillId="0" borderId="67" xfId="0"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xf>
    <xf numFmtId="0" fontId="0" fillId="8" borderId="124" xfId="0" applyFill="1" applyBorder="1" applyAlignment="1">
      <alignment/>
    </xf>
    <xf numFmtId="0" fontId="0" fillId="8" borderId="124" xfId="0" applyFill="1" applyBorder="1" applyAlignment="1">
      <alignment vertical="center"/>
    </xf>
    <xf numFmtId="0" fontId="0" fillId="0" borderId="111" xfId="0" applyBorder="1" applyAlignment="1">
      <alignment vertical="center"/>
    </xf>
    <xf numFmtId="0" fontId="0" fillId="0" borderId="125" xfId="0" applyBorder="1" applyAlignment="1">
      <alignment vertical="center"/>
    </xf>
    <xf numFmtId="0" fontId="56" fillId="8" borderId="122" xfId="0" applyFont="1" applyFill="1" applyBorder="1" applyAlignment="1">
      <alignment horizontal="center"/>
    </xf>
    <xf numFmtId="0" fontId="0" fillId="0" borderId="67" xfId="0" applyBorder="1" applyAlignment="1">
      <alignment horizontal="center"/>
    </xf>
    <xf numFmtId="0" fontId="0" fillId="0" borderId="123" xfId="0" applyBorder="1" applyAlignment="1">
      <alignment horizontal="center"/>
    </xf>
    <xf numFmtId="0" fontId="0" fillId="0" borderId="61" xfId="0" applyBorder="1" applyAlignment="1">
      <alignment horizontal="center"/>
    </xf>
    <xf numFmtId="0" fontId="0" fillId="0" borderId="62" xfId="0" applyBorder="1" applyAlignment="1">
      <alignment horizontal="center"/>
    </xf>
    <xf numFmtId="0" fontId="0" fillId="0" borderId="62" xfId="0" applyBorder="1" applyAlignment="1">
      <alignment/>
    </xf>
    <xf numFmtId="0" fontId="44" fillId="8" borderId="0" xfId="0" applyFont="1" applyFill="1" applyBorder="1" applyAlignment="1">
      <alignment horizontal="center"/>
    </xf>
    <xf numFmtId="0" fontId="44" fillId="8" borderId="0" xfId="0" applyFont="1" applyFill="1" applyBorder="1" applyAlignment="1">
      <alignment horizontal="center"/>
    </xf>
    <xf numFmtId="0" fontId="45" fillId="8" borderId="61" xfId="0" applyFont="1" applyFill="1" applyBorder="1" applyAlignment="1">
      <alignment horizontal="right"/>
    </xf>
    <xf numFmtId="0" fontId="0" fillId="0" borderId="0" xfId="0" applyBorder="1" applyAlignment="1">
      <alignment horizontal="right"/>
    </xf>
    <xf numFmtId="0" fontId="0" fillId="0" borderId="62" xfId="0" applyBorder="1" applyAlignment="1">
      <alignment horizontal="right"/>
    </xf>
    <xf numFmtId="49" fontId="67" fillId="8" borderId="119" xfId="0" applyNumberFormat="1" applyFont="1" applyFill="1" applyBorder="1" applyAlignment="1" applyProtection="1">
      <alignment horizontal="center" vertical="center"/>
      <protection locked="0"/>
    </xf>
    <xf numFmtId="49" fontId="67" fillId="0" borderId="120" xfId="0" applyNumberFormat="1" applyFont="1" applyBorder="1" applyAlignment="1" applyProtection="1">
      <alignment horizontal="center" vertical="center"/>
      <protection locked="0"/>
    </xf>
    <xf numFmtId="49" fontId="67" fillId="0" borderId="121" xfId="0" applyNumberFormat="1" applyFont="1" applyBorder="1" applyAlignment="1" applyProtection="1">
      <alignment horizontal="center" vertical="center"/>
      <protection locked="0"/>
    </xf>
    <xf numFmtId="49" fontId="67" fillId="8" borderId="120" xfId="0" applyNumberFormat="1" applyFont="1" applyFill="1" applyBorder="1" applyAlignment="1" applyProtection="1">
      <alignment horizontal="center" vertical="center"/>
      <protection locked="0"/>
    </xf>
    <xf numFmtId="0" fontId="67" fillId="0" borderId="120" xfId="0" applyFont="1" applyBorder="1" applyAlignment="1" applyProtection="1">
      <alignment horizontal="center" vertical="center"/>
      <protection locked="0"/>
    </xf>
    <xf numFmtId="0" fontId="67" fillId="0" borderId="121" xfId="0" applyFont="1" applyBorder="1" applyAlignment="1" applyProtection="1">
      <alignment horizontal="center" vertical="center"/>
      <protection locked="0"/>
    </xf>
    <xf numFmtId="0" fontId="55" fillId="8" borderId="34" xfId="0" applyFont="1" applyFill="1" applyBorder="1" applyAlignment="1">
      <alignment horizontal="center" vertical="center"/>
    </xf>
    <xf numFmtId="0" fontId="70" fillId="8" borderId="47" xfId="0" applyFont="1" applyFill="1" applyBorder="1" applyAlignment="1">
      <alignment horizontal="center" vertical="center"/>
    </xf>
    <xf numFmtId="0" fontId="64" fillId="3" borderId="0" xfId="0" applyFont="1" applyFill="1" applyAlignment="1">
      <alignment vertical="top" wrapText="1"/>
    </xf>
    <xf numFmtId="0" fontId="20" fillId="8" borderId="0" xfId="0" applyFont="1" applyFill="1" applyAlignment="1">
      <alignment vertical="top"/>
    </xf>
    <xf numFmtId="0" fontId="45" fillId="8" borderId="0" xfId="0" applyFont="1" applyFill="1" applyBorder="1" applyAlignment="1">
      <alignment horizontal="center" vertical="center"/>
    </xf>
    <xf numFmtId="0" fontId="64" fillId="8" borderId="0" xfId="0" applyFont="1" applyFill="1" applyBorder="1" applyAlignment="1">
      <alignment horizontal="right" vertical="center"/>
    </xf>
    <xf numFmtId="0" fontId="64" fillId="8" borderId="61" xfId="0" applyFont="1" applyFill="1" applyBorder="1" applyAlignment="1">
      <alignment horizontal="center" vertical="center"/>
    </xf>
    <xf numFmtId="0" fontId="0" fillId="0" borderId="62" xfId="0" applyBorder="1" applyAlignment="1">
      <alignment horizontal="center" vertical="center"/>
    </xf>
    <xf numFmtId="0" fontId="55" fillId="8" borderId="0" xfId="0" applyFont="1" applyFill="1" applyAlignment="1">
      <alignment horizontal="center" vertical="center"/>
    </xf>
    <xf numFmtId="0" fontId="62" fillId="8" borderId="0" xfId="0" applyFont="1" applyFill="1" applyAlignment="1">
      <alignment horizontal="left" vertical="center"/>
    </xf>
    <xf numFmtId="0" fontId="28" fillId="0" borderId="0" xfId="0" applyFont="1" applyAlignment="1">
      <alignment horizontal="left"/>
    </xf>
    <xf numFmtId="0" fontId="28" fillId="0" borderId="37" xfId="0" applyFont="1" applyBorder="1" applyAlignment="1">
      <alignment horizontal="left"/>
    </xf>
    <xf numFmtId="0" fontId="0" fillId="0" borderId="120" xfId="0" applyBorder="1" applyAlignment="1">
      <alignment vertical="center"/>
    </xf>
    <xf numFmtId="0" fontId="0" fillId="0" borderId="121" xfId="0" applyBorder="1" applyAlignment="1">
      <alignment vertical="center"/>
    </xf>
    <xf numFmtId="0" fontId="69" fillId="8" borderId="83" xfId="0" applyFont="1" applyFill="1" applyBorder="1" applyAlignment="1">
      <alignment horizontal="center" vertical="center"/>
    </xf>
    <xf numFmtId="0" fontId="69" fillId="8" borderId="34" xfId="0" applyFont="1" applyFill="1" applyBorder="1" applyAlignment="1">
      <alignment horizontal="center" vertical="center"/>
    </xf>
    <xf numFmtId="0" fontId="20" fillId="0" borderId="0" xfId="0" applyFont="1" applyBorder="1" applyAlignment="1">
      <alignment horizontal="right" vertical="center"/>
    </xf>
    <xf numFmtId="0" fontId="20" fillId="0" borderId="62" xfId="0" applyFont="1" applyBorder="1" applyAlignment="1">
      <alignment horizontal="right" vertical="center"/>
    </xf>
    <xf numFmtId="0" fontId="64" fillId="8" borderId="62" xfId="0" applyFont="1" applyFill="1" applyBorder="1" applyAlignment="1">
      <alignment horizontal="right" vertical="center"/>
    </xf>
    <xf numFmtId="0" fontId="0" fillId="0" borderId="61" xfId="0" applyBorder="1" applyAlignment="1" applyProtection="1">
      <alignment/>
      <protection/>
    </xf>
    <xf numFmtId="0" fontId="0" fillId="0" borderId="62" xfId="0" applyBorder="1" applyAlignment="1" applyProtection="1">
      <alignment/>
      <protection/>
    </xf>
    <xf numFmtId="0" fontId="0" fillId="0" borderId="124" xfId="0" applyBorder="1" applyAlignment="1" applyProtection="1">
      <alignment/>
      <protection/>
    </xf>
    <xf numFmtId="0" fontId="0" fillId="0" borderId="111" xfId="0" applyBorder="1" applyAlignment="1" applyProtection="1">
      <alignment/>
      <protection/>
    </xf>
    <xf numFmtId="0" fontId="0" fillId="0" borderId="125" xfId="0" applyBorder="1" applyAlignment="1" applyProtection="1">
      <alignment/>
      <protection/>
    </xf>
    <xf numFmtId="0" fontId="67" fillId="8" borderId="119" xfId="0" applyFont="1" applyFill="1" applyBorder="1" applyAlignment="1" applyProtection="1">
      <alignment vertical="center"/>
      <protection locked="0"/>
    </xf>
    <xf numFmtId="0" fontId="67" fillId="0" borderId="120" xfId="0" applyFont="1" applyBorder="1" applyAlignment="1" applyProtection="1">
      <alignment vertical="center"/>
      <protection locked="0"/>
    </xf>
    <xf numFmtId="0" fontId="67" fillId="0" borderId="121" xfId="0" applyFont="1" applyBorder="1" applyAlignment="1" applyProtection="1">
      <alignment vertical="center"/>
      <protection locked="0"/>
    </xf>
    <xf numFmtId="0" fontId="55" fillId="3" borderId="0" xfId="0" applyFont="1" applyFill="1" applyBorder="1" applyAlignment="1">
      <alignment wrapText="1"/>
    </xf>
    <xf numFmtId="0" fontId="45" fillId="3" borderId="0" xfId="0" applyFont="1" applyFill="1" applyBorder="1" applyAlignment="1">
      <alignment wrapText="1"/>
    </xf>
    <xf numFmtId="0" fontId="45" fillId="8" borderId="61" xfId="0" applyFont="1" applyFill="1" applyBorder="1" applyAlignment="1">
      <alignment vertical="center"/>
    </xf>
    <xf numFmtId="0" fontId="45" fillId="8" borderId="62" xfId="0" applyFont="1" applyFill="1" applyBorder="1" applyAlignment="1">
      <alignment vertical="center"/>
    </xf>
    <xf numFmtId="0" fontId="62" fillId="8" borderId="61" xfId="0" applyFont="1" applyFill="1" applyBorder="1" applyAlignment="1">
      <alignment vertical="center"/>
    </xf>
    <xf numFmtId="0" fontId="62" fillId="8" borderId="0" xfId="0" applyFont="1" applyFill="1" applyBorder="1" applyAlignment="1">
      <alignment vertical="center"/>
    </xf>
    <xf numFmtId="0" fontId="62" fillId="8" borderId="62" xfId="0" applyFont="1" applyFill="1" applyBorder="1" applyAlignment="1">
      <alignment vertical="center"/>
    </xf>
    <xf numFmtId="0" fontId="44" fillId="8" borderId="61" xfId="0" applyFont="1" applyFill="1" applyBorder="1" applyAlignment="1">
      <alignment wrapText="1"/>
    </xf>
    <xf numFmtId="0" fontId="0" fillId="0" borderId="0" xfId="0" applyFont="1" applyBorder="1" applyAlignment="1">
      <alignment wrapText="1"/>
    </xf>
    <xf numFmtId="0" fontId="0" fillId="0" borderId="61" xfId="0" applyFont="1" applyBorder="1" applyAlignment="1">
      <alignment wrapText="1"/>
    </xf>
    <xf numFmtId="0" fontId="64" fillId="8" borderId="0" xfId="0" applyFont="1" applyFill="1" applyBorder="1" applyAlignment="1">
      <alignment/>
    </xf>
    <xf numFmtId="0" fontId="64" fillId="8" borderId="62" xfId="0" applyFont="1" applyFill="1" applyBorder="1" applyAlignment="1">
      <alignment/>
    </xf>
    <xf numFmtId="49" fontId="45" fillId="8" borderId="0" xfId="0" applyNumberFormat="1" applyFont="1" applyFill="1" applyBorder="1" applyAlignment="1">
      <alignment horizontal="right"/>
    </xf>
    <xf numFmtId="0" fontId="45" fillId="0" borderId="0" xfId="0" applyFont="1" applyBorder="1" applyAlignment="1">
      <alignment horizontal="right"/>
    </xf>
    <xf numFmtId="0" fontId="55" fillId="29" borderId="60" xfId="0" applyFont="1" applyFill="1" applyBorder="1" applyAlignment="1">
      <alignment vertical="center"/>
    </xf>
    <xf numFmtId="0" fontId="45" fillId="8" borderId="122" xfId="0" applyFont="1" applyFill="1" applyBorder="1" applyAlignment="1">
      <alignment vertical="center"/>
    </xf>
    <xf numFmtId="0" fontId="0" fillId="0" borderId="67" xfId="0" applyBorder="1" applyAlignment="1">
      <alignment vertical="center"/>
    </xf>
    <xf numFmtId="0" fontId="0" fillId="0" borderId="123" xfId="0" applyBorder="1" applyAlignment="1">
      <alignment vertical="center"/>
    </xf>
    <xf numFmtId="0" fontId="66" fillId="8" borderId="67" xfId="0" applyFont="1" applyFill="1" applyBorder="1" applyAlignment="1">
      <alignment horizontal="center"/>
    </xf>
    <xf numFmtId="0" fontId="0" fillId="0" borderId="67" xfId="0" applyBorder="1" applyAlignment="1">
      <alignment/>
    </xf>
    <xf numFmtId="0" fontId="66" fillId="8" borderId="0" xfId="0" applyFont="1" applyFill="1" applyBorder="1" applyAlignment="1">
      <alignment horizontal="center"/>
    </xf>
    <xf numFmtId="0" fontId="45" fillId="8" borderId="0" xfId="0" applyFont="1" applyFill="1" applyBorder="1" applyAlignment="1">
      <alignment vertical="center"/>
    </xf>
    <xf numFmtId="0" fontId="67" fillId="8" borderId="120" xfId="0" applyFont="1" applyFill="1" applyBorder="1" applyAlignment="1" applyProtection="1">
      <alignment vertical="center"/>
      <protection locked="0"/>
    </xf>
    <xf numFmtId="0" fontId="67" fillId="8" borderId="121" xfId="0" applyFont="1" applyFill="1" applyBorder="1" applyAlignment="1" applyProtection="1">
      <alignment vertical="center"/>
      <protection locked="0"/>
    </xf>
    <xf numFmtId="0" fontId="55" fillId="29" borderId="120" xfId="0" applyFont="1" applyFill="1" applyBorder="1" applyAlignment="1">
      <alignment vertical="center"/>
    </xf>
    <xf numFmtId="0" fontId="46" fillId="0" borderId="121" xfId="0" applyFont="1" applyBorder="1" applyAlignment="1">
      <alignment vertical="center"/>
    </xf>
    <xf numFmtId="0" fontId="72" fillId="8" borderId="0" xfId="0" applyFont="1" applyFill="1" applyBorder="1" applyAlignment="1">
      <alignment vertical="center"/>
    </xf>
    <xf numFmtId="0" fontId="72" fillId="8" borderId="62" xfId="0" applyFont="1" applyFill="1" applyBorder="1" applyAlignment="1">
      <alignment vertical="center"/>
    </xf>
    <xf numFmtId="3" fontId="67" fillId="8" borderId="119" xfId="0" applyNumberFormat="1" applyFont="1" applyFill="1" applyBorder="1" applyAlignment="1">
      <alignment vertical="center"/>
    </xf>
    <xf numFmtId="3" fontId="67" fillId="8" borderId="120" xfId="0" applyNumberFormat="1" applyFont="1" applyFill="1" applyBorder="1" applyAlignment="1">
      <alignment vertical="center"/>
    </xf>
    <xf numFmtId="3" fontId="67" fillId="8" borderId="121" xfId="0" applyNumberFormat="1" applyFont="1" applyFill="1" applyBorder="1" applyAlignment="1">
      <alignment vertical="center"/>
    </xf>
    <xf numFmtId="0" fontId="56" fillId="8" borderId="122" xfId="0" applyFont="1" applyFill="1" applyBorder="1" applyAlignment="1" applyProtection="1">
      <alignment horizontal="center"/>
      <protection locked="0"/>
    </xf>
    <xf numFmtId="0" fontId="56" fillId="8" borderId="67" xfId="0" applyFont="1" applyFill="1" applyBorder="1" applyAlignment="1" applyProtection="1">
      <alignment horizontal="center"/>
      <protection locked="0"/>
    </xf>
    <xf numFmtId="0" fontId="56" fillId="8" borderId="123" xfId="0" applyFont="1" applyFill="1" applyBorder="1" applyAlignment="1" applyProtection="1">
      <alignment horizontal="center"/>
      <protection locked="0"/>
    </xf>
    <xf numFmtId="0" fontId="56" fillId="8" borderId="61" xfId="0" applyFont="1" applyFill="1" applyBorder="1" applyAlignment="1" applyProtection="1">
      <alignment horizontal="center"/>
      <protection locked="0"/>
    </xf>
    <xf numFmtId="0" fontId="56" fillId="8" borderId="0" xfId="0" applyFont="1" applyFill="1" applyBorder="1" applyAlignment="1" applyProtection="1">
      <alignment horizontal="center"/>
      <protection locked="0"/>
    </xf>
    <xf numFmtId="0" fontId="56" fillId="8" borderId="62" xfId="0" applyFont="1" applyFill="1" applyBorder="1" applyAlignment="1" applyProtection="1">
      <alignment horizontal="center"/>
      <protection locked="0"/>
    </xf>
    <xf numFmtId="0" fontId="56" fillId="8" borderId="124" xfId="0" applyFont="1" applyFill="1" applyBorder="1" applyAlignment="1" applyProtection="1">
      <alignment horizontal="center"/>
      <protection locked="0"/>
    </xf>
    <xf numFmtId="0" fontId="56" fillId="8" borderId="111" xfId="0" applyFont="1" applyFill="1" applyBorder="1" applyAlignment="1" applyProtection="1">
      <alignment horizontal="center"/>
      <protection locked="0"/>
    </xf>
    <xf numFmtId="0" fontId="56" fillId="8" borderId="125" xfId="0" applyFont="1" applyFill="1" applyBorder="1" applyAlignment="1" applyProtection="1">
      <alignment horizontal="center"/>
      <protection locked="0"/>
    </xf>
    <xf numFmtId="0" fontId="0" fillId="8" borderId="61" xfId="0" applyFill="1" applyBorder="1" applyAlignment="1">
      <alignment/>
    </xf>
    <xf numFmtId="0" fontId="0" fillId="8" borderId="62" xfId="0" applyFill="1" applyBorder="1" applyAlignment="1">
      <alignment/>
    </xf>
    <xf numFmtId="0" fontId="53" fillId="8" borderId="0" xfId="0" applyFont="1" applyFill="1" applyBorder="1" applyAlignment="1">
      <alignment vertical="center"/>
    </xf>
    <xf numFmtId="4" fontId="67" fillId="8" borderId="119" xfId="0" applyNumberFormat="1" applyFont="1" applyFill="1" applyBorder="1" applyAlignment="1" applyProtection="1">
      <alignment vertical="center"/>
      <protection locked="0"/>
    </xf>
    <xf numFmtId="4" fontId="67" fillId="8" borderId="120" xfId="0" applyNumberFormat="1" applyFont="1" applyFill="1" applyBorder="1" applyAlignment="1" applyProtection="1">
      <alignment vertical="center"/>
      <protection locked="0"/>
    </xf>
    <xf numFmtId="4" fontId="67" fillId="8" borderId="121" xfId="0" applyNumberFormat="1" applyFont="1" applyFill="1" applyBorder="1" applyAlignment="1" applyProtection="1">
      <alignment vertical="center"/>
      <protection locked="0"/>
    </xf>
    <xf numFmtId="0" fontId="64" fillId="8" borderId="0" xfId="0" applyFont="1" applyFill="1" applyBorder="1" applyAlignment="1">
      <alignment horizontal="right"/>
    </xf>
    <xf numFmtId="0" fontId="20" fillId="0" borderId="0" xfId="0" applyFont="1" applyBorder="1" applyAlignment="1">
      <alignment horizontal="right"/>
    </xf>
    <xf numFmtId="0" fontId="20" fillId="0" borderId="62" xfId="0" applyFont="1" applyBorder="1" applyAlignment="1">
      <alignment horizontal="right"/>
    </xf>
    <xf numFmtId="0" fontId="64" fillId="8" borderId="111" xfId="0" applyFont="1" applyFill="1" applyBorder="1" applyAlignment="1">
      <alignment horizontal="left" vertical="center"/>
    </xf>
    <xf numFmtId="0" fontId="62" fillId="8" borderId="122" xfId="0" applyFont="1" applyFill="1" applyBorder="1" applyAlignment="1" applyProtection="1">
      <alignment vertical="center"/>
      <protection/>
    </xf>
    <xf numFmtId="0" fontId="62" fillId="8" borderId="67" xfId="0" applyFont="1" applyFill="1" applyBorder="1" applyAlignment="1" applyProtection="1">
      <alignment vertical="center"/>
      <protection/>
    </xf>
    <xf numFmtId="0" fontId="0" fillId="0" borderId="67" xfId="0" applyBorder="1" applyAlignment="1" applyProtection="1">
      <alignment vertical="center"/>
      <protection/>
    </xf>
    <xf numFmtId="0" fontId="0" fillId="0" borderId="123" xfId="0" applyBorder="1" applyAlignment="1" applyProtection="1">
      <alignment vertical="center"/>
      <protection/>
    </xf>
    <xf numFmtId="0" fontId="0" fillId="0" borderId="61" xfId="0" applyBorder="1" applyAlignment="1" applyProtection="1">
      <alignment vertical="center"/>
      <protection/>
    </xf>
    <xf numFmtId="0" fontId="0" fillId="0" borderId="62" xfId="0" applyBorder="1" applyAlignment="1" applyProtection="1">
      <alignment vertical="center"/>
      <protection/>
    </xf>
    <xf numFmtId="0" fontId="44" fillId="8" borderId="0" xfId="0" applyFont="1" applyFill="1" applyBorder="1" applyAlignment="1">
      <alignment/>
    </xf>
    <xf numFmtId="0" fontId="44" fillId="8" borderId="0" xfId="0" applyFont="1" applyFill="1" applyBorder="1" applyAlignment="1">
      <alignment/>
    </xf>
    <xf numFmtId="0" fontId="44" fillId="8" borderId="61" xfId="0" applyFont="1" applyFill="1" applyBorder="1" applyAlignment="1">
      <alignment vertical="center"/>
    </xf>
    <xf numFmtId="0" fontId="67" fillId="8" borderId="119" xfId="0" applyNumberFormat="1" applyFont="1" applyFill="1" applyBorder="1" applyAlignment="1" applyProtection="1">
      <alignment horizontal="center" vertical="center"/>
      <protection/>
    </xf>
    <xf numFmtId="0" fontId="67" fillId="0" borderId="120" xfId="0" applyNumberFormat="1" applyFont="1" applyBorder="1" applyAlignment="1" applyProtection="1">
      <alignment horizontal="center" vertical="center"/>
      <protection/>
    </xf>
    <xf numFmtId="0" fontId="67" fillId="0" borderId="121" xfId="0" applyNumberFormat="1" applyFont="1" applyBorder="1" applyAlignment="1" applyProtection="1">
      <alignment horizontal="center" vertical="center"/>
      <protection/>
    </xf>
    <xf numFmtId="49" fontId="67" fillId="8" borderId="119" xfId="0" applyNumberFormat="1" applyFont="1" applyFill="1" applyBorder="1" applyAlignment="1" applyProtection="1">
      <alignment horizontal="center" vertical="center"/>
      <protection/>
    </xf>
    <xf numFmtId="49" fontId="67" fillId="8" borderId="120" xfId="0" applyNumberFormat="1" applyFont="1" applyFill="1" applyBorder="1" applyAlignment="1" applyProtection="1">
      <alignment horizontal="center" vertical="center"/>
      <protection/>
    </xf>
    <xf numFmtId="49" fontId="67" fillId="8" borderId="121" xfId="0" applyNumberFormat="1" applyFont="1" applyFill="1" applyBorder="1" applyAlignment="1" applyProtection="1">
      <alignment horizontal="center" vertical="center"/>
      <protection/>
    </xf>
    <xf numFmtId="0" fontId="64" fillId="8" borderId="111" xfId="0" applyFont="1" applyFill="1" applyBorder="1" applyAlignment="1">
      <alignment horizontal="center" vertical="center"/>
    </xf>
    <xf numFmtId="0" fontId="64" fillId="8" borderId="125" xfId="0" applyFont="1" applyFill="1" applyBorder="1" applyAlignment="1">
      <alignment horizontal="center" vertical="center"/>
    </xf>
    <xf numFmtId="0" fontId="67" fillId="0" borderId="119" xfId="0" applyFont="1" applyBorder="1" applyAlignment="1" applyProtection="1">
      <alignment vertical="center"/>
      <protection/>
    </xf>
    <xf numFmtId="0" fontId="67" fillId="0" borderId="120" xfId="0" applyFont="1" applyBorder="1" applyAlignment="1" applyProtection="1">
      <alignment vertical="center"/>
      <protection/>
    </xf>
    <xf numFmtId="0" fontId="67" fillId="0" borderId="121" xfId="0" applyFont="1" applyBorder="1" applyAlignment="1" applyProtection="1">
      <alignment vertical="center"/>
      <protection/>
    </xf>
    <xf numFmtId="0" fontId="64" fillId="8" borderId="125" xfId="0" applyFont="1" applyFill="1" applyBorder="1" applyAlignment="1">
      <alignment vertical="center"/>
    </xf>
    <xf numFmtId="0" fontId="64" fillId="8" borderId="61" xfId="0" applyFont="1" applyFill="1" applyBorder="1" applyAlignment="1">
      <alignment vertical="center"/>
    </xf>
    <xf numFmtId="0" fontId="64" fillId="8" borderId="0" xfId="0" applyFont="1" applyFill="1" applyBorder="1" applyAlignment="1">
      <alignment vertical="center"/>
    </xf>
    <xf numFmtId="0" fontId="64" fillId="8" borderId="62" xfId="0" applyFont="1" applyFill="1" applyBorder="1" applyAlignment="1">
      <alignment vertical="center"/>
    </xf>
    <xf numFmtId="0" fontId="0" fillId="8" borderId="122" xfId="0" applyFill="1" applyBorder="1" applyAlignment="1">
      <alignment/>
    </xf>
    <xf numFmtId="0" fontId="0" fillId="8" borderId="67" xfId="0" applyFill="1" applyBorder="1" applyAlignment="1">
      <alignment/>
    </xf>
    <xf numFmtId="0" fontId="0" fillId="8" borderId="123" xfId="0" applyFill="1" applyBorder="1" applyAlignment="1">
      <alignment/>
    </xf>
    <xf numFmtId="49" fontId="67" fillId="8" borderId="119" xfId="0" applyNumberFormat="1" applyFont="1" applyFill="1" applyBorder="1" applyAlignment="1" applyProtection="1">
      <alignment horizontal="left" vertical="center"/>
      <protection locked="0"/>
    </xf>
    <xf numFmtId="49" fontId="67" fillId="8" borderId="120" xfId="0" applyNumberFormat="1" applyFont="1" applyFill="1" applyBorder="1" applyAlignment="1" applyProtection="1">
      <alignment horizontal="left" vertical="center"/>
      <protection locked="0"/>
    </xf>
    <xf numFmtId="49" fontId="67" fillId="8" borderId="121" xfId="0" applyNumberFormat="1" applyFont="1" applyFill="1" applyBorder="1" applyAlignment="1" applyProtection="1">
      <alignment horizontal="left" vertical="center"/>
      <protection locked="0"/>
    </xf>
    <xf numFmtId="0" fontId="98" fillId="24" borderId="0" xfId="0" applyFont="1" applyFill="1" applyAlignment="1">
      <alignment horizontal="center" vertical="center"/>
    </xf>
    <xf numFmtId="0" fontId="98" fillId="19" borderId="0" xfId="0" applyFont="1" applyFill="1" applyAlignment="1">
      <alignment horizontal="center" vertical="center"/>
    </xf>
    <xf numFmtId="0" fontId="56" fillId="8" borderId="111" xfId="0" applyFont="1" applyFill="1" applyBorder="1" applyAlignment="1">
      <alignment horizontal="center" vertical="center"/>
    </xf>
    <xf numFmtId="0" fontId="55" fillId="29" borderId="121" xfId="0" applyFont="1" applyFill="1" applyBorder="1" applyAlignment="1">
      <alignment vertical="center"/>
    </xf>
    <xf numFmtId="0" fontId="64" fillId="0" borderId="61" xfId="0" applyFont="1" applyBorder="1" applyAlignment="1">
      <alignment vertical="center"/>
    </xf>
    <xf numFmtId="0" fontId="64" fillId="0" borderId="0" xfId="0" applyFont="1" applyBorder="1" applyAlignment="1">
      <alignment vertical="center"/>
    </xf>
    <xf numFmtId="0" fontId="64" fillId="0" borderId="62" xfId="0" applyFont="1" applyBorder="1" applyAlignment="1">
      <alignment vertical="center"/>
    </xf>
    <xf numFmtId="0" fontId="67" fillId="0" borderId="119" xfId="0" applyFont="1" applyBorder="1" applyAlignment="1" applyProtection="1">
      <alignment vertical="center"/>
      <protection locked="0"/>
    </xf>
    <xf numFmtId="0" fontId="77" fillId="8" borderId="67" xfId="0" applyFont="1" applyFill="1" applyBorder="1" applyAlignment="1">
      <alignment vertical="center"/>
    </xf>
    <xf numFmtId="0" fontId="20" fillId="0" borderId="67" xfId="0" applyFont="1" applyBorder="1" applyAlignment="1">
      <alignment vertical="center"/>
    </xf>
    <xf numFmtId="0" fontId="64" fillId="8" borderId="0" xfId="0" applyFont="1" applyFill="1" applyBorder="1" applyAlignment="1">
      <alignment horizontal="center" vertical="center"/>
    </xf>
    <xf numFmtId="0" fontId="20" fillId="8" borderId="0" xfId="0" applyFont="1" applyFill="1" applyBorder="1" applyAlignment="1">
      <alignment horizontal="center" vertical="center"/>
    </xf>
    <xf numFmtId="0" fontId="20" fillId="8" borderId="62" xfId="0" applyFont="1" applyFill="1" applyBorder="1" applyAlignment="1">
      <alignment horizontal="center" vertical="center"/>
    </xf>
    <xf numFmtId="0" fontId="64" fillId="8" borderId="67" xfId="0" applyFont="1" applyFill="1" applyBorder="1" applyAlignment="1">
      <alignment vertical="center"/>
    </xf>
    <xf numFmtId="0" fontId="64" fillId="0" borderId="67" xfId="0" applyFont="1" applyBorder="1" applyAlignment="1">
      <alignment vertical="center"/>
    </xf>
    <xf numFmtId="0" fontId="20" fillId="0" borderId="0" xfId="0" applyFont="1" applyBorder="1" applyAlignment="1">
      <alignment vertical="center"/>
    </xf>
    <xf numFmtId="0" fontId="64" fillId="8" borderId="122" xfId="0" applyFont="1" applyFill="1" applyBorder="1" applyAlignment="1">
      <alignment vertical="center"/>
    </xf>
    <xf numFmtId="0" fontId="67" fillId="8" borderId="119" xfId="0" applyFont="1" applyFill="1" applyBorder="1" applyAlignment="1" applyProtection="1">
      <alignment vertical="center"/>
      <protection/>
    </xf>
    <xf numFmtId="0" fontId="67" fillId="8" borderId="120" xfId="0" applyFont="1" applyFill="1" applyBorder="1" applyAlignment="1" applyProtection="1">
      <alignment vertical="center"/>
      <protection/>
    </xf>
    <xf numFmtId="0" fontId="67" fillId="8" borderId="121" xfId="0" applyFont="1" applyFill="1" applyBorder="1" applyAlignment="1" applyProtection="1">
      <alignment vertical="center"/>
      <protection/>
    </xf>
    <xf numFmtId="0" fontId="67" fillId="8" borderId="119" xfId="0" applyFont="1" applyFill="1" applyBorder="1" applyAlignment="1" applyProtection="1">
      <alignment horizontal="left" vertical="center"/>
      <protection locked="0"/>
    </xf>
    <xf numFmtId="0" fontId="67" fillId="0" borderId="120" xfId="0" applyFont="1" applyBorder="1" applyAlignment="1" applyProtection="1">
      <alignment horizontal="left" vertical="center"/>
      <protection locked="0"/>
    </xf>
    <xf numFmtId="0" fontId="67" fillId="0" borderId="120" xfId="0" applyFont="1" applyBorder="1" applyAlignment="1">
      <alignment horizontal="left" vertical="center"/>
    </xf>
    <xf numFmtId="0" fontId="67" fillId="0" borderId="121" xfId="0" applyFont="1" applyBorder="1" applyAlignment="1">
      <alignment horizontal="left" vertical="center"/>
    </xf>
    <xf numFmtId="0" fontId="67" fillId="8" borderId="120" xfId="0" applyNumberFormat="1" applyFont="1" applyFill="1" applyBorder="1" applyAlignment="1" applyProtection="1">
      <alignment horizontal="center" vertical="center"/>
      <protection/>
    </xf>
    <xf numFmtId="0" fontId="67" fillId="0" borderId="120" xfId="0" applyFont="1" applyBorder="1" applyAlignment="1" applyProtection="1">
      <alignment horizontal="center" vertical="center"/>
      <protection/>
    </xf>
    <xf numFmtId="0" fontId="67" fillId="0" borderId="121" xfId="0" applyFont="1" applyBorder="1" applyAlignment="1" applyProtection="1">
      <alignment horizontal="center" vertical="center"/>
      <protection/>
    </xf>
    <xf numFmtId="3" fontId="68" fillId="8" borderId="119" xfId="0" applyNumberFormat="1" applyFont="1" applyFill="1" applyBorder="1" applyAlignment="1" applyProtection="1">
      <alignment horizontal="center" vertical="center"/>
      <protection/>
    </xf>
    <xf numFmtId="3" fontId="68" fillId="8" borderId="120" xfId="0" applyNumberFormat="1" applyFont="1" applyFill="1" applyBorder="1" applyAlignment="1" applyProtection="1">
      <alignment horizontal="center" vertical="center"/>
      <protection/>
    </xf>
    <xf numFmtId="0" fontId="68" fillId="0" borderId="120" xfId="0" applyFont="1" applyBorder="1" applyAlignment="1" applyProtection="1">
      <alignment horizontal="center" vertical="center"/>
      <protection/>
    </xf>
    <xf numFmtId="0" fontId="68" fillId="0" borderId="121" xfId="0" applyFont="1" applyBorder="1" applyAlignment="1" applyProtection="1">
      <alignment horizontal="center" vertical="center"/>
      <protection/>
    </xf>
    <xf numFmtId="0" fontId="23" fillId="8" borderId="0" xfId="0" applyFont="1" applyFill="1" applyAlignment="1" applyProtection="1">
      <alignment horizontal="center" vertical="center"/>
      <protection locked="0"/>
    </xf>
    <xf numFmtId="0" fontId="0" fillId="0" borderId="0" xfId="0" applyAlignment="1" applyProtection="1">
      <alignment/>
      <protection locked="0"/>
    </xf>
    <xf numFmtId="165" fontId="37" fillId="3" borderId="0" xfId="0" applyNumberFormat="1" applyFont="1" applyFill="1" applyBorder="1" applyAlignment="1">
      <alignment horizontal="left" vertical="center" wrapText="1"/>
    </xf>
    <xf numFmtId="0" fontId="4" fillId="0" borderId="0" xfId="0" applyFont="1" applyBorder="1" applyAlignment="1">
      <alignment horizontal="left" vertical="center" wrapText="1"/>
    </xf>
    <xf numFmtId="165" fontId="13" fillId="3" borderId="0" xfId="0" applyNumberFormat="1" applyFont="1" applyFill="1" applyBorder="1" applyAlignment="1">
      <alignment horizontal="center" vertical="center"/>
    </xf>
    <xf numFmtId="0" fontId="23" fillId="0" borderId="0" xfId="0" applyFont="1" applyBorder="1" applyAlignment="1">
      <alignment horizontal="center" vertical="center"/>
    </xf>
    <xf numFmtId="0" fontId="22" fillId="3" borderId="0" xfId="0" applyFont="1" applyFill="1" applyAlignment="1">
      <alignment horizontal="center" vertical="center"/>
    </xf>
    <xf numFmtId="0" fontId="76" fillId="3" borderId="0" xfId="0" applyFont="1" applyFill="1" applyAlignment="1">
      <alignment horizontal="center" vertical="center"/>
    </xf>
    <xf numFmtId="0" fontId="19" fillId="3" borderId="0" xfId="0" applyFont="1" applyFill="1" applyAlignment="1">
      <alignment horizontal="left" vertical="center"/>
    </xf>
    <xf numFmtId="0" fontId="6" fillId="3" borderId="0" xfId="0" applyFont="1" applyFill="1" applyAlignment="1">
      <alignment vertical="center"/>
    </xf>
    <xf numFmtId="0" fontId="6" fillId="3" borderId="40" xfId="0" applyFont="1" applyFill="1" applyBorder="1" applyAlignment="1">
      <alignment vertical="center"/>
    </xf>
  </cellXfs>
  <cellStyles count="18">
    <cellStyle name="Normal" xfId="0" builtinId="0"/>
    <cellStyle name="Percent" xfId="1" builtinId="5"/>
    <cellStyle name="Currency" xfId="2" builtinId="4"/>
    <cellStyle name="Currency [0]" xfId="3" builtinId="7"/>
    <cellStyle name="Comma" xfId="4" builtinId="3"/>
    <cellStyle name="Comma [0]" xfId="5" builtinId="6"/>
    <cellStyle name="Comma0" xfId="6"/>
    <cellStyle name="Currency0" xfId="7"/>
    <cellStyle name="Date" xfId="8"/>
    <cellStyle name="Fixed" xfId="9"/>
    <cellStyle name="Hypertextový odkaz" xfId="10" builtinId="8"/>
    <cellStyle name="Hypertextový odkaz_ZAKL_DATA" xfId="11"/>
    <cellStyle name="Normální 3" xfId="12"/>
    <cellStyle name="normální 2" xfId="13"/>
    <cellStyle name="Hypertextový odkaz 2" xfId="14"/>
    <cellStyle name="Normální 4" xfId="15"/>
    <cellStyle name="Normální 5" xfId="16"/>
    <cellStyle name="Chybně" xfId="17" builtinId="27"/>
  </cellStyles>
  <dxfs count="90">
    <dxf>
      <font>
        <b val="0"/>
        <i val="0"/>
        <u val="none"/>
        <strike val="0"/>
        <sz val="11"/>
        <name val="Tahoma"/>
        <color rgb="FF000000"/>
      </font>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b val="0"/>
        <i val="0"/>
        <u val="none"/>
        <strike val="0"/>
        <sz val="11"/>
        <name val="Tahoma"/>
        <color theme="1"/>
      </font>
    </dxf>
    <dxf>
      <font>
        <name val="Tahoma"/>
      </font>
      <numFmt numFmtId="177" formatCode="#,##0"/>
    </dxf>
    <dxf>
      <font>
        <name val="Tahoma"/>
      </font>
      <numFmt numFmtId="177" formatCode="#,##0"/>
    </dxf>
    <dxf>
      <font>
        <name val="Tahoma"/>
      </font>
      <numFmt numFmtId="0" formatCode="General"/>
    </dxf>
    <dxf>
      <numFmt numFmtId="177" formatCode="#,##0"/>
    </dxf>
    <dxf>
      <font>
        <b val="0"/>
        <i val="0"/>
        <u val="none"/>
        <strike val="0"/>
        <sz val="11"/>
        <name val="Tahoma"/>
        <color theme="1"/>
      </font>
    </dxf>
    <dxf>
      <font>
        <name val="Tahoma"/>
      </font>
      <numFmt numFmtId="177" formatCode="#,##0"/>
    </dxf>
    <dxf>
      <font>
        <name val="Tahoma"/>
      </font>
      <numFmt numFmtId="177" formatCode="#,##0"/>
    </dxf>
    <dxf>
      <font>
        <name val="Tahoma"/>
      </font>
      <numFmt numFmtId="177" formatCode="#,##0"/>
    </dxf>
    <dxf>
      <font>
        <name val="Tahoma"/>
      </font>
      <numFmt numFmtId="177" formatCode="#,##0"/>
    </dxf>
    <dxf>
      <font>
        <b val="0"/>
        <i val="0"/>
        <u val="none"/>
        <strike val="0"/>
        <sz val="10"/>
        <name val="Tahoma"/>
        <color auto="1"/>
      </font>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font>
        <b val="0"/>
        <i val="0"/>
        <u val="none"/>
        <strike val="0"/>
        <sz val="11"/>
        <name val="Tahoma"/>
        <color theme="1"/>
      </font>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
      <numFmt numFmtId="0" formatCode="General"/>
    </dxf>
    <dxf>
      <numFmt numFmtId="0" formatCode="General"/>
    </dxf>
    <dxf>
      <font>
        <b val="0"/>
        <i val="0"/>
        <u val="none"/>
        <strike val="0"/>
        <sz val="11"/>
        <name val="Tahoma"/>
        <color theme="1"/>
      </font>
    </dxf>
    <dxf>
      <numFmt numFmtId="0" formatCode="General"/>
    </dxf>
    <dxf>
      <numFmt numFmtId="177" formatCode="#,##0"/>
    </dxf>
    <dxf>
      <font>
        <b val="0"/>
        <i val="0"/>
        <u val="none"/>
        <strike val="0"/>
        <sz val="11"/>
        <name val="Tahoma"/>
        <color theme="1"/>
      </font>
    </dxf>
    <dxf>
      <numFmt numFmtId="177" formatCode="#,##0"/>
    </dxf>
    <dxf>
      <numFmt numFmtId="0" formatCode="General"/>
    </dxf>
    <dxf>
      <numFmt numFmtId="177" formatCode="#,##0"/>
    </dxf>
    <dxf>
      <numFmt numFmtId="0" formatCode="General"/>
    </dxf>
    <dxf>
      <font>
        <b val="0"/>
        <i val="0"/>
        <u val="none"/>
        <strike val="0"/>
        <sz val="11"/>
        <name val="Tahoma"/>
        <color theme="1"/>
      </font>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numFmt numFmtId="0" formatCode="General"/>
    </dxf>
    <dxf>
      <font>
        <b val="0"/>
        <i val="0"/>
        <u val="none"/>
        <strike val="0"/>
        <sz val="11"/>
        <name val="Tahoma"/>
        <color theme="1"/>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CCCC"/>
      <rgbColor rgb="00FFFFFF"/>
      <rgbColor rgb="00000000"/>
      <rgbColor rgb="00660033"/>
      <rgbColor rgb="000000FF"/>
      <rgbColor rgb="00FFFF99"/>
      <rgbColor rgb="00FF00FF"/>
      <rgbColor rgb="0000FFFF"/>
      <rgbColor rgb="00800000"/>
      <rgbColor rgb="00008000"/>
      <rgbColor rgb="00000000"/>
      <rgbColor rgb="00808000"/>
      <rgbColor rgb="00800080"/>
      <rgbColor rgb="00008080"/>
      <rgbColor rgb="00C0C0C0"/>
      <rgbColor rgb="00808080"/>
      <rgbColor rgb="00CCFFCC"/>
      <rgbColor rgb="00802060"/>
      <rgbColor rgb="00CCFFCC"/>
      <rgbColor rgb="00A0E0E0"/>
      <rgbColor rgb="00600080"/>
      <rgbColor rgb="00C0C0C0"/>
      <rgbColor rgb="000080C0"/>
      <rgbColor rgb="00C0C0FF"/>
      <rgbColor rgb="00000080"/>
      <rgbColor rgb="00FF00FF"/>
      <rgbColor rgb="00FFFF00"/>
      <rgbColor rgb="0000FFFF"/>
      <rgbColor rgb="00800080"/>
      <rgbColor rgb="00800000"/>
      <rgbColor rgb="00008080"/>
      <rgbColor rgb="000000FF"/>
      <rgbColor rgb="0000CCFF"/>
      <rgbColor rgb="0069FFFF"/>
      <rgbColor rgb="00660033"/>
      <rgbColor rgb="00FFCC99"/>
      <rgbColor rgb="00A6CAF0"/>
      <rgbColor rgb="00CC9CCC"/>
      <rgbColor rgb="00CC99FF"/>
      <rgbColor rgb="00F8F8F8"/>
      <rgbColor rgb="003366FF"/>
      <rgbColor rgb="0033CCCC"/>
      <rgbColor rgb="00660033"/>
      <rgbColor rgb="00999933"/>
      <rgbColor rgb="00996633"/>
      <rgbColor rgb="00996666"/>
      <rgbColor rgb="00666699"/>
      <rgbColor rgb="00969696"/>
      <rgbColor rgb="003333CC"/>
      <rgbColor rgb="00336666"/>
      <rgbColor rgb="00003300"/>
      <rgbColor rgb="00333300"/>
      <rgbColor rgb="00663300"/>
      <rgbColor rgb="00000000"/>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3">
    <xs:schema xmlns:xs="http://www.w3.org/2001/XMLSchema" xmlns="" attributeFormDefault="unqualified" elementFormDefault="unqualified">
      <xs:simpleType xmlns:xalan="http://xml.apache.org/xslt" name="dateInMultiFormat">
        <xs:restriction base="xs:string">
          <xs:pattern value="(([1-9])|((0[1-9])|([12][0-9]))|(3[0-1]))\.((0?[1-9])|(1[0-2]))\.((19[0-9]{2})|(2[0-9]{3}))"/>
        </xs:restriction>
      </xs:simpleType>
      <xs:element xmlns:xalan="http://xml.apache.org/xslt" name="Pisemnost">
        <xs:complexType>
          <xs:sequence>
            <xs:element name="DPFDP5">
              <xs:complexType>
                <xs:sequence>
                  <xs:element maxOccurs="1" minOccurs="1" name="VetaD">
                    <xs:complexType>
                      <xs:attribute name="kc_op15_1e1" use="optional">
                        <xs:simpleType>
                          <xs:restriction base="xs:decimal">
                            <xs:totalDigits value="14"/>
                            <xs:fractionDigits value="0"/>
                          </xs:restriction>
                        </xs:simpleType>
                      </xs:attribute>
                      <xs:attribute name="kc_rozdbonus" use="optional">
                        <xs:simpleType>
                          <xs:restriction base="xs:decimal">
                            <xs:totalDigits value="14"/>
                            <xs:fractionDigits value="0"/>
                          </xs:restriction>
                        </xs:simpleType>
                      </xs:attribute>
                      <xs:attribute name="da_slezap" use="optional">
                        <xs:simpleType>
                          <xs:restriction base="xs:decimal">
                            <xs:totalDigits value="17"/>
                            <xs:fractionDigits value="2"/>
                          </xs:restriction>
                        </xs:simpleType>
                      </xs:attribute>
                      <xs:attribute name="zdobd_od" type="dateInMultiFormat" use="optional">
                        <xs:annotation>
                          <xs:documentation>Vyplňte konec zdaňovacího období.&lt;br /&gt;Položka obsahuje kritické kontroly: počátek zdaňovacího období musí být roven 1.1. a zároveň rok počátku zdaňovacího období musí být stejný jako rok podání DAP.</xs:documentation>
                        </xs:annotation>
                      </xs:attribute>
                      <xs:attribute name="uv_rozsah" use="optional">
                        <xs:annotation>
                          <xs:documentation>Rozsah údajů účetních výkazů. &lt;br /&gt;2013-2015:&lt;br /&gt;P = plný / Z = zjednodušený.&lt;br /&gt;&lt;br /&gt;od 2016:&lt;br /&gt;P = plný / Z = zkrácený.&lt;br /&gt;Pokud navíc některý výkaz vybrané vyhlášky podporuje více zkrácených tvarů podle velikosti účetní jednotky:&lt;br /&gt;Z = Zkrácený pro malé ÚJ / M = Zkrácený pro mikro ÚJ.&lt;br /&gt;&lt;br /&gt;V případě vyplnění individuálních rozsahů u vyhlášky č. 500 se položka nevyplňuje.</xs:documentation>
                        </xs:annotation>
                        <xs:simpleType>
                          <xs:restriction base="xs:string">
                            <xs:minLength value="0"/>
                            <xs:maxLength value="1"/>
                          </xs:restriction>
                        </xs:simpleType>
                      </xs:attribute>
                      <xs:attribute name="kc_rozdil_dp" use="optional">
                        <xs:simpleType>
                          <xs:restriction base="xs:decimal">
                            <xs:totalDigits value="14"/>
                            <xs:fractionDigits value="0"/>
                          </xs:restriction>
                        </xs:simpleType>
                      </xs:attribute>
                      <xs:attribute name="kc_promdan" use="optional">
                        <xs:annotation>
                          <xs:documentation>Položka obsahuje kritickou kontrolu: vyplňuje se pouze za ZO 2013.</xs:documentation>
                        </xs:annotation>
                        <xs:simpleType>
                          <xs:restriction base="xs:decimal">
                            <xs:totalDigits value="14"/>
                            <xs:fractionDigits value="0"/>
                          </xs:restriction>
                        </xs:simpleType>
                      </xs:attribute>
                      <xs:attribute name="manz_r_cislo" use="optional">
                        <xs:simpleType>
                          <xs:restriction base="xs:string">
                            <xs:pattern value="[0-9]{1,10}"/>
                          </xs:restriction>
                        </xs:simpleType>
                      </xs:attribute>
                      <xs:attribute name="kc_pzzt" use="optional">
                        <xs:simpleType>
                          <xs:restriction base="xs:decimal">
                            <xs:totalDigits value="14"/>
                            <xs:fractionDigits value="0"/>
                          </xs:restriction>
                        </xs:simpleType>
                      </xs:attribute>
                      <xs:attribute name="manz_prijmeni" use="optional">
                        <xs:simpleType>
                          <xs:restriction base="xs:string">
                            <xs:minLength value="0"/>
                            <xs:maxLength value="36"/>
                          </xs:restriction>
                        </xs:simpleType>
                      </xs:attribute>
                      <xs:attribute name="duvpoddapdpf" use="optional">
                        <xs:annotation>
                          <xs:documentation>&lt;span style="color: red;"&gt;&lt;strong&gt;Elektronický formulář pro přiznání k dani z příjmů fyzických osob nelze použít pro podání za část zdaňovacího období.&lt;/strong&gt; EPO DAP s kódem I nebo G lze &lt;strong&gt;podat pouze za celé ZO&lt;/strong&gt;; tzn., že došlo ke sjednocení lhůt pro podání DAP podle § 245 DŘ.&lt;/span&gt;&lt;br&gt;&amp;nbsp&lt;br&gt;od 2014&lt;br&gt;Vyberte příslušný kód rozlišení typu DAP a uveďte datum, kdy skutečnost nastala&lt;br&gt;&lt;strong&gt;G -&lt;/strong&gt; insolvence – za předcházející zdaňovací období, pokud nebylo DAP dosud podáno a lhůta pro jeho podání neuplynula (§ 245 daňového řádu)&lt;br&gt;&lt;strong&gt;I -&lt;/strong&gt; úmrtí – do 3 měsíců ode dne smrti zůstavitele, a to za část zdaňovacího období, která uplynula přede dnem jeho smrti podle § 239b odst. 4 daňového řádu a za předcházející zdaňovací období, pokud DAP nebylo dosud podáno a lhůta pro jeho podání neuplynula, podle § 245 daňového řádu.&lt;br&gt;&amp;nbsp&lt;br&gt;2013&lt;br&gt;Vyberte příslušný kód rozlišení typu DAP a uveďte datum, kdy skutečnost nastala&lt;br&gt;&lt;strong&gt;G.&lt;/strong&gt; insolvence – za předcházející zdaňovací období, pokud nebylo DAP dosud podáno a lhůta pro jeho podání neuplynula (§ 245 daňového řádu)&lt;br&gt;&lt;strong&gt;I.&lt;/strong&gt; úmrtí – do 6 měsíců po úmrtí poplatníka podle § 239 odst. 3 daňového řádu a za předcházející zdaňovací období, pokud DAP nebylo dosud podáno a lhůta pro jeho podání neuplynula, podle § 245 daňového řádu.</xs:documentation>
                        </xs:annotation>
                        <xs:simpleType>
                          <xs:restriction base="xs:string">
                            <xs:minLength value="0"/>
                            <xs:maxLength value="1"/>
                          </xs:restriction>
                        </xs:simpleType>
                      </xs:attribute>
                      <xs:attribute name="m_cinvduch" use="optional">
                        <xs:simpleType>
                          <xs:restriction base="xs:decimal">
                            <xs:totalDigits value="2"/>
                            <xs:fractionDigits value="0"/>
                          </xs:restriction>
                        </xs:simpleType>
                      </xs:attribute>
                      <xs:attribute name="audit" use="required">
                        <xs:annotation>
                          <xs:documentation>Hodnota může být pouze &lt;strong&gt;A&lt;/strong&gt; - zákonná povinnost ověřit účetní závěrku auditorem, &lt;strong&gt;N&lt;/strong&gt; - není zákonná povinnost ověřit účetní závěrku auditorem.</xs:documentation>
                        </xs:annotation>
                        <xs:simpleType>
                          <xs:restriction base="xs:string">
                            <xs:minLength value="0"/>
                            <xs:maxLength value="1"/>
                          </xs:restriction>
                        </xs:simpleType>
                      </xs:attribute>
                      <xs:attribute name="pln_moc" use="required">
                        <xs:annotation>
                          <xs:documentation>Uveďte, zda DAP zpracoval a předkládá daňový poradce na základě plné moci.</xs:documentation>
                        </xs:annotation>
                        <xs:simpleType>
                          <xs:restriction base="xs:string">
                            <xs:minLength value="0"/>
                            <xs:maxLength value="1"/>
                          </xs:restriction>
                        </xs:simpleType>
                      </xs:attribute>
                      <xs:attribute name="m_stud" use="optional">
                        <xs:simpleType>
                          <xs:restriction base="xs:decimal">
                            <xs:totalDigits value="2"/>
                            <xs:fractionDigits value="0"/>
                          </xs:restriction>
                        </xs:simpleType>
                      </xs:attribute>
                      <xs:attribute name="uv_rozsah_rozv" use="optional">
                        <xs:annotation>
                          <xs:documentation>Rozsah údajů pro Rozvahu:&lt;br /&gt;P = Plný / Z = Zkrácený - Malé ÚJ / M = Zkrácený - Mikro ÚJ.&lt;br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da_slevy35ba" use="optional">
                        <xs:simpleType>
                          <xs:restriction base="xs:decimal">
                            <xs:totalDigits value="14"/>
                            <xs:fractionDigits value="0"/>
                          </xs:restriction>
                        </xs:simpleType>
                      </xs:attribute>
                      <xs:attribute name="uv_vyhl" use="optional">
                        <xs:annotation>
                          <xs:documentation>Vyplňte číslo vyhlášky (první část), podle které byly účetní výkazy a následně vybrané údaje sestaveny. Uveďte následující označení: &lt;br /&gt;500 pro &lt;br /&gt;Vyhlášku č. 500/2002 Sb., kterou se provádějí některá ustanovení zákona č. 563/1991 Sb., o účetnictví, ve znění pozdějších předpisů, pro účetní jednotky, které jsou podnikateli účtujícími v soustavě podvojného účetnictví, v platném znění.&lt;br /&gt;&lt;br /&gt;Položka obsahuje kritické kontroly: nesmí být vyplněn současně druhový a účelový výkaz zisků a ztrát, pokud je zadána hodnota musí odpovídat masce položky, může být použito pouze číslo vyhlášky korespondující s danou písemností, může být použito pouze číslo vyhlášky korespondující s daným typem subjektu, pro zadané číslo vyhlášky musí být použity odpovídající výkazy, pro vyhlášky kromě 500 musí být vyplněny všechny výkazy, číslo vyhlášky musí být vyplněno je-li zadán alespoň 1 výkaz.</xs:documentation>
                        </xs:annotation>
                        <xs:simpleType>
                          <xs:restriction base="xs:decimal">
                            <xs:totalDigits value="3"/>
                            <xs:fractionDigits value="0"/>
                          </xs:restriction>
                        </xs:simpleType>
                      </xs:attribute>
                      <xs:attribute name="m_detiztpp3" use="optional">
                        <xs:annotation>
                          <xs:documentation>Položka obsahuje kritickou kontrolu: vyplňuje se od ZO 2015.</xs:documentation>
                        </xs:annotation>
                        <xs:simpleType>
                          <xs:restriction base="xs:decimal">
                            <xs:totalDigits value="3"/>
                            <xs:fractionDigits value="0"/>
                          </xs:restriction>
                        </xs:simpleType>
                      </xs:attribute>
                      <xs:attribute name="kc_op15_1e2" use="optional">
                        <xs:simpleType>
                          <xs:restriction base="xs:decimal">
                            <xs:totalDigits value="14"/>
                            <xs:fractionDigits value="0"/>
                          </xs:restriction>
                        </xs:simpleType>
                      </xs:attribute>
                      <xs:attribute name="kc_dite_ms" use="optional">
                        <xs:annotation>
                          <xs:documentation>Položka obsahuje kritickou kontrolu: vyplňuje se od ZO 2014.</xs:documentation>
                        </xs:annotation>
                        <xs:simpleType>
                          <xs:restriction base="xs:decimal">
                            <xs:totalDigits value="14"/>
                            <xs:fractionDigits value="0"/>
                          </xs:restriction>
                        </xs:simpleType>
                      </xs:attribute>
                      <xs:attribute name="uhrn_slevy35ba" use="optional">
                        <xs:simpleType>
                          <xs:restriction base="xs:decimal">
                            <xs:totalDigits value="14"/>
                            <xs:fractionDigits value="0"/>
                          </xs:restriction>
                        </xs:simpleType>
                      </xs:attribute>
                      <xs:attribute name="zdobd_do" type="dateInMultiFormat" use="optional">
                        <xs:annotation>
                          <xs:documentation>Vyplňte konec zdaňovacího období.&lt;br /&gt;Položka obsahuje kritické kontroly: konec zdaňovacího období musí být roven 31.12.; rok konce zdaňovacího období musí být stejný jako rok podání DAP; datum konce zdaňovacího období nemůže být větší než datum úmrtí poplatníka.</xs:documentation>
                        </xs:annotation>
                      </xs:attribute>
                      <xs:attribute name="uv_rozsah_vzz" use="optional">
                        <xs:annotation>
                          <xs:documentation>Rozsah údajů pro Výkaz zisku a ztráty:&lt;br /&gt;P = Plný / Z = Zkrácený.&lt;br /&gt;&lt;br /&gt;Položka obsahuje kritické kontroly: vyplňuje se od ZO 2016; v případě vyplňování odlišných rozsahů účetních výkazů je nutné vyplnit zároveň položku pro rozsah Rozvahy a položku pro Výkaz zisku a ztráty.</xs:documentation>
                        </xs:annotation>
                        <xs:simpleType>
                          <xs:restriction base="xs:string">
                            <xs:minLength value="0"/>
                            <xs:maxLength value="1"/>
                          </xs:restriction>
                        </xs:simpleType>
                      </xs:attribute>
                      <xs:attribute name="rok" use="required">
                        <xs:annotation>
                          <xs:documentation>Uveďte rok, za který je DAP podáváno.&lt;br /&gt;Položka obsahuje kritické kontroly: rok může nabývat hodnot od 2013 do 2017 včetně; nelze vložit DAP na rok vyšší než je rok z data úmrtí poplatníka.</xs:documentation>
                        </xs:annotation>
                        <xs:simpleType>
                          <xs:restriction base="xs:decimal">
                            <xs:totalDigits value="4"/>
                            <xs:fractionDigits value="0"/>
                          </xs:restriction>
                        </xs:simpleType>
                      </xs:attribute>
                      <xs:attribute name="kc_zalpred" use="optional">
                        <xs:annotation>
                          <xs:documentation>Uveďte souhrn záloh, které jste zaplatil (zaplatila), v průběhu zdaňovacího období 2017, resp. 2016, 2015, 2014, 2013 nebo části zdaňovacího období 2017, resp. 2016, 2015, 2014, 2013, za něž je podáváno DAP, včetně přeplatku použitého jako záloha na daň podle § 154 a § 155 daňového řádu.</xs:documentation>
                        </xs:annotation>
                        <xs:simpleType>
                          <xs:restriction base="xs:decimal">
                            <xs:totalDigits value="14"/>
                            <xs:fractionDigits value="0"/>
                          </xs:restriction>
                        </xs:simpleType>
                      </xs:attribute>
                      <xs:attribute name="starduch" use="optional">
                        <xs:annotation>
                          <xs:documentation>Položka obsahuje kritickou kontrolu: vyplňuje se pouze za ZO 2013.</xs:documentation>
                        </xs:annotation>
                        <xs:simpleType>
                          <xs:restriction base="xs:string">
                            <xs:minLength value="0"/>
                            <xs:maxLength value="1"/>
                          </xs:restriction>
                        </xs:simpleType>
                      </xs:attribute>
                      <xs:attribute name="kc_rozdil_zt" use="optional">
                        <xs:simpleType>
                          <xs:restriction base="xs:decimal">
                            <xs:totalDigits value="14"/>
                            <xs:fractionDigits value="0"/>
                          </xs:restriction>
                        </xs:simpleType>
                      </xs:attribute>
                      <xs:attribute name="kc_op15_1a" use="optional">
                        <xs:annotation>
                          <xs:documentation>od 2014&lt;br&gt;Uveďte částku 24 840 Kč. Pro základní slevu na poplatníka platí omezení viz pokyny k Tab. č. 1.&lt;br&gt;&amp;nbsp&lt;br&gt;2013&lt;br&gt;Uveďte částku 24 840 Kč.</xs:documentation>
                        </xs:annotation>
                        <xs:simpleType>
                          <xs:restriction base="xs:decimal">
                            <xs:totalDigits value="14"/>
                            <xs:fractionDigits value="0"/>
                          </xs:restriction>
                        </xs:simpleType>
                      </xs:attribute>
                      <xs:attribute name="kc_konkurs" use="optional">
                        <xs:annotation>
                          <xs:documentation>Uveďte, podáváte-li DAP, výši daně tvořící zálohu na daň daňové povinnosti podle podmínek uvedených v § 38gb zákona.</xs:documentation>
                        </xs:annotation>
                        <xs:simpleType>
                          <xs:restriction base="xs:decimal">
                            <xs:totalDigits value="14"/>
                            <xs:fractionDigits value="0"/>
                          </xs:restriction>
                        </xs:simpleType>
                      </xs:attribute>
                      <xs:attribute name="m_vyzmanzl" use="optional">
                        <xs:simpleType>
                          <xs:restriction base="xs:decimal">
                            <xs:totalDigits value="2"/>
                            <xs:fractionDigits value="0"/>
                          </xs:restriction>
                        </xs:simpleType>
                      </xs:attribute>
                      <xs:attribute name="kc_zjizt" use="optional">
                        <xs:simpleType>
                          <xs:restriction base="xs:decimal">
                            <xs:totalDigits value="14"/>
                            <xs:fractionDigits value="0"/>
                          </xs:restriction>
                        </xs:simpleType>
                      </xs:attribute>
                      <xs:attribute name="kc_stud" use="optional">
                        <xs:simpleType>
                          <xs:restriction base="xs:decimal">
                            <xs:totalDigits value="14"/>
                            <xs:fractionDigits value="0"/>
                          </xs:restriction>
                        </xs:simpleType>
                      </xs:attribute>
                      <xs:attribute name="kc_op15_1c" use="optional">
                        <xs:simpleType>
                          <xs:restriction base="xs:decimal">
                            <xs:totalDigits value="14"/>
                            <xs:fractionDigits value="0"/>
                          </xs:restriction>
                        </xs:simpleType>
                      </xs:attribute>
                      <xs:attribute fixed="DP5" name="dokument" use="required"/>
                      <xs:attribute name="kc_manztpp" use="optional">
                        <xs:simpleType>
                          <xs:restriction base="xs:decimal">
                            <xs:totalDigits value="14"/>
                            <xs:fractionDigits value="0"/>
                          </xs:restriction>
                        </xs:simpleType>
                      </xs:attribute>
                      <xs:attribute name="kc_sraz_6_4" use="optional">
                        <xs:annotation>
                          <xs:documentation>Položka obsahuje kritickou kontrolu: vyplňuje se od ZO 2014.</xs:documentation>
                        </xs:annotation>
                        <xs:simpleType>
                          <xs:restriction base="xs:decimal">
                            <xs:totalDigits value="14"/>
                            <xs:fractionDigits value="0"/>
                          </xs:restriction>
                        </xs:simpleType>
                      </xs:attribute>
                      <xs:attribute name="m_detiztpp2" use="optional">
                        <xs:annotation>
                          <xs:documentation>Položka obsahuje kritickou kontrolu: vyplňuje se od ZO 2015.</xs:documentation>
                        </xs:annotation>
                        <xs:simpleType>
                          <xs:restriction base="xs:decimal">
                            <xs:totalDigits value="3"/>
                            <xs:fractionDigits value="0"/>
                          </xs:restriction>
                        </xs:simpleType>
                      </xs:attribute>
                      <xs:attribute name="kc_pausal" use="optional">
                        <xs:annotation>
                          <xs:documentation>Uveďte částku daně stanovené paušální částkou podle § 7a zákona, kterou započtete na výslednou daňovou povinnost, podáváte-li DAP podle § 7a odst. 5 zákona tj. v případě, že jste dosáhl (dosáhla) jiných příjmů než předpokládaných.</xs:documentation>
                        </xs:annotation>
                        <xs:simpleType>
                          <xs:restriction base="xs:decimal">
                            <xs:totalDigits value="14"/>
                            <xs:fractionDigits value="0"/>
                          </xs:restriction>
                        </xs:simpleType>
                      </xs:attribute>
                      <xs:attribute name="da_slevy35c" use="optional">
                        <xs:simpleType>
                          <xs:restriction base="xs:decimal">
                            <xs:totalDigits value="14"/>
                            <xs:fractionDigits value="0"/>
                          </xs:restriction>
                        </xs:simpleType>
                      </xs:attribute>
                      <xs:attribute name="m_deti" use="optional">
                        <xs:simpleType>
                          <xs:restriction base="xs:decimal">
                            <xs:totalDigits value="3"/>
                            <xs:fractionDigits value="0"/>
                          </xs:restriction>
                        </xs:simpleType>
                      </xs:attribute>
                      <xs:attribute name="kc_pzdp" use="optional">
                        <xs:simpleType>
                          <xs:restriction base="xs:decimal">
                            <xs:totalDigits value="14"/>
                            <xs:fractionDigits value="0"/>
                          </xs:restriction>
                        </xs:simpleType>
                      </xs:attribute>
                      <xs:attribute name="kc_dazvyhod" use="optional">
                        <xs:annotation>
                          <xs:documentation>od 2015&lt;br&gt;Uveďte výši daňového zvýhodnění podle § 35c zákona. Nárok na daňové zvýhodnění činí 13 404 Kč ročně na jedno dítě (1 117 Kč měsíčně), 19 404 Kč (2016: 17 004 Kč, 2015: 15 804 Kč) ročně na druhé dítě (1 617 Kč měsíčně)(2016: (1 417 Kč měsíčně), 2015: (1 317 Kč měsíčně)) a 24 204 Kč (2016: 20 604 Kč, 2015: 17 004 Kč) ročně na třetí a každé další dítě (2 017 Kč měsíčně)(2016: (1 717 Kč měsíčně), 2015: (1 417 Kč měsíčně)). Jedná-li se o dítě, které je držitelem průkazu ZTP/P, zvyšuje se na ně částka daňového zvýhodnění na dvojnásobek. Vyživuje-li dítě v jedné společně hospodařící domácnosti více poplatníků, může daňové zvýhodnění uplatnit ve zdaňovacím období nebo v tomtéž kalendářním měsíci zdaňovacího období jen jeden z nich. &lt;strong&gt;Pro daňové zvýhodnění platí totéž omezení podle § 35ca zákona jako u slevy na manželku (viz popis k ř. 65a).&lt;/strong&gt;&lt;br /&gt;2016: Vyživuje-li děti, na které uplatňujete daňové zvýhodnění, v jedné společně hospodařící domácnosti druhý poplatník, který je zaměstnán, doložte potvrzení jeho zaměstnavatele, ve kterém plátce uvede, na které děti druhý z poplatníků uplatňuje daňové zvýhodnění a v jaké výši. V případě, že takové potvrzení nedokládáte z důvodu, že ve společně hospodařící domácnosti není jiný poplatník, který vyživuje děti uvedené v přiznání nebo je ve společně hospodařící domácnosti a není zaměstnán, uveďte tuto skutečnost na volný list.&lt;br /&gt;2015: Je-li druhý z poplatníků, který s Vámi vyživuje dítě v jedné společně hospodařící domácnosti zaměstnaný, doložte potvrzení zaměstnavatele druhého z poplatníků pro uplatnění nároku na daňové zvýhodnění, ve kterém plátce uvede, na které děti druhý z poplatníků uplatňuje daňové zvýhodnění a v jaké výši.&lt;br&gt;&amp;nbsp&lt;br&gt;2013-2014&lt;br&gt;Uveďte výši daňového zvýhodnění podle § 35c zákona. Pokud byly splněny podmínky po celé zdaňovací období 2014, resp. 2013, máte nárok na daňové zvýhodnění ve výši 13 404 Kč na jedno dítě. Jedná-li se o dítě, které je držitelem průkazu ZTP/P, zvyšuje se na ně částka daňového zvýhodnění na dvojnásobek. Vyživuje-li dítě v jedné společně hospodařící domácnosti (2013: v domácnosti) více poplatníků, může daňové zvýhodnění uplatnit ve zdaňovacím období nebo v tomtéž kalendářním měsíci zdaňovacího období jen jeden z nich.</xs:documentation>
                        </xs:annotation>
                        <xs:simpleType>
                          <xs:restriction base="xs:decimal">
                            <xs:totalDigits value="14"/>
                            <xs:fractionDigits value="0"/>
                          </xs:restriction>
                        </xs:simpleType>
                      </xs:attribute>
                      <xs:attribute name="kc_zjidp" use="optional">
                        <xs:simpleType>
                          <xs:restriction base="xs:decimal">
                            <xs:totalDigits value="14"/>
                            <xs:fractionDigits value="0"/>
                          </xs:restriction>
                        </xs:simpleType>
                      </xs:attribute>
                      <xs:attribute name="d_uv" type="dateInMultiFormat" use="optional">
                        <xs:annotation>
                          <xs:documentation>Vyplňte datum, ke kterému se údaje tabulek vztahují.&lt;br /&gt;Položka obsahuje kritickou kontrolu: hodnota musí být zadána pokud je vyplněn alespoň jeden výkaz.</xs:documentation>
                        </xs:annotation>
                      </xs:attribute>
                      <xs:attribute fixed="DPF" name="k_uladis" use="required">
                        <xs:annotation>
                          <xs:documentation>Název daně, musí být uvedeno DPF.</xs:documentation>
                        </xs:annotation>
                      </xs:attribute>
                      <xs:attribute name="uv_podpis" use="optional">
                        <xs:annotation>
                          <xs:documentation>Osoba, jejíž podpisový záznam byl připojen k účetní závěrce, která byla podkladem pro zpracování této přílohy.</xs:documentation>
                        </xs:annotation>
                        <xs:simpleType>
                          <xs:restriction base="xs:string">
                            <xs:minLength value="0"/>
                            <xs:maxLength value="40"/>
                          </xs:restriction>
                        </xs:simpleType>
                      </xs:attribute>
                      <xs:attribute name="m_deti2" use="optional">
                        <xs:annotation>
                          <xs:documentation>Položka obsahuje kritickou kontrolu: vyplňuje se od ZO 2015.</xs:documentation>
                        </xs:annotation>
                        <xs:simpleType>
                          <xs:restriction base="xs:decimal">
                            <xs:totalDigits value="3"/>
                            <xs:fractionDigits value="0"/>
                          </xs:restriction>
                        </xs:simpleType>
                      </xs:attribute>
                      <xs:attribute name="m_invduch" use="optional">
                        <xs:simpleType>
                          <xs:restriction base="xs:decimal">
                            <xs:totalDigits value="2"/>
                            <xs:fractionDigits value="0"/>
                          </xs:restriction>
                        </xs:simpleType>
                      </xs:attribute>
                      <xs:attribute name="da_celod13" use="optional">
                        <xs:simpleType>
                          <xs:restriction base="xs:decimal">
                            <xs:totalDigits value="14"/>
                            <xs:fractionDigits value="0"/>
                          </xs:restriction>
                        </xs:simpleType>
                      </xs:attribute>
                      <xs:attribute name="m_manz" use="optional">
                        <xs:simpleType>
                          <xs:restriction base="xs:decimal">
                            <xs:totalDigits value="2"/>
                            <xs:fractionDigits value="0"/>
                          </xs:restriction>
                        </xs:simpleType>
                      </xs:attribute>
                      <xs:attribute name="manz_titul" use="optional">
                        <xs:simpleType>
                          <xs:restriction base="xs:string">
                            <xs:minLength value="0"/>
                            <xs:maxLength value="10"/>
                          </xs:restriction>
                        </xs:simpleType>
                      </xs:attribute>
                      <xs:attribute name="kc_op15_1d" use="optional">
                        <xs:simpleType>
                          <xs:restriction base="xs:decimal">
                            <xs:totalDigits value="14"/>
                            <xs:fractionDigits value="0"/>
                          </xs:restriction>
                        </xs:simpleType>
                      </xs:attribute>
                      <xs:attribute name="kc_zbyvpred" use="optional">
                        <xs:annotation>
                          <xs:documentation>Výpočet od ZO 2014:&lt;br&gt;Zbývá doplatit (ř. 74 - ř. 77 - ř. 84 - ř. 85 - ř. 86 - ř. 87 - ř. 87a - ř. 87b - ř. 88 - ř. 89 - ř. 90): (+) zbývá doplatit, (-) zaplaceno více&lt;br&gt;&amp;nbsp&lt;br&gt;Výpočet pro ZO 2013:&lt;br&gt;Zbývá doplatit (ř. 74 - ř. 77 - ř. 84a - ř. 84 - ř. 85 - ř. 86 - ř. 87 - ř. 87a - ř. 88 - ř. 89 - ř. 90)): (+) zbývá doplatit, (-) zaplaceno více&lt;br&gt;&amp;nbsp&lt;br&gt;Kladná částka znamená, že zbývá na dani doplatit vypočtenou částku. Záporná částka znamená, že bylo za zdaňovací období 2017, resp. 2016, 2015, 2014, 2013, zaplaceno více. O přeplatek je možné požádat příslušného správce daně např. formou žádosti, která je součástí DAP.</xs:documentation>
                        </xs:annotation>
                        <xs:simpleType>
                          <xs:restriction base="xs:decimal">
                            <xs:totalDigits value="14"/>
                            <xs:fractionDigits value="0"/>
                          </xs:restriction>
                        </xs:simpleType>
                      </xs:attribute>
                      <xs:attribute name="m_deti3" use="optional">
                        <xs:annotation>
                          <xs:documentation>Položka obsahuje kritickou kontrolu: vyplňuje se od ZO 2015.</xs:documentation>
                        </xs:annotation>
                        <xs:simpleType>
                          <xs:restriction base="xs:decimal">
                            <xs:totalDigits value="3"/>
                            <xs:fractionDigits value="0"/>
                          </xs:restriction>
                        </xs:simpleType>
                      </xs:attribute>
                      <xs:attribute name="sleva_rp" use="optional">
                        <xs:simpleType>
                          <xs:restriction base="xs:decimal">
                            <xs:totalDigits value="14"/>
                            <xs:fractionDigits value="0"/>
                          </xs:restriction>
                        </xs:simpleType>
                      </xs:attribute>
                      <xs:attribute name="d_zjist" type="dateInMultiFormat" use="optional">
                        <xs:annotation>
                          <xs:documentation>Vyplňte datum zjištění důvodů pro podání dodatečného daňového přiznání.&lt;br /&gt;Položka obsahuje kritickou kontrolu: Datum zjištění důvodů pro podání dodat. DAP musí být vyplněno, pokud se jedná o dodatečné DAP.</xs:documentation>
                        </xs:annotation>
                      </xs:attribute>
                      <xs:attribute name="c_ufo_cil" use="required">
                        <xs:annotation>
                          <xs:documentation>Vyplňte sídlo místně příslušného správce daně. Místní příslušnost se řídí u právnické osoby místem jejího sídla v České republice a u fyzické osoby místem pobytu v České republice, jinak místem, kde se převážně zdržuje, tj. v němž pobývá nejvíce dnů v roce. Místem pobytu fyzické osoby se rozumí adresa místa trvalého pobytu. Nelze-li takto určit místní příslušnost, postupuje se podle ustanovení § 13 zákona č. 280/2009 Sb., daňový řád, ve znění pozdějších předpisů. Vyplňte číslo FÚ podle registrace daňového přiznání, nebo výběrem ze seznamu.&lt;br /&gt;Pro hodnotu této položky použijte číselník Územní finanční orgány (ufo). Z číselníku se vkládá položka c_ufo. &lt;br /&gt;Položka obsahuje kritické kontroly: musí být vyplněno číslo existujícího FÚ, nesmí se jednat o zaniklý FÚ.&lt;br&gt;
Pro popis číselníku Územní finanční orgány klikněte &lt;a href="http://adisepo.mfcr.cz/adis/jepo/epo/ukazka_ciselniku.htm?C=ufo"&gt;zde&lt;/a&gt;.</xs:documentation>
                        </xs:annotation>
                        <xs:simpleType>
                          <xs:restriction base="xs:decimal">
                            <xs:totalDigits value="4"/>
                            <xs:fractionDigits value="0"/>
                          </xs:restriction>
                        </xs:simpleType>
                      </xs:attribute>
                      <xs:attribute name="kc_slevy35c" use="optional">
                        <xs:simpleType>
                          <xs:restriction base="xs:decimal">
                            <xs:totalDigits value="14"/>
                            <xs:fractionDigits value="0"/>
                          </xs:restriction>
                        </xs:simpleType>
                      </xs:attribute>
                      <xs:attribute name="m_ztpp" use="optional">
                        <xs:simpleType>
                          <xs:restriction base="xs:decimal">
                            <xs:totalDigits value="2"/>
                            <xs:fractionDigits value="0"/>
                          </xs:restriction>
                        </xs:simpleType>
                      </xs:attribute>
                      <xs:attribute name="kc_sleva_eet" use="optional">
                        <xs:annotation>
                          <xs:documentation>Položka obsahuje kritickou kontrolu: vyplňuje se od ZO 2016.</xs:documentation>
                        </xs:annotation>
                        <xs:simpleType>
                          <xs:restriction base="xs:decimal">
                            <xs:totalDigits value="14"/>
                            <xs:fractionDigits value="0"/>
                          </xs:restriction>
                        </xs:simpleType>
                      </xs:attribute>
                      <xs:attribute name="kc_dztrata" use="optional">
                        <xs:simpleType>
                          <xs:restriction base="xs:decimal">
                            <xs:totalDigits value="14"/>
                            <xs:fractionDigits value="0"/>
                          </xs:restriction>
                        </xs:simpleType>
                      </xs:attribute>
                      <xs:attribute name="kc_zalzavc" use="optional">
                        <xs:annotation>
                          <xs:documentation>Uveďte úhrn sražených záloh na daň z příjmů ze závislé činnosti (2013: a z funkčních požitků) (po slevách na dani), které Vám byly sraženy všemi zaměstnavateli. Zálohy na daň z příjmů ze závislé činnosti (2013: a z funkčních požitků) uveďte v souladu s § 5 odst. 4 zákona (ve vzoru Potvrzení č. 25 (2016: č. 24, 2015: č. 23, 2014: č. 22, 2013: č. 21) se jedná o údaj uvedený na řádku 12). V případě, že Vám bylo provedeno roční zúčtování, uveďte částku sražených záloh sníženou o vrácený přeplatek z ročního zúčtování.</xs:documentation>
                        </xs:annotation>
                        <xs:simpleType>
                          <xs:restriction base="xs:decimal">
                            <xs:totalDigits value="14"/>
                            <xs:fractionDigits value="0"/>
                          </xs:restriction>
                        </xs:simpleType>
                      </xs:attribute>
                      <xs:attribute name="d_duvpod" type="dateInMultiFormat" use="optional">
                        <xs:annotation>
                          <xs:documentation>Vyplňte datum kdy skutečnost nastala.&lt;br /&gt;Položka obsahuje kritické kontroly:&lt;br /&gt;&lt;ul&gt;&lt;li&gt;V případě DAP DPF podávaném za zemřelý DS je nutné do položky Datum v záhlaví DAP uvést datum úmrtí&lt;/li&gt;&lt;li&gt;V případě DAP DPF podávaného v průběhu insolvence za bezprostředně předcházející zdaňovací období, za které nebylo DAP dosud podáno, je nutné do položky Datum v záhlaví DAP uvést datum skutečnosti, ke které se DAP váže&lt;/li&gt;&lt;li&gt;V případě DAP DPF podávaného v průběhu insolvence za zdaňovací období, u něhož již uplynula lhůta pro podání DAP, ale nebylo dosud podáno, je nutné do položky Datum v záhlaví DAP uvést datum skutečnosti, ke které se DAP váže&lt;/li&gt;&lt;li&gt;V případě, že DAP není podáváno s kódem rozlišení = G,H, nebo I, položka Datum v záhlaví DAP DPF nesmí být vyplněna&lt;/li&gt;&lt;li&gt;V případě, že DAP není podáváno s kódem rozlišení = G nebo I, položka Datum v záhlaví DAP DPF nesmí být vyplněna&lt;/li&gt;&lt;li&gt;V případě DAP s kódem rozlišení G musí Datum spadat do období bezprostředně následujícího či vyššího než za které je DAP podáváno&lt;/li&gt;&lt;/ul&gt;</xs:documentation>
                        </xs:annotation>
                      </xs:attribute>
                      <xs:attribute name="kc_sraz385" use="optional">
                        <xs:annotation>
                          <xs:documentation>Uveďte částku, kterou Vám jako poplatníkovi podle § 2 odst. 3 zákona plátce daně podle § 38e zákona srazil na zajištění daně. Jste-li společník veřejné obchodní společnosti nebo komplementář komanditní společnosti, bude částka uvedená na tomto řádku zahrnovat zajištění daně sražené Vám veřejnou obchodní společností nebo komanditní společností podle § 38e odst. 3 písm. a) zákona vztahující se ke zdaňovacímu období 2017, resp. 2016, 2015, 2014, 2013 nebo k části zdaňovacího období 2017, resp. 2016, 2015, 2014, 2013, za něž je podáváno DAP.</xs:documentation>
                        </xs:annotation>
                        <xs:simpleType>
                          <xs:restriction base="xs:decimal">
                            <xs:totalDigits value="14"/>
                            <xs:fractionDigits value="0"/>
                          </xs:restriction>
                        </xs:simpleType>
                      </xs:attribute>
                      <xs:attribute name="da_slevy" use="optional">
                        <xs:simpleType>
                          <xs:restriction base="xs:decimal">
                            <xs:totalDigits value="14"/>
                            <xs:fractionDigits value="0"/>
                          </xs:restriction>
                        </xs:simpleType>
                      </xs:attribute>
                      <xs:attribute name="dap_typ" use="required">
                        <xs:annotation>
                          <xs:documentation>Typ daňového přiznání.&lt;BR /&gt;&lt;STRONG&gt;B&lt;/STRONG&gt; - řádné&lt;BR /&gt;&lt;STRONG&gt;O&lt;/STRONG&gt; - řádné-opravné&lt;BR /&gt;&lt;STRONG&gt;D&lt;/STRONG&gt; - dodatečné&lt;BR /&gt;&lt;STRONG&gt;E&lt;/STRONG&gt; - dodatečné-opravné&lt;br /&gt;Položka obsahuje kritickou kontrolu kontrolující platnou hodnotu z uvedeného seznamu.</xs:documentation>
                        </xs:annotation>
                        <xs:simpleType>
                          <xs:restriction base="xs:string">
                            <xs:minLength value="0"/>
                            <xs:maxLength value="1"/>
                          </xs:restriction>
                        </xs:simpleType>
                      </xs:attribute>
                      <xs:attribute name="manz_d_nar" type="dateInMultiFormat" use="optional">
                        <xs:annotation>
                          <xs:documentation>Položka obsahuje kritickou kontrolu: vyplňuje se od ZO 2015.</xs:documentation>
                        </xs:annotation>
                      </xs:attribute>
                      <xs:attribute name="kod_popl" use="optional">
                        <xs:annotation>
                          <xs:documentation>Jste-li poplatníkem podle § 2 odst. 3 zákona, tj. daňový nerezident v České republice, který má daňovou povinnost z příjmů ze zdrojů na území České republiky, uveďte písmenný kód státu, ve kterém jste rezidentem. Pro hodnotu této položky použijte číselník Země (zeme). Z číselníku se vkládá položka kod2.&lt;br /&gt;Položka obsahuje kritické kontroly: hodnota musí obsahovat kód existujícího státu a nesmí obsahovat kód CZ - Česko&lt;br&gt;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sraz3810" use="optional">
                        <xs:simpleType>
                          <xs:restriction base="xs:decimal">
                            <xs:totalDigits value="14"/>
                            <xs:fractionDigits value="0"/>
                          </xs:restriction>
                        </xs:simpleType>
                      </xs:attribute>
                      <xs:attribute name="manz_jmeno" use="optional">
                        <xs:simpleType>
                          <xs:restriction base="xs:string">
                            <xs:minLength value="0"/>
                            <xs:maxLength value="36"/>
                          </xs:restriction>
                        </xs:simpleType>
                      </xs:attribute>
                      <xs:attribute name="prop_zahr" use="optional">
                        <xs:simpleType>
                          <xs:restriction base="xs:string">
                            <xs:minLength value="0"/>
                            <xs:maxLength value="1"/>
                          </xs:restriction>
                        </xs:simpleType>
                      </xs:attribute>
                      <xs:attribute name="kc_vyplbonus" use="optional">
                        <xs:annotation>
                          <xs:documentation>Uveďte úhrn měsíčních daňových bonusů, které Vám jako zaměstnanci byly zaměstnavatelem vyplaceny za zdaňovací období 2017, resp. 2016, 2015, 2014, 2013. Údaje zjistíte z „Potvrzení“ vystaveného jednotlivými zaměstnavateli. Pokud podáváte daňové přiznání a již Vám bylo provedeno roční zúčtování u zaměstnavatele, pak se v Potvrzení vzor č. 25 (2016: č. 24, 2015: č. 23, 2014: č. 22, 2013: č. 21) jedná o součet řádků 13 a doplatku na daňovém bonusu z řádku 19.</xs:documentation>
                        </xs:annotation>
                        <xs:simpleType>
                          <xs:restriction base="xs:decimal">
                            <xs:totalDigits value="14"/>
                            <xs:fractionDigits value="0"/>
                          </xs:restriction>
                        </xs:simpleType>
                      </xs:attribute>
                      <xs:attribute name="kc_sraz_rezehp" use="optional">
                        <xs:simpleType>
                          <xs:restriction base="xs:decimal">
                            <xs:totalDigits value="14"/>
                            <xs:fractionDigits value="0"/>
                          </xs:restriction>
                        </xs:simpleType>
                      </xs:attribute>
                      <xs:attribute name="kc_solidzvys" use="optional">
                        <xs:annotation>
                          <xs:documentation>Uveďte výši solidárního zvýšení daně:&lt;br&gt;od 2014&lt;br&gt;tj. 7 % z kladného rozdílu mezi součtem hodnot na ř. 43 a ř. 114 přílohy č. 1 DAP a 48násobkem průměrné mzdy. Pro výpočet použijte hodnoty bez příjmů, u kterých uplatňujete metodu vynětí. (Pro rok 2017 je 48násobek průměrné mzdy podle nařízení vlády č. 325/2016 Sb. ve výši 1 355 136 Kč)(2016: Pro rok 2016 je 48násobek průměrné mzdy podle vyhlášky MPSV č. 244/2015 Sb. 1 296 288 Kč; 2015: Pro rok 2015 je 48násobek průměrné mzdy podle vyhlášky MPSV č. 208/2014 Sb. 1 277 328 Kč; 2014: Pro rok 2014 je 48násobek průměrné mzdy podle vyhlášky MPSV č. 296/2013 Sb. 1 245 216 Kč). &lt;strong&gt;Vykáže-li poplatník u příjmů ze samostatné činnosti daňovou ztrátu, lze o ni snížit příjmy zahrnované do dílčího základu daně podle § 6 zákona.&lt;/strong&gt;&lt;br&gt;&amp;nbsp&lt;br&gt;2013&lt;br&gt;tj. 7 % z kladného rozdílu mezi součtem hodnot na ř. 31 a ř. 37 po vynětí a 48násobkem průměrné mzdy. Pro výpočet použijte hodnoty bez příjmů, u kterých uplatňujete metodu vynětí. (Pro rok 2013 je 48násobek průměrné mzdy podle vyhlášky MPSV č. 324/2012 Sb. 1 242 432 Kč).</xs:documentation>
                        </xs:annotation>
                        <xs:simpleType>
                          <xs:restriction base="xs:decimal">
                            <xs:totalDigits value="17"/>
                            <xs:fractionDigits value="2"/>
                          </xs:restriction>
                        </xs:simpleType>
                      </xs:attribute>
                      <xs:attribute name="kc_danbonus" use="optional">
                        <xs:annotation>
                          <xs:documentation>Uveďte rozdíl daňového zvýhodnění a slevy na dani, jehož výsledkem je výše daňového bonusu. Daňový bonus můžete uplatnit při splnění podmínek stanovených v §35c zákona, pokud jeho výše činí alespoň 100 Kč, maximálně však do výše 60 300 Kč ročně.</xs:documentation>
                        </xs:annotation>
                        <xs:simpleType>
                          <xs:restriction base="xs:decimal">
                            <xs:totalDigits value="14"/>
                            <xs:fractionDigits value="0"/>
                          </xs:restriction>
                        </xs:simpleType>
                      </xs:attribute>
                      <xs:attribute name="kc_csprij" use="optional">
                        <xs:annotation>
                          <xs:documentation>od 2015&lt;br /&gt;jste-li poplatníkem podle § 2 odst. 3 zákona rezidentem členského státu EU nebo státu tvořící EHP a uplatňujete nezdanitelné části základu daně podle § 15 zákona nebo slevu na dani podle § 35ba odst. 1 písm. b) až e) a písm. g) zákona nebo daňové zvýhodnění podle § 35c zákona, uveďte úhrn všech příjmů ze zdrojů na území České republiky a ze zdrojů v zahraničí v celých Kč. Cizí měnu přepočtěte podle § 38 odst. 1 zákona.&lt;br /&gt;&amp;nbsp&lt;br&gt;2013-2014&lt;br&gt;Jste-li poplatníkem podle § 2 odst. 3 zákona a uplatňujete nezdanitelné části základu daně podle § 15 zákona nebo slevu na dani podle § 35ba odst. 1 písm. b) až e) nebo daňové zvýhodnění podle § 35c zákona, uveďte úhrn všech příjmů ze zdrojů na území České republiky a ze zdrojů v zahraničí v celých Kč. Cizí měnu přepočtěte podle § 38 odst. 1 zákona.</xs:documentation>
                        </xs:annotation>
                        <xs:simpleType>
                          <xs:restriction base="xs:decimal">
                            <xs:totalDigits value="14"/>
                            <xs:fractionDigits value="0"/>
                          </xs:restriction>
                        </xs:simpleType>
                      </xs:attribute>
                      <xs:attribute name="m_detiztpp" use="optional">
                        <xs:simpleType>
                          <xs:restriction base="xs:decimal">
                            <xs:totalDigits value="3"/>
                            <xs:fractionDigits value="0"/>
                          </xs:restriction>
                        </xs:simpleType>
                      </xs:attribute>
                      <xs:attribute name="kc_sraz367" use="optional">
                        <xs:simpleType>
                          <xs:restriction base="xs:decimal">
                            <xs:totalDigits value="14"/>
                            <xs:fractionDigits value="0"/>
                          </xs:restriction>
                        </xs:simpleType>
                      </xs:attribute>
                    </xs:complexType>
                  </xs:element>
                  <xs:element maxOccurs="1" minOccurs="0" name="VetaP">
                    <xs:complexType>
                      <xs:attribute name="z_c_faxu" use="optional">
                        <xs:annotation>
                          <xs:documentation>Položka se pro ZO 2016 a vyšší nevyplňuje.</xs:documentation>
                        </xs:annotation>
                        <xs:simpleType>
                          <xs:restriction base="xs:string">
                            <xs:minLength value="0"/>
                            <xs:maxLength value="14"/>
                          </xs:restriction>
                        </xs:simpleType>
                      </xs:attribute>
                      <xs:attribute name="jmeno" use="optional">
                        <xs:simpleType>
                          <xs:restriction base="xs:string">
                            <xs:minLength value="0"/>
                            <xs:maxLength value="20"/>
                          </xs:restriction>
                        </xs:simpleType>
                      </xs:attribute>
                      <xs:attribute name="z_c_orient" use="optional">
                        <xs:annotation>
                          <xs:documentation>adresy pro doručování písemností.</xs:documentation>
                        </xs:annotation>
                        <xs:simpleType>
                          <xs:restriction base="xs:string">
                            <xs:minLength value="0"/>
                            <xs:maxLength value="4"/>
                          </xs:restriction>
                        </xs:simpleType>
                      </xs:attribute>
                      <xs:attribute name="rod_c" use="optional">
                        <xs:simpleType>
                          <xs:restriction base="xs:string">
                            <xs:pattern value="[0-9]{1,10}"/>
                          </xs:restriction>
                        </xs:simpleType>
                      </xs:attribute>
                      <xs:attribute name="c_faxu" use="optional">
                        <xs:annotation>
                          <xs:documentation>Položka se pro ZO 2016 a vyšší nevyplňuje.</xs:documentation>
                        </xs:annotation>
                        <xs:simpleType>
                          <xs:restriction base="xs:string">
                            <xs:minLength value="0"/>
                            <xs:maxLength value="14"/>
                          </xs:restriction>
                        </xs:simpleType>
                      </xs:attribute>
                      <xs:attribute name="dic" use="optional">
                        <xs:simpleType>
                          <xs:restriction base="xs:string">
                            <xs:pattern value="[0-9]{1,10}"/>
                          </xs:restriction>
                        </xs:simpleType>
                      </xs:attribute>
                      <xs:attribute name="zast_dat_nar" type="dateInMultiFormat" use="optional">
                        <xs:annotation>
                          <xs:documentation>podepisující osoba.&lt;BR&gt;Pokud podává fyzická podepisující osoba, buď datum narození nebo evidenční číslo je povinné.</xs:documentation>
                        </xs:annotation>
                      </xs:attribute>
                      <xs:attribute name="z_c_pop" use="optional">
                        <xs:annotation>
                          <xs:documentation>adresy pro doručování písemností.</xs:documentation>
                        </xs:annotation>
                        <xs:simpleType>
                          <xs:restriction base="xs:decimal">
                            <xs:totalDigits value="6"/>
                            <xs:fractionDigits value="0"/>
                          </xs:restriction>
                        </xs:simpleType>
                      </xs:attribute>
                      <xs:attribute name="email" use="optional">
                        <xs:simpleType>
                          <xs:restriction base="xs:string">
                            <xs:minLength value="0"/>
                            <xs:maxLength value="255"/>
                          </xs:restriction>
                        </xs:simpleType>
                      </xs:attribute>
                      <xs:attribute name="zast_nazev" use="optional">
                        <xs:annotation>
                          <xs:documentation>podepisující osoba.&lt;BR&gt;Pokud podává právnická podepisující osoba je povinné.</xs:documentation>
                        </xs:annotation>
                        <xs:simpleType>
                          <xs:restriction base="xs:string">
                            <xs:minLength value="0"/>
                            <xs:maxLength value="255"/>
                          </xs:restriction>
                        </xs:simpleType>
                      </xs:attribute>
                      <xs:attribute name="stat" use="optional">
                        <xs:annotation>
                          <xs:documentation>Pro hodnotu této položky použijte číselník Země (zeme). Z číselníku se vkládá položka naz_zeme_c25.&lt;br&gt;
Pro popis číselníku Země klikněte &lt;a href="http://adisepo.mfcr.cz/adis/jepo/epo/ukazka_ciselniku.htm?C=zeme"&gt;zde&lt;/a&gt;.</xs:documentation>
                        </xs:annotation>
                        <xs:simpleType>
                          <xs:restriction base="xs:string">
                            <xs:minLength value="0"/>
                            <xs:maxLength value="25"/>
                          </xs:restriction>
                        </xs:simpleType>
                      </xs:attribute>
                      <xs:attribute name="psc" use="optional">
                        <xs:annotation>
                          <xs:documentation>místa pobytu nebo sídla daňového subjektu. PSČ v České republice musí mít délku 5 znaků bez mezer.</xs:documentation>
                        </xs:annotation>
                        <xs:simpleType>
                          <xs:restriction base="xs:string">
                            <xs:minLength value="0"/>
                            <xs:maxLength value="10"/>
                          </xs:restriction>
                        </xs:simpleType>
                      </xs:attribute>
                      <xs:attribute name="k_stat" use="optional">
                        <xs:simpleType>
                          <xs:restriction base="xs:string">
                            <xs:minLength value="0"/>
                            <xs:maxLength value="2"/>
                          </xs:restriction>
                        </xs:simpleType>
                      </xs:attribute>
                      <xs:attribute name="c_telef" use="optional">
                        <xs:simpleType>
                          <xs:restriction base="xs:string">
                            <xs:minLength value="0"/>
                            <xs:maxLength value="14"/>
                          </xs:restriction>
                        </xs:simpleType>
                      </xs:attribute>
                      <xs:attribute name="krok_c_obce" use="optional">
                        <xs:annotation>
                          <xs:documentation>Vyplňte název obce z adresy trvalého bydliště nebo sídla&lt;br&gt;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ast_typ" use="optional">
                        <xs:annotation>
                          <xs:documentation>F - fyzická osoba &lt;BR&gt; P - právnická osoba&lt;BR&gt; Pokud podává podepisující osoba je povinné.</xs:documentation>
                        </xs:annotation>
                        <xs:simpleType>
                          <xs:restriction base="xs:string">
                            <xs:minLength value="0"/>
                            <xs:maxLength value="1"/>
                          </xs:restriction>
                        </xs:simpleType>
                      </xs:attribute>
                      <xs:attribute name="opr_jmeno" use="optional">
                        <xs:simpleType>
                          <xs:restriction base="xs:string">
                            <xs:minLength value="0"/>
                            <xs:maxLength value="20"/>
                          </xs:restriction>
                        </xs:simpleType>
                      </xs:attribute>
                      <xs:attribute name="zast_jmeno" use="optional">
                        <xs:annotation>
                          <xs:documentation>podepisující osoba.&lt;BR&gt;Pokud podává fyzická podepisující osoba je povinné.</xs:documentation>
                        </xs:annotation>
                        <xs:simpleType>
                          <xs:restriction base="xs:string">
                            <xs:minLength value="0"/>
                            <xs:maxLength value="20"/>
                          </xs:restriction>
                        </xs:simpleType>
                      </xs:attribute>
                      <xs:attribute name="c_pop" use="optional">
                        <xs:simpleType>
                          <xs:restriction base="xs:decimal">
                            <xs:totalDigits value="6"/>
                            <xs:fractionDigits value="0"/>
                          </xs:restriction>
                        </xs:simpleType>
                      </xs:attribute>
                      <xs:attribute name="c_obce" use="optional">
                        <xs:simpleType>
                          <xs:restriction base="xs:decimal">
                            <xs:totalDigits value="6"/>
                            <xs:fractionDigits value="0"/>
                          </xs:restriction>
                        </xs:simpleType>
                      </xs:attribute>
                      <xs:attribute name="z_ulice" use="optional">
                        <xs:annotation>
                          <xs:documentation>adresy pro doručování písemností.</xs:documentation>
                        </xs:annotation>
                        <xs:simpleType>
                          <xs:restriction base="xs:string">
                            <xs:minLength value="0"/>
                            <xs:maxLength value="38"/>
                          </xs:restriction>
                        </xs:simpleType>
                      </xs:attribute>
                      <xs:attribute name="prijmeni" use="optional">
                        <xs:simpleType>
                          <xs:restriction base="xs:string">
                            <xs:minLength value="0"/>
                            <xs:maxLength value="36"/>
                          </xs:restriction>
                        </xs:simpleType>
                      </xs:attribute>
                      <xs:attribute name="c_pasu" use="optional">
                        <xs:simpleType>
                          <xs:restriction base="xs:string">
                            <xs:minLength value="0"/>
                            <xs:maxLength value="16"/>
                          </xs:restriction>
                        </xs:simpleType>
                      </xs:attribute>
                      <xs:attribute name="opr_prijmeni" use="optional">
                        <xs:simpleType>
                          <xs:restriction base="xs:string">
                            <xs:minLength value="0"/>
                            <xs:maxLength value="36"/>
                          </xs:restriction>
                        </xs:simpleType>
                      </xs:attribute>
                      <xs:attribute name="z_naz_obce" use="optional">
                        <xs:annotation>
                          <xs:documentation>adresy pro doručování písemností.&lt;br&gt;
Pro popis číselníku Obce klikněte &lt;a href="http://adisepo.mfcr.cz/adis/jepo/epo/ukazka_ciselniku.htm?C=obce"&gt;zde&lt;/a&gt;.</xs:documentation>
                        </xs:annotation>
                        <xs:simpleType>
                          <xs:restriction base="xs:string">
                            <xs:minLength value="0"/>
                            <xs:maxLength value="48"/>
                          </xs:restriction>
                        </xs:simpleType>
                      </xs:attribute>
                      <xs:attribute name="zast_ic" use="optional">
                        <xs:annotation>
                          <xs:documentation>podepisující osoba.&lt;BR&gt;Pokud podává právnická podepisující osoba je povinné.</xs:documentation>
                        </xs:annotation>
                        <xs:simpleType>
                          <xs:restriction base="xs:string">
                            <xs:pattern value="[0-9]{1,10}"/>
                          </xs:restriction>
                        </xs:simpleType>
                      </xs:attribute>
                      <xs:attribute name="krok_naz_obce" use="optional">
                        <xs:annotation>
                          <xs:documentation>Vyplňte název obce/městskou část z adresy trvalého bydliště nebo sídla.</xs:documentation>
                        </xs:annotation>
                        <xs:simpleType>
                          <xs:restriction base="xs:string">
                            <xs:minLength value="0"/>
                            <xs:maxLength value="48"/>
                          </xs:restriction>
                        </xs:simpleType>
                      </xs:attribute>
                      <xs:attribute name="titul" use="optional">
                        <xs:simpleType>
                          <xs:restriction base="xs:string">
                            <xs:minLength value="0"/>
                            <xs:maxLength value="10"/>
                          </xs:restriction>
                        </xs:simpleType>
                      </xs:attribute>
                      <xs:attribute name="c_orient" use="optional">
                        <xs:simpleType>
                          <xs:restriction base="xs:string">
                            <xs:minLength value="0"/>
                            <xs:maxLength value="4"/>
                          </xs:restriction>
                        </xs:simpleType>
                      </xs:attribute>
                      <xs:attribute name="c_pracufo" use="optional">
                        <xs:annotation>
                          <xs:documentation>územní pracoviště, kde je nebo bude umístěn spis daňového subjektu (podle § 13 zákona číslo 456/2011 Sb., o Finanční správě České republiky, ve znění pozdějších předpisů).&lt;br&gt;
Pro popis číselníku Pracoviště FÚ klikněte &lt;a href="http://adisepo.mfcr.cz/adis/jepo/epo/ukazka_ciselniku.htm?C=pracufo"&gt;zde&lt;/a&gt;.</xs:documentation>
                        </xs:annotation>
                        <xs:simpleType>
                          <xs:restriction base="xs:decimal">
                            <xs:totalDigits value="4"/>
                            <xs:fractionDigits value="0"/>
                          </xs:restriction>
                        </xs:simpleType>
                      </xs:attribute>
                      <xs:attribute name="st_prislus" use="optional">
                        <xs:simpleType>
                          <xs:restriction base="xs:string">
                            <xs:minLength value="0"/>
                            <xs:maxLength value="15"/>
                          </xs:restriction>
                        </xs:simpleType>
                      </xs:attribute>
                      <xs:attribute name="z_c_telef" use="optional">
                        <xs:simpleType>
                          <xs:restriction base="xs:string">
                            <xs:minLength value="0"/>
                            <xs:maxLength value="14"/>
                          </xs:restriction>
                        </xs:simpleType>
                      </xs:attribute>
                      <xs:attribute name="krok_c_pop" use="optional">
                        <xs:annotation>
                          <xs:documentation>Vyplňte číslo popisné z adresy trvalého bydliště nebo sídla.</xs:documentation>
                        </xs:annotation>
                        <xs:simpleType>
                          <xs:restriction base="xs:decimal">
                            <xs:totalDigits value="6"/>
                            <xs:fractionDigits value="0"/>
                          </xs:restriction>
                        </xs:simpleType>
                      </xs:attribute>
                      <xs:attribute name="z_c_obce" use="optional">
                        <xs:annotation>
                          <xs:documentation>adresy pro doručování písemností, dle číselníku obcí.&lt;br&gt;
Pro popis číselníku Obce klikněte &lt;a href="http://adisepo.mfcr.cz/adis/jepo/epo/ukazka_ciselniku.htm?C=obce"&gt;zde&lt;/a&gt;.</xs:documentation>
                        </xs:annotation>
                        <xs:simpleType>
                          <xs:restriction base="xs:decimal">
                            <xs:totalDigits value="6"/>
                            <xs:fractionDigits value="0"/>
                          </xs:restriction>
                        </xs:simpleType>
                      </xs:attribute>
                      <xs:attribute name="z_email" use="optional">
                        <xs:simpleType>
                          <xs:restriction base="xs:string">
                            <xs:minLength value="0"/>
                            <xs:maxLength value="255"/>
                          </xs:restriction>
                        </xs:simpleType>
                      </xs:attribute>
                      <xs:attribute name="opr_postaveni" use="optional">
                        <xs:simpleType>
                          <xs:restriction base="xs:string">
                            <xs:minLength value="0"/>
                            <xs:maxLength value="40"/>
                          </xs:restriction>
                        </xs:simpleType>
                      </xs:attribute>
                      <xs:attribute name="ulice" use="optional">
                        <xs:simpleType>
                          <xs:restriction base="xs:string">
                            <xs:minLength value="0"/>
                            <xs:maxLength value="38"/>
                          </xs:restriction>
                        </xs:simpleType>
                      </xs:attribute>
                      <xs:attribute name="krok_psc" use="optional">
                        <xs:annotation>
                          <xs:documentation>Vyplňte poštovní směrovací číslo</xs:documentation>
                        </xs:annotation>
                        <xs:simpleType>
                          <xs:restriction base="xs:string">
                            <xs:minLength value="0"/>
                            <xs:maxLength value="5"/>
                          </xs:restriction>
                        </xs:simpleType>
                      </xs:attribute>
                      <xs:attribute name="zast_prijmeni" use="optional">
                        <xs:annotation>
                          <xs:documentation>podepisující osoba.&lt;BR&gt;Pokud podává fyzická podepisující osoba je povinné.</xs:documentation>
                        </xs:annotation>
                        <xs:simpleType>
                          <xs:restriction base="xs:string">
                            <xs:minLength value="0"/>
                            <xs:maxLength value="36"/>
                          </xs:restriction>
                        </xs:simpleType>
                      </xs:attribute>
                      <xs:attribute name="zast_kod" use="optional">
                        <xs:annotation>
                          <xs:documentation>Číselný kód podle níže uvedených typů podepisující osoby:&lt;br&gt;Fyzická osoba:&lt;br&gt;1 - zákonný zástupce nebo opatrovník&lt;br&gt;2 - ustanovený zástupce&lt;br&gt;	3 - společný zástupce, společný zmocněnec&lt;br&gt;	4a -  obecný zmocněnec - fyzická osoba i právnická osoba&lt;br&gt;	4b - fyzická osoba daňový poradce nebo advokát&lt;br&gt;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osoby&lt;br&gt;&lt;br&gt;Právnická osoba:&lt;br&gt;	2 - ustanovený zástupce&lt;br&gt;	3 - společný zástupce, společný zmocněnec&lt;br&gt;	4a - obecný zmocněnec - fyzická osoba i právnická osoba&lt;br&gt;	4c -právnická osoba vykonávající daňové poradenství&lt;br&gt;	5a - osoba spravující pozůstalost&lt;br&gt;	5b - zástupce osoby spravující pozůstalost&lt;br&gt;	6a - dědic po skončení řízení o pozůstalosti&lt;br&gt;	6b - zástupce dědice po skončení řízení o pozůstalosti&lt;br&gt;	7a - právní nástupce právnické osoby&lt;br&gt; 7b - zástupce právního nástupce právnické osoby</xs:documentation>
                        </xs:annotation>
                        <xs:simpleType>
                          <xs:restriction base="xs:string">
                            <xs:minLength value="0"/>
                            <xs:maxLength value="2"/>
                          </xs:restriction>
                        </xs:simpleType>
                      </xs:attribute>
                      <xs:attribute name="rodnepr" use="optional">
                        <xs:simpleType>
                          <xs:restriction base="xs:string">
                            <xs:minLength value="0"/>
                            <xs:maxLength value="36"/>
                          </xs:restriction>
                        </xs:simpleType>
                      </xs:attribute>
                      <xs:attribute name="krok_c_orient" use="optional">
                        <xs:annotation>
                          <xs:documentation>Vyplňte číslo orientační z adresy trvalého bydliště nebo sídla.</xs:documentation>
                        </xs:annotation>
                        <xs:simpleType>
                          <xs:restriction base="xs:string">
                            <xs:minLength value="0"/>
                            <xs:maxLength value="4"/>
                          </xs:restriction>
                        </xs:simpleType>
                      </xs:attribute>
                      <xs:attribute name="zast_ev_cislo" use="optional">
                        <xs:annotation>
                          <xs:documentation>Pokud podává fyzická podepisující osoba, buď datum narození nebo evidenční číslo je povinné.</xs:documentation>
                        </xs:annotation>
                        <xs:simpleType>
                          <xs:restriction base="xs:string">
                            <xs:minLength value="0"/>
                            <xs:maxLength value="36"/>
                          </xs:restriction>
                        </xs:simpleType>
                      </xs:attribute>
                      <xs:attribute name="naz_obce" use="optional">
                        <xs:simpleType>
                          <xs:restriction base="xs:string">
                            <xs:minLength value="0"/>
                            <xs:maxLength value="48"/>
                          </xs:restriction>
                        </xs:simpleType>
                      </xs:attribute>
                      <xs:attribute name="krok_ulice" use="optional">
                        <xs:annotation>
                          <xs:documentation>Vyplňte název ulice/části obce.</xs:documentation>
                        </xs:annotation>
                        <xs:simpleType>
                          <xs:restriction base="xs:string">
                            <xs:minLength value="0"/>
                            <xs:maxLength value="38"/>
                          </xs:restriction>
                        </xs:simpleType>
                      </xs:attribute>
                      <xs:attribute name="z_psc" use="optional">
                        <xs:annotation>
                          <xs:documentation>adresy pro doručování písemností.</xs:documentation>
                        </xs:annotation>
                        <xs:simpleType>
                          <xs:restriction base="xs:string">
                            <xs:minLength value="0"/>
                            <xs:maxLength value="5"/>
                          </xs:restriction>
                        </xs:simpleType>
                      </xs:attribute>
                    </xs:complexType>
                  </xs:element>
                  <xs:element maxOccurs="1" minOccurs="0" name="VetaO">
                    <xs:complexType>
                      <xs:attribute name="kc_ztrata2" use="optional">
                        <xs:annotation>
                          <xs:documentation>Uveďte úhrn uplatňované ztráty (za zdaňovací období 2017, resp. 2016, 2015, 2014, 2013 lze uplatnit ztrátu vzniklou a vyměřenou pouze za zdaňovací období 2012, 2013, 2014, 2015 a 2016) (2016: 2011, 2012, 2013, 2014 a 2015; 2015: 2010, 2011, 2012, 2013 a 2014; 2014: 2009, 2010, 2011, 2012 a 2013; 2013: za ZO 2008, 2009, 2010, 2011 a 2012), maximálně však do výše částky uvedené na ř. 41a. Částka uplatňované ztráty, která převyšuje částku na ř. 41a, je část ztráty, kterou nelze uplatnit v tomto zdaňovacím období, a tuto částku můžete uplatnit v následujících zdaňovacích obdobích v souladu s ustanovením § 34 odst. 1 zákona. Poplatník uplatňující ztrátu za předchozí zdaňovací období podle § 34 odst. 1 zákona uvede do samostatné přílohy následující údaje: 1. Zdaňovací období, ve kterém daňová ztráta vznikla / byla uplatněna, 2. Celkovou výši daňové ztráty vyměřené (vzniklé) nebo přiznané za zdaňovací období uvedené v bodu 1, 3. Část daňové ztráty odečtené v předcházejících zdaňovacích obdobích. 4. Část daňové ztráty uplatněné v tomto zdaňovacím období (ř. 44, 2. oddílu základní části DAP, str. 2), 5. Část daňové ztráty, kterou lze odečíst v následujících zdaňovacích obdobích. Doporučený vzor přílohy pro poplatníky uplatňující ztrátu z příjmů je uveden na internetových stránkách na adrese www.financnisprava.cz.</xs:documentation>
                        </xs:annotation>
                        <xs:simpleType>
                          <xs:restriction base="xs:decimal">
                            <xs:totalDigits value="14"/>
                            <xs:fractionDigits value="0"/>
                          </xs:restriction>
                        </xs:simpleType>
                      </xs:attribute>
                      <xs:attribute name="kc_vynprij" use="optional">
                        <xs:annotation>
                          <xs:documentation>Na tomto řádku uveďte rozdíl úhrnu dílčích základů daně podle § 7 až § 10 zákona (ř. 41) a úhrnu vyňatých příjmů ze zdrojů v zahraničí podle § 7 až § 10 zákona. Kladnou hodnotu lze dále použít pro odečet ztráty z předcházejících zdaňovacích období podle § 34 odst. 1 zákona. &lt;strong&gt;V případě, že nemáte příjmy ze zdrojů v zahraničí, které se vyjímají ze zdanění, přeneste údaj z ř. 41.&lt;/strong&gt; Záporná částka je ztrátou, kterou přeneste &lt;strong&gt;na ř. 61, 4. oddílu, základní části DAP na stranu 2.&lt;/strong&gt;</xs:documentation>
                        </xs:annotation>
                        <xs:simpleType>
                          <xs:restriction base="xs:decimal">
                            <xs:totalDigits value="14"/>
                            <xs:fractionDigits value="0"/>
                          </xs:restriction>
                        </xs:simpleType>
                      </xs:attribute>
                      <xs:attribute name="kc_zd7" use="optional">
                        <xs:annotation>
                          <xs:documentation>Přeneste údaj z ř. 113 Přílohy č. 1 DAP.</xs:documentation>
                        </xs:annotation>
                        <xs:simpleType>
                          <xs:restriction base="xs:decimal">
                            <xs:totalDigits value="14"/>
                            <xs:fractionDigits value="0"/>
                          </xs:restriction>
                        </xs:simpleType>
                      </xs:attribute>
                      <xs:attribute name="kc_uhrn" use="optional">
                        <xs:annotation>
                          <xs:documentation>Vyplňte úhrn řádků (ř. 37 + ř. 38 + ř. 39 + ř. 40).</xs:documentation>
                        </xs:annotation>
                        <xs:simpleType>
                          <xs:restriction base="xs:decimal">
                            <xs:totalDigits value="14"/>
                            <xs:fractionDigits value="0"/>
                          </xs:restriction>
                        </xs:simpleType>
                      </xs:attribute>
                      <xs:attribute name="kc_prij6" use="optional">
                        <xs:annotation>
                          <xs:documentation>od 2015&lt;br&gt;Vyplňte údaje, které zjistíte např. z dokladu „Potvrzení o zdanitelných příjmech ze závislé činnosti, sražených zálohách na daň a daňovém zvýhodnění za zdaňovací období 2017, resp. 2016, 2015“ (dále jen „Potvrzení“) vystaveného jednotlivými zaměstnavateli na základě Vaší žádosti podle § 38j odst. 3 zákona. Zahrnete-li do DAP příjmy podle § 6 odst. 4 zákona (platí pouze pro rezidenty ČR, EU nebo státu tvořící EHP), jste povinen uvést &lt;strong&gt;veškeré&lt;/strong&gt; tyto příjmy do ř. 31 a tyto doložit na „Potvrzení o zdanitelných příjmech ze závislé činnosti plynoucích na základě dohod o provedení práce podle § 6 odst. 4 zákona č. 586/1992 Sb., o daních z příjmů, ve znění pozdějších předpisů a o sražené dani vybírané srážkou podle zvláštní sazby daně“ (dále jen „Potvrzení o vyplacených příjmech a sražené dani“ (do 2016: "Potvrzení o sražené dani")). Příjmy uveďte v souladu s § 5 odst. 4 zákona (ve vzoru Potvrzení č. 25 (2016: č. 24, 2015: č. 23) se jedná o součet řádků 2., 4. a 5. a ve vzoru Potvrzení o vyplacených příjmech a sražené dani č. 4 (do 2016: Potvrzení o sražené dani č. 3 (2015: č. 2)) se jedná o ř. 2).&lt;br&gt;&amp;nbsp&lt;br&gt;2013-2014&lt;br&gt;Vyplňte údaje, které zjistíte např. z dokladu „Potvrzení o zdanitelných příjmech ze závislé činnosti (2013: a z funkčních požitků), sražených zálohách na daň a daňovém zvýhodnění za zdaňovací období 2014, resp. 2013“ (dále jen „Potvrzení“) vystaveného jednotlivými zaměstnavateli na základě Vaší žádosti podle § 38j odst. 3 zákona. Příjmy uveďte v souladu s § 5 odst. 4 zákona (ve vzoru potvrzení č. 22 (2013: č.21) se jedná o součet řádků 2., 4. a 5.).</xs:documentation>
                        </xs:annotation>
                        <xs:simpleType>
                          <xs:restriction base="xs:decimal">
                            <xs:totalDigits value="14"/>
                            <xs:fractionDigits value="0"/>
                          </xs:restriction>
                        </xs:simpleType>
                      </xs:attribute>
                      <xs:attribute name="kc_zakldan8" use="optional">
                        <xs:annotation>
                          <xs:documentation>od 2015&lt;br&gt;Vyplňte úhrn příjmů z kapitálového majetku podle § 8 zákona, které zahrnují příjmy ze zdrojů na území České republiky i příjmy ze zdrojů v zahraničí, a to přepočtené na Kč, které nejsou zdaněny zvláštní sazbou daně podle § 36 zákona. Pokud ve zdaňovacím období vykážete příjmy z úroků ze zápůjčky nebo úvěru, je výdajem zaplacený úrok z částek použitých na poskytnutí zápůjčky nebo úvěru, a to až do výše příjmu. Na řádek č. 38 uveďte dílčí základ daně podle § 8 a na vložený list uveďte příjmy a výdaje související s úroky ze zápůjčky nebo úvěru.&lt;br&gt;&amp;nbsp&lt;br&gt;2013-2014&lt;br&gt;Vyplňte úhrn příjmů z kapitálového majetku podle § 8 zákona, které zahrnují příjmy ze zdrojů na území České republiky i příjmy ze zdrojů v zahraničí, a to přepočtené na Kč, které nejsou zdaněny zvláštní sazbou daně podle § 36 zákona.</xs:documentation>
                        </xs:annotation>
                        <xs:simpleType>
                          <xs:restriction base="xs:decimal">
                            <xs:totalDigits value="14"/>
                            <xs:fractionDigits value="0"/>
                          </xs:restriction>
                        </xs:simpleType>
                      </xs:attribute>
                      <xs:attribute name="kc_zd6p" use="optional">
                        <xs:annotation>
                          <xs:documentation>Vypočtená částka tvoří dílčí základ daně připadající na příjmy ze závislé činnosti (2013: a funkčních požitků).</xs:documentation>
                        </xs:annotation>
                        <xs:simpleType>
                          <xs:restriction base="xs:decimal">
                            <xs:totalDigits value="14"/>
                            <xs:fractionDigits value="0"/>
                          </xs:restriction>
                        </xs:simpleType>
                      </xs:attribute>
                      <xs:attribute name="celk_sl4" use="optional">
                        <xs:annotation>
                          <xs:documentation>Uveďte celkovou výši daňové ztráty uplatněné v tomto ZO.</xs:documentation>
                        </xs:annotation>
                        <xs:simpleType>
                          <xs:restriction base="xs:decimal">
                            <xs:totalDigits value="14"/>
                            <xs:fractionDigits value="0"/>
                          </xs:restriction>
                        </xs:simpleType>
                      </xs:attribute>
                      <xs:attribute name="kc_dan_zah" use="optional">
                        <xs:annotation>
                          <xs:documentation>Jste-li poplatník podle § 2 odst. 2 zákona (daňový rezident ČR (2013-2014: daňový rezident)) a máte příjmy ze zdrojů v zahraničí, uveďte na tento řádek daň zaplacenou z těchto příjmů, o kterou lze snížit příjem podle § 6 odst. 13 zákona (2013: 14 zákona).</xs:documentation>
                        </xs:annotation>
                        <xs:simpleType>
                          <xs:restriction base="xs:decimal">
                            <xs:totalDigits value="14"/>
                            <xs:fractionDigits value="0"/>
                          </xs:restriction>
                        </xs:simpleType>
                      </xs:attribute>
                      <xs:attribute name="kc_zakldan" use="optional">
                        <xs:annotation>
                          <xs:documentation>Do tohoto řádku uveďte vypočtený rozdíl ř. 42 – ř. 44.</xs:documentation>
                        </xs:annotation>
                        <xs:simpleType>
                          <xs:restriction base="xs:decimal">
                            <xs:totalDigits value="14"/>
                            <xs:fractionDigits value="0"/>
                          </xs:restriction>
                        </xs:simpleType>
                      </xs:attribute>
                      <xs:attribute name="celk_sl5" use="optional">
                        <xs:annotation>
                          <xs:documentation>Uveďte celkovou výši daňové ztráty, kterou lze odečíst v následujících ZO.</xs:documentation>
                        </xs:annotation>
                        <xs:simpleType>
                          <xs:restriction base="xs:decimal">
                            <xs:totalDigits value="14"/>
                            <xs:fractionDigits value="0"/>
                          </xs:restriction>
                        </xs:simpleType>
                      </xs:attribute>
                      <xs:attribute name="kc_zd6" use="optional">
                        <xs:annotation>
                          <xs:documentation>Přeneste údaj z ř. 34.</xs:documentation>
                        </xs:annotation>
                        <xs:simpleType>
                          <xs:restriction base="xs:decimal">
                            <xs:totalDigits value="14"/>
                            <xs:fractionDigits value="0"/>
                          </xs:restriction>
                        </xs:simpleType>
                      </xs:attribute>
                      <xs:attribute name="kc_pomerzd" use="optional">
                        <xs:annotation>
                          <xs:documentation>Položka obsahuje kritickou kontrolu: vyplňuje se pouze pro ZO 2013.</xs:documentation>
                        </xs:annotation>
                        <xs:simpleType>
                          <xs:restriction base="xs:decimal">
                            <xs:totalDigits value="14"/>
                            <xs:fractionDigits value="2"/>
                          </xs:restriction>
                        </xs:simpleType>
                      </xs:attribute>
                      <xs:attribute name="kc_zd10" use="optional">
                        <xs:annotation>
                          <xs:documentation>Přeneste údaj z ř. 209 Přílohy č. 2 DAP.</xs:documentation>
                        </xs:annotation>
                        <xs:simpleType>
                          <xs:restriction base="xs:decimal">
                            <xs:totalDigits value="14"/>
                            <xs:fractionDigits value="0"/>
                          </xs:restriction>
                        </xs:simpleType>
                      </xs:attribute>
                      <xs:attribute name="kc_vynprij_6" use="optional">
                        <xs:annotation>
                          <xs:documentation>Na tomto řádku uveďte rozdíl dílčího základu daně podle § 6 zákona (ř. 36) a úhrnu vyňatých příjmů ze zdrojů v zahraničí. Vyjímané příjmy uveďte v souladu s § 6 odst. 13 zákona (2013: 14 zákona).&lt;strong&gt;V případě, že nemáte příjmy ze zdrojů v zahraničí, které se vyjímají ze zdanění, přeneste údaj z ř. 36.&lt;/strong&gt;</xs:documentation>
                        </xs:annotation>
                        <xs:simpleType>
                          <xs:restriction base="xs:decimal">
                            <xs:totalDigits value="14"/>
                            <xs:fractionDigits value="0"/>
                          </xs:restriction>
                        </xs:simpleType>
                      </xs:attribute>
                      <xs:attribute name="kc_prij6vyn"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zahr" use="optional">
                        <xs:annotation>
                          <xs:documentation>Uveďte na tento řádek část příjmů z ř. 31, u kterých neměl plátce daně povinnost srazit zálohy na daň dle § 38h zákona zvýšený o povinné pojistné podle § 6 odst. 12 zákona (2013: 13 zákona) (např. příjmy zaměstnanců zahraničních zastupitelských úřadů v tuzemsku dle § 38c zákona, příjmy ze zdrojů v zahraničí). Úhrn příjmů je uváděn pro stanovení záloh na daň z příjmů podle § 38a zákona. Jste-li poplatník podle § 2 odst. 2 zákona (daňový rezident ČR) a máte příjmy ze zdrojů v zahraničí ze státu, s nímž Česká republika neuzavřela smlouvu o zamezení dvojího zdanění, uveďte na tento řádek úhrn příjmů zvýšený o povinné pojistné a snížený o daň zaplacenou z tohoto příjmu v zahraničí uvedenou na ř. 33.</xs:documentation>
                        </xs:annotation>
                        <xs:simpleType>
                          <xs:restriction base="xs:decimal">
                            <xs:totalDigits value="14"/>
                            <xs:fractionDigits value="0"/>
                          </xs:restriction>
                        </xs:simpleType>
                      </xs:attribute>
                      <xs:attribute name="kc_zd9" use="optional">
                        <xs:annotation>
                          <xs:documentation>Přeneste údaj z ř. 206 Přílohy č. 2 DAP.</xs:documentation>
                        </xs:annotation>
                        <xs:simpleType>
                          <xs:restriction base="xs:decimal">
                            <xs:totalDigits value="14"/>
                            <xs:fractionDigits value="0"/>
                          </xs:restriction>
                        </xs:simpleType>
                      </xs:attribute>
                      <xs:attribute name="kc_zakldan23" use="optional">
                        <xs:annotation>
                          <xs:documentation>Vyplněný úhrn je základ daně podle zákona a zákona o správě daní a poplatků. Pokud je ř. 41a záporný, uveďte pouze hodnotu z ř. 36a. To znamená, že základ daně je tvořen pouze dílčím základem daně podle § 6 zákona.</xs:documentation>
                        </xs:annotation>
                        <xs:simpleType>
                          <xs:restriction base="xs:decimal">
                            <xs:totalDigits value="14"/>
                            <xs:fractionDigits value="0"/>
                          </xs:restriction>
                        </xs:simpleType>
                      </xs:attribute>
                      <xs:attribute name="kc_poj6" use="optional">
                        <xs:annotation>
                          <xs:documentation>Uveďte pojistné na sociální zabezpečení a příspěvek na státní politiku zaměstnanosti a pojistné na veřejné (2013-2014: všeobecné) zdravotní pojištění, které je z příjmů uvedených na ř. 31 povinen platit podle zvláštních právních předpisů (zákon č. 589/1992 Sb. a zákon č. 592/1992 Sb.) zaměstnavatel (ve vzoru Potvrzení č. 25 (2016: č. 24, 2015: č. 23; 2014: č. 22; 2013: č. 21) se jedná o řádek 6. a 7.). Částka odpovídající povinnému pojistnému se uvádí i u zaměstnance, u kterého povinnost platit povinné pojistné zaměstnavatel nemá (např. jde-li o příjmy za zdrojů v zahraničí). Povinné pojistné se zaokrouhluje na celé koruny směrem nahoru.</xs:documentation>
                        </xs:annotation>
                        <xs:simpleType>
                          <xs:restriction base="xs:decimal">
                            <xs:totalDigits value="14"/>
                            <xs:fractionDigits value="0"/>
                          </xs:restriction>
                        </xs:simpleType>
                      </xs:attribute>
                    </xs:complexType>
                  </xs:element>
                  <xs:element maxOccurs="1" minOccurs="0" name="VetaS">
                    <xs:complexType>
                      <xs:attribute name="kc_dalsivzd" use="optional">
                        <xs:annotation>
                          <xs:documentation>Uveďte uplatňovanou výši úhrady za zkoušky ověřující výsledky dalšího vzdělávání podle zákona č.179/2006 Sb., max. však do výše 10 000 Kč za zdaňovací období 2017, resp. 2016, 2015, 2014, 2013 (u poplatníka se zdravotním postižením max. 13 000 Kč a s těžším zdravotním postižením max. 15 000 Kč).</xs:documentation>
                        </xs:annotation>
                        <xs:simpleType>
                          <xs:restriction base="xs:decimal">
                            <xs:totalDigits value="14"/>
                            <xs:fractionDigits value="0"/>
                          </xs:restriction>
                        </xs:simpleType>
                      </xs:attribute>
                      <xs:attribute name="kc_zdsniz" use="optional">
                        <xs:annotation>
                          <xs:documentation>od 2014&lt;br&gt;(ř. 45 – ř. 54) – uveďte výpočet podle pokynů. Jestliže vypočtená nebo přenesená hodnota je záporná, uveďte na řádku nulu.&lt;br&gt;U poplatníka uvedeného v § 2 odst. 3 zákona se základ daně sníží za zdaňovací období o částky uvedené na řádcích 46 až 51 (2014: až 53), pouze pokud se jedná o poplatníka, který je rezidentem členského státu Evropské unie nebo EHP(2014: Evropské unie, Norska nebo Islandu) a pokud úhrn jeho příjmů ze zdrojů na území ČR podle § 22 zákona činí nejméně 90 % všech jeho příjmů s výjimkou příjmů, které nejsou předmětem daně podle § 3 nebo 6 zákona, nebo jsou od daně osvobozeny podle § 4, § 4a, § 6 nebo § 10 zákona (2014: § 4, 6 nebo 10 zákona), nebo příjmů, z nichž je daň vybírána srážkou podle zvláštní sazby daně.&lt;br&gt;&amp;nbsp&lt;br&gt;2013&lt;br&gt;(ř. 45 – ř. 54) – uveďte výpočet podle pokynů. Jestliže vypočtená nebo přenesená hodnota je záporná, uveďte na řádku nulu.</xs:documentation>
                        </xs:annotation>
                        <xs:simpleType>
                          <xs:restriction base="xs:decimal">
                            <xs:totalDigits value="14"/>
                            <xs:fractionDigits value="0"/>
                          </xs:restriction>
                        </xs:simpleType>
                      </xs:attribute>
                      <xs:attribute name="kc_odcelk" use="optional">
                        <xs:annotation>
                          <xs:documentation>od 2014&lt;br&gt;Úhrn nezdanitelných částí základu daně a položek odčitatelných od základu daně (ř. 46 + ř. 47 + ř. 48 + ř. 49 + ř. 50 + ř. 51 + ř. 52 + ř. 52a + ř. 53)&lt;br&gt;&amp;nbsp&lt;br&gt;2013&lt;br&gt;Úhrn nezdanitelných částí základu daně a položek odčitatelných od základu daně (ř. 46 + ř. 47 + ř. 48 + ř. 49 + ř. 50 + ř. 51 + ř. 52 + ř. 53) – Uveďte úhrn nezdanitelných částí základu daně a položek odčitatelných od základu daně, které uplatňujete podle zákona.</xs:documentation>
                        </xs:annotation>
                        <xs:simpleType>
                          <xs:restriction base="xs:decimal">
                            <xs:totalDigits value="14"/>
                            <xs:fractionDigits value="0"/>
                          </xs:restriction>
                        </xs:simpleType>
                      </xs:attribute>
                      <xs:attribute name="kc_op15_13" use="optional">
                        <xs:annotation>
                          <xs:documentation>Uveďte uplatňovanou výši pojistného, které jste zaplatil (zaplatila) na své soukromé životní pojištění, uvedenou v potvrzení pojišťovny o zaplaceném pojistném na soukromé životní pojištění ve zdaňovacím období 2017, resp. 2016, 2015, 2014, 2013. Maximální částka, kterou lze odečíst za zdaňovací období 2017, činí v úhrnu 24 000 Kč (do 2016: Maximální částka, kterou lze odečíst za zdaňovací období 2016, resp. 2015, 2014, 2013, činí v úhrnu 12 000 Kč).</xs:documentation>
                        </xs:annotation>
                        <xs:simpleType>
                          <xs:restriction base="xs:decimal">
                            <xs:totalDigits value="14"/>
                            <xs:fractionDigits value="0"/>
                          </xs:restriction>
                        </xs:simpleType>
                      </xs:attribute>
                      <xs:attribute name="kc_op28_5" use="optional">
                        <xs:annotation>
                          <xs:documentation>Uveďte uplatňovanou výši úroků zaplacených ve zdaňovacím období 2016, resp. 2015, 2014, 2013 z poskytnutého úvěru ze stavebního spoření nebo z hypotečního úvěru uvedenou v potvrzení stavební spořitelny nebo banky nebo pobočky zahraniční banky anebo zahraniční banky. Úhrnná částka úroků, o které lze snížit základ daně podle těchto odst. ze všech úvěrů u poplatníků v téže společně hospodařící domácnosti (§ 21e odst. 4 zákona) (2013: v téže domácnosti), nesmí překročit 300 000 Kč. Při placení úroků jen po část roku nesmí uplatňovaná částka překročit jednu dvanáctinu této maximální částky za každý měsíc placení úroků.</xs:documentation>
                        </xs:annotation>
                        <xs:simpleType>
                          <xs:restriction base="xs:decimal">
                            <xs:totalDigits value="14"/>
                            <xs:fractionDigits value="0"/>
                          </xs:restriction>
                        </xs:simpleType>
                      </xs:attribute>
                      <xs:attribute name="kc_op34_4" use="optional">
                        <xs:annotation>
                          <xs:documentation>Uveďte uplatňovanou výši výdajů (nákladů) vynaložených při realizaci výzkumu a vývoje (Pokyn D-288).</xs:documentation>
                        </xs:annotation>
                        <xs:simpleType>
                          <xs:restriction base="xs:decimal">
                            <xs:totalDigits value="14"/>
                            <xs:fractionDigits value="0"/>
                          </xs:restriction>
                        </xs:simpleType>
                      </xs:attribute>
                      <xs:attribute name="text_op_dal" use="optional">
                        <xs:annotation>
                          <xs:documentation>Další částky - název uplatňované částky.</xs:documentation>
                        </xs:annotation>
                        <xs:simpleType>
                          <xs:restriction base="xs:string">
                            <xs:minLength value="0"/>
                            <xs:maxLength value="60"/>
                          </xs:restriction>
                        </xs:simpleType>
                      </xs:attribute>
                      <xs:attribute name="kc_op15_14" use="optional">
                        <xs:annotation>
                          <xs:documentation>Uveďte uplatňovanou výši zaplacených členských příspěvků ve zdaňovacím období 2017, resp. 2016, 2015, 2014, 2013 členem odborové organizace odborové organizaci, která podle svých stanov obhajuje hospodářské a sociální zájmy zaměstnanců v rozsahu vymezeném zvláštním právním předpisem (§ 146 a násl. zákoníku práce). Takto lze odečíst částku do výše 1,5 % zdanitelných příjmů podle § 6, s výjimkou příjmů podle § 6 zdaněných srážkou podle zvláštní sazby daně, maximálně však do výše 3 000 Kč za zdaňovací období 2017, resp. 2016, 2015, 2014, 2013.</xs:documentation>
                        </xs:annotation>
                        <xs:simpleType>
                          <xs:restriction base="xs:decimal">
                            <xs:totalDigits value="14"/>
                            <xs:fractionDigits value="0"/>
                          </xs:restriction>
                        </xs:simpleType>
                      </xs:attribute>
                      <xs:attribute name="m_dalsi" use="optional">
                        <xs:annotation>
                          <xs:documentation>Počet měsíců.</xs:documentation>
                        </xs:annotation>
                        <xs:simpleType>
                          <xs:restriction base="xs:decimal">
                            <xs:totalDigits value="2"/>
                            <xs:fractionDigits value="0"/>
                          </xs:restriction>
                        </xs:simpleType>
                      </xs:attribute>
                      <xs:attribute name="kc_op_dal" use="optional">
                        <xs:annotation>
                          <xs:documentation>Uveďte např. uplatňovanou výši odpočtu podle § 34 odst. 9, 10 zákona. Do bílého pole tohoto řádku uveďte název uplatňované částky.&lt;br&gt;&amp;nbsp&lt;br&gt;Pro zdaňovací období vyšší než 2013 se položka nevyplňuje.</xs:documentation>
                        </xs:annotation>
                        <xs:simpleType>
                          <xs:restriction base="xs:decimal">
                            <xs:totalDigits value="14"/>
                            <xs:fractionDigits value="0"/>
                          </xs:restriction>
                        </xs:simpleType>
                      </xs:attribute>
                      <xs:attribute name="da_dan16" use="optional">
                        <xs:annotation>
                          <xs:documentation>Daň podle § 16 zákona činí 15 % ze základu daně uvedeného na ř. 56.</xs:documentation>
                        </xs:annotation>
                        <xs:simpleType>
                          <xs:restriction base="xs:decimal">
                            <xs:totalDigits value="14"/>
                            <xs:fractionDigits value="0"/>
                          </xs:restriction>
                        </xs:simpleType>
                      </xs:attribute>
                      <xs:attribute name="kc_zdzaokr" use="optional">
                        <xs:annotation>
                          <xs:documentation>Uveďte základ daně z ř. 55 zaokrouhlený na celá sta Kč dolů (např. 93 235 Kč zaokrouhleno na 93 200 Kč) podle § 16 zákona.</xs:documentation>
                        </xs:annotation>
                        <xs:simpleType>
                          <xs:restriction base="xs:decimal">
                            <xs:totalDigits value="14"/>
                            <xs:fractionDigits value="0"/>
                          </xs:restriction>
                        </xs:simpleType>
                      </xs:attribute>
                      <xs:attribute name="kc_op15_8" use="optional">
                        <xs:annotation>
                          <xs:documentation>od 2014&lt;br&gt;Uveďte uplatňovanou hodnotu bezúplatného plnění (daru), který jste poskytl (poskytla) podle § 15 odst. 1 zákona. Úhrnná hodnota bezúplatných plnění (darů) ve zdaňovacím období musí přesáhnout 2 % ze základu daně ř. 42 anebo činit alespoň 1 000 Kč. V úhrnu lze odečíst nejvýše 15 % ze základu daně ř. 42.&lt;br&gt;&amp;nbsp&lt;br&gt;2013&lt;br&gt;Uveďte uplatňovanou hodnotu darů, které jste poskytl (poskytla) podle § 15 odst. 1 zákona. Úhrnná hodnota daru (darů) ve zdaňovacím období musí přesáhnout 2 % ze základu daně ř. 42 anebo činit alespoň 1 000 Kč. V úhrnu lze odečíst nejvýše 10 % ze základu daně ř. 42.</xs:documentation>
                        </xs:annotation>
                        <xs:simpleType>
                          <xs:restriction base="xs:decimal">
                            <xs:totalDigits value="14"/>
                            <xs:fractionDigits value="0"/>
                          </xs:restriction>
                        </xs:simpleType>
                      </xs:attribute>
                      <xs:attribute name="kc_op15_12" use="optional">
                        <xs:annotation>
                          <xs:documentation>od 2017&lt;br&gt;Uveďte uplatňovanou výši plateb příspěvků, které jste zaplatil (zaplatila) na své penzijní připojištění se státním příspěvkem nebo na doplňkové penzijní spoření, uvedenou v potvrzení penzijní společnosti na zdaňovací období 2017 nebo uplatňovanou výši plateb příspěvků, kterou jste zaplatil (zaplatila) na penzijní pojištění, uvedenou v potvrzení instituce penzijního pojištění o zaplacených příspěvcích na penzijní pojištění na zdaňovací období 2017. Uplatnit lze částku měsíčních příspěvků zaplacených na Vaše penzijní připojištění se státním příspěvkem nebo doplňkové penzijní spoření, která v jednotlivých kalendářních měsících zdaňovacího období přesáhla výši, ke které náleží maximální státní příspěvek. Maximální částka, kterou lze takto odečíst za zdaňovací období 2017, celkem činí 24 000 Kč.&lt;br&gt;&amp;nbsp&lt;br&gt;2013-2016&lt;br&gt;Uveďte uplatňovanou výši plateb příspěvků, které jste zaplatil (zaplatila) na své penzijní připojištění se státním příspěvkem, uvedenou v potvrzení penzijního fondu nebo penzijní společnosti o zaplacených příspěvcích na penzijní připojištění se státním příspěvkem na zdaňovací období 2016, resp. 2015, 2014, 2013 sníženou o 12 000 Kč nebo na penzijní pojištění, uvedenou v potvrzení instituce penzijního pojištění o zaplacených příspěvcích na penzijní pojištění nebo na doplňkové penzijní spoření uvedenou na potvrzení od penzijní společnosti sníženou o 12 000 Kč. Maximální částka, kterou lze takto odečíst za zdaňovací období 2016, resp. 2015, 2014, 2013, celkem činí 12 000 Kč.</xs:documentation>
                        </xs:annotation>
                        <xs:simpleType>
                          <xs:restriction base="xs:decimal">
                            <xs:totalDigits value="14"/>
                            <xs:fractionDigits value="0"/>
                          </xs:restriction>
                        </xs:simpleType>
                      </xs:attribute>
                      <xs:attribute name="kc_podvzdel" use="optional">
                        <xs:annotation>
                          <xs:documentation>Položka obsahuje kritickou kontrolu: vyplňuje od ZO 2014.</xs:documentation>
                        </xs:annotation>
                        <xs:simpleType>
                          <xs:restriction base="xs:decimal">
                            <xs:totalDigits value="14"/>
                            <xs:fractionDigits value="0"/>
                          </xs:restriction>
                        </xs:simpleType>
                      </xs:attribute>
                      <xs:attribute name="m_uroky" use="optional">
                        <xs:annotation>
                          <xs:documentation>Uveďte počet měsíců placení úroků.</xs:documentation>
                        </xs:annotation>
                        <xs:simpleType>
                          <xs:restriction base="xs:decimal">
                            <xs:totalDigits value="2"/>
                            <xs:fractionDigits value="0"/>
                          </xs:restriction>
                        </xs:simpleType>
                      </xs:attribute>
                    </xs:complexType>
                  </xs:element>
                  <xs:element maxOccurs="99" minOccurs="0" name="VetaA">
                    <xs:complexType>
                      <xs:attribute name="vyzdite_r_cislo" use="optional">
                        <xs:annotation>
                          <xs:documentation>Položka od ZO 2015 obsahuje kritické kontroly: rodné číslo vyživovaného dítěte musí být platné, RČ vyživovaného dítěte musí být odlišné od RČ poplatníka DAP, rodné číslo nebo datum narození musí být vyplněno.</xs:documentation>
                        </xs:annotation>
                        <xs:simpleType>
                          <xs:restriction base="xs:string">
                            <xs:pattern value="[0-9]{1,10}"/>
                          </xs:restriction>
                        </xs:simpleType>
                      </xs:attribute>
                      <xs:attribute name="vyzdite_ztpp3" use="optional">
                        <xs:annotation>
                          <xs:documentation>Vyplňte počet kalendářních měsíců, po které uplatňujete daňové zvýhodnění za 3. a další dítě se ZTP/P. Uveďte i vyživované děti, u kterých neuplatňujete daňové zvýhodnění tak, že do sloupce vyplníte nulu.&lt;br&gt;Položka obsahuje kritické kontroly: vyplňuje se od ZO 2015, musí být vyplněn alespoň jeden údaj o počtu uplatňovaných měsíců.</xs:documentation>
                        </xs:annotation>
                        <xs:simpleType>
                          <xs:restriction base="xs:decimal">
                            <xs:totalDigits value="2"/>
                            <xs:fractionDigits value="0"/>
                          </xs:restriction>
                        </xs:simpleType>
                      </xs:attribute>
                      <xs:attribute name="vyzdite_d_nar" type="dateInMultiFormat" use="optional">
                        <xs:annotation>
                          <xs:documentation>Položka obsahuje kritické kontroly: rodné číslo nebo datum narození musí být vyplněno, vyplňuje se od ZO 2015.</xs:documentation>
                        </xs:annotation>
                      </xs:attribute>
                      <xs:attribute name="vyzdite_pocmes3" use="optional">
                        <xs:annotation>
                          <xs:documentation>Vyplňte počet kalendářních měsíců, po které uplatňujete daňové zvýhodnění za 3. a další dítě bez ZTP/P. Uveďte i vyživované děti, u kterých neuplatňujete daňové zvýhodnění tak, že do sloupce vyplníte nulu.&lt;br /&gt;Položka obsahuje kritickou kontrolu: vyplňuje se od ZO 2015.</xs:documentation>
                        </xs:annotation>
                        <xs:simpleType>
                          <xs:restriction base="xs:decimal">
                            <xs:totalDigits value="2"/>
                            <xs:fractionDigits value="0"/>
                          </xs:restriction>
                        </xs:simpleType>
                      </xs:attribute>
                      <xs:attribute name="vyzdite_ztpp" use="optional">
                        <xs:annotation>
                          <xs:documentation>od 2015&lt;br&gt;Vyplňte počet kalendářních měsíců, po které uplatňujete daňové zvýhodnění za 1. dítě se ZTP/P. Uveďte i vyživované děti, u kterých neuplatňujete daňové zvýhodnění tak, že do sloupce vyplníte nulu.&lt;br&gt;&amp;nbsp&lt;br&gt;2013-2014&lt;br&gt; Vyplňte počet kalendářních měsíců, po které uplatňujete daňové zvýhodnění.</xs:documentation>
                        </xs:annotation>
                        <xs:simpleType>
                          <xs:restriction base="xs:decimal">
                            <xs:totalDigits value="2"/>
                            <xs:fractionDigits value="0"/>
                          </xs:restriction>
                        </xs:simpleType>
                      </xs:attribute>
                      <xs:attribute name="vyzdite_ztpp2" use="optional">
                        <xs:annotation>
                          <xs:documentation>Vyplňte počet kalendářních měsíců, po které uplatňujete daňové zvýhodnění za 2. dítě se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2" use="optional">
                        <xs:annotation>
                          <xs:documentation>Vyplňte počet kalendářních měsíců, po které uplatňujete daňové zvýhodnění za 2. dítě bez ZTP/P. Uveďte i vyživované děti, u kterých neuplatňujete daňové zvýhodnění tak, že do sloupce vyplníte nulu.&lt;br&gt;Položka obsahuje kritickou kontrolu: vyplňuje se od ZO 2015.</xs:documentation>
                        </xs:annotation>
                        <xs:simpleType>
                          <xs:restriction base="xs:decimal">
                            <xs:totalDigits value="2"/>
                            <xs:fractionDigits value="0"/>
                          </xs:restriction>
                        </xs:simpleType>
                      </xs:attribute>
                      <xs:attribute name="vyzdite_pocmes" use="optional">
                        <xs:annotation>
                          <xs:documentation>od 2015&lt;br&gt;Vyplňte počet kalendářních měsíců, po které uplatňujete daňové zvýhodnění za 1. dítě bez ZTP/P. Uveďte i vyživované děti, u kterých neuplatňujete daňové zvýhodnění tak, že do sloupce vyplníte nulu.&lt;br&gt;&amp;nbsp&lt;br&gt;2013-2014&lt;br&gt;Vyplňte počet kalendářních měsíců, po které uplatňujete daňové zvýhodnění.</xs:documentation>
                        </xs:annotation>
                        <xs:simpleType>
                          <xs:restriction base="xs:decimal">
                            <xs:totalDigits value="2"/>
                            <xs:fractionDigits value="0"/>
                          </xs:restriction>
                        </xs:simpleType>
                      </xs:attribute>
                      <xs:attribute name="vyzdite_prijmeni" use="optional">
                        <xs:annotation>
                          <xs:documentation>Položka obsahuje od ZO 2015 kritickou kontrolu: příjmení dítěte musí být vyplněno.</xs:documentation>
                        </xs:annotation>
                        <xs:simpleType>
                          <xs:restriction base="xs:string">
                            <xs:minLength value="0"/>
                            <xs:maxLength value="36"/>
                          </xs:restriction>
                        </xs:simpleType>
                      </xs:attribute>
                      <xs:attribute name="vyzdite_jmeno" use="optional">
                        <xs:annotation>
                          <xs:documentation>Položka obsahuje od ZO 2015 kritickou kontrolu: jméno dítěte musí být vyplněno.</xs:documentation>
                        </xs:annotation>
                        <xs:simpleType>
                          <xs:restriction base="xs:string">
                            <xs:minLength value="0"/>
                            <xs:maxLength value="36"/>
                          </xs:restriction>
                        </xs:simpleType>
                      </xs:attribute>
                    </xs:complexType>
                  </xs:element>
                  <xs:element maxOccurs="1" minOccurs="0" name="VetaB">
                    <xs:complexType>
                      <xs:attribute name="potv_dazvyh" use="optional">
                        <xs:annotation>
                          <xs:documentation>Položka obsahuje kritickou kontrolu: vyplňuje se od ZO 2015.</xs:documentation>
                        </xs:annotation>
                        <xs:simpleType>
                          <xs:restriction base="xs:decimal">
                            <xs:totalDigits value="2"/>
                            <xs:fractionDigits value="0"/>
                          </xs:restriction>
                        </xs:simpleType>
                      </xs:attribute>
                      <xs:attribute name="vklad_ku" use="optional">
                        <xs:annotation>
                          <xs:documentation>Položka obsahuje kritickou kontrolu: vyplňuje od ZO 2014.</xs:documentation>
                        </xs:annotation>
                        <xs:simpleType>
                          <xs:restriction base="xs:decimal">
                            <xs:totalDigits value="2"/>
                            <xs:fractionDigits value="0"/>
                          </xs:restriction>
                        </xs:simpleType>
                      </xs:attribute>
                      <xs:attribute name="pojpri" use="optional">
                        <xs:annotation>
                          <xs:documentation>Položka obsahuje kritickou kontrolu: nevyplňuje se od ZO 2016.</xs:documentation>
                        </xs:annotation>
                        <xs:simpleType>
                          <xs:restriction base="xs:decimal">
                            <xs:totalDigits value="2"/>
                            <xs:fractionDigits value="0"/>
                          </xs:restriction>
                        </xs:simpleType>
                      </xs:attribute>
                      <xs:attribute name="potv_zivpoj" use="optional">
                        <xs:annotation>
                          <xs:documentation>Uveďte počet listů dané přílohy.</xs:documentation>
                        </xs:annotation>
                        <xs:simpleType>
                          <xs:restriction base="xs:decimal">
                            <xs:totalDigits value="2"/>
                            <xs:fractionDigits value="0"/>
                          </xs:restriction>
                        </xs:simpleType>
                      </xs:attribute>
                      <xs:attribute name="potv_36" use="optional">
                        <xs:annotation>
                          <xs:documentation>Položka obsahuje kritickou kontrolu: vyplňuje se od ZO 2014.</xs:documentation>
                        </xs:annotation>
                        <xs:simpleType>
                          <xs:restriction base="xs:decimal">
                            <xs:totalDigits value="2"/>
                            <xs:fractionDigits value="0"/>
                          </xs:restriction>
                        </xs:simpleType>
                      </xs:attribute>
                      <xs:attribute name="potv_dalsivzd" use="optional">
                        <xs:annotation>
                          <xs:documentation>Uveďte počet listů dané přílohy.</xs:documentation>
                        </xs:annotation>
                        <xs:simpleType>
                          <xs:restriction base="xs:decimal">
                            <xs:totalDigits value="2"/>
                            <xs:fractionDigits value="0"/>
                          </xs:restriction>
                        </xs:simpleType>
                      </xs:attribute>
                      <xs:attribute name="doklad_dar" use="optional">
                        <xs:annotation>
                          <xs:documentation>Uveďte počet listů dané přílohy.</xs:documentation>
                        </xs:annotation>
                        <xs:simpleType>
                          <xs:restriction base="xs:decimal">
                            <xs:totalDigits value="2"/>
                            <xs:fractionDigits value="0"/>
                          </xs:restriction>
                        </xs:simpleType>
                      </xs:attribute>
                      <xs:attribute name="potv_uver" use="optional">
                        <xs:annotation>
                          <xs:documentation>Uveďte počet listů dané přílohy.</xs:documentation>
                        </xs:annotation>
                        <xs:simpleType>
                          <xs:restriction base="xs:decimal">
                            <xs:totalDigits value="2"/>
                            <xs:fractionDigits value="0"/>
                          </xs:restriction>
                        </xs:simpleType>
                      </xs:attribute>
                      <xs:attribute name="potv_penpri" use="optional">
                        <xs:annotation>
                          <xs:documentation>Uveďte počet listů dané přílohy.</xs:documentation>
                        </xs:annotation>
                        <xs:simpleType>
                          <xs:restriction base="xs:decimal">
                            <xs:totalDigits value="2"/>
                            <xs:fractionDigits value="0"/>
                          </xs:restriction>
                        </xs:simpleType>
                      </xs:attribute>
                      <xs:attribute name="priloha1" use="optional">
                        <xs:annotation>
                          <xs:documentation>Uveďte počet listů dané přílohy.&lt;br /&gt;Položka obsahuje kritickou kontrolu: pokud je vyplněna hodnota kc_zd7 věty O, musí být naplněny položky věty T pro Přílohu č. 1 a položka priloha1 musí být naplněna hodnotou 1.</xs:documentation>
                        </xs:annotation>
                        <xs:simpleType>
                          <xs:restriction base="xs:string">
                            <xs:minLength value="0"/>
                            <xs:maxLength value="1"/>
                          </xs:restriction>
                        </xs:simpleType>
                      </xs:attribute>
                      <xs:attribute name="priloha2" use="optional">
                        <xs:annotation>
                          <xs:documentation>Uveďte počet listů dané přílohy.&lt;br /&gt;Položka obsahuje kritickou kontrolu: pokud jsou vyplněny hodnoty kc_zd9 nebo kc_zd10 věty O, musí být naplněny položky věty V pro Přílohu č. 2 a položka priloha2 musí být naplněna hodnotou 1.</xs:documentation>
                        </xs:annotation>
                        <xs:simpleType>
                          <xs:restriction base="xs:string">
                            <xs:minLength value="0"/>
                            <xs:maxLength value="1"/>
                          </xs:restriction>
                        </xs:simpleType>
                      </xs:attribute>
                      <xs:attribute name="duvody_dodap" use="optional">
                        <xs:simpleType>
                          <xs:restriction base="xs:decimal">
                            <xs:totalDigits value="2"/>
                            <xs:fractionDigits value="0"/>
                          </xs:restriction>
                        </xs:simpleType>
                      </xs:attribute>
                      <xs:attribute name="pril_ztraty" use="optional">
                        <xs:annotation>
                          <xs:documentation>Uveďte počet listů dané přílohy.</xs:documentation>
                        </xs:annotation>
                        <xs:simpleType>
                          <xs:restriction base="xs:decimal">
                            <xs:totalDigits value="2"/>
                            <xs:fractionDigits value="0"/>
                          </xs:restriction>
                        </xs:simpleType>
                      </xs:attribute>
                      <xs:attribute name="pril3_samlist" use="optional">
                        <xs:annotation>
                          <xs:documentation>Uveďte počet listů dané přílohy.</xs:documentation>
                        </xs:annotation>
                        <xs:simpleType>
                          <xs:restriction base="xs:decimal">
                            <xs:totalDigits value="2"/>
                            <xs:fractionDigits value="0"/>
                          </xs:restriction>
                        </xs:simpleType>
                      </xs:attribute>
                      <xs:attribute name="potv_ms" use="optional">
                        <xs:annotation>
                          <xs:documentation>Položka obsahuje kritickou kontrolu: vyplňuje se od ZO 2014.</xs:documentation>
                        </xs:annotation>
                        <xs:simpleType>
                          <xs:restriction base="xs:decimal">
                            <xs:totalDigits value="2"/>
                            <xs:fractionDigits value="0"/>
                          </xs:restriction>
                        </xs:simpleType>
                      </xs:attribute>
                      <xs:attribute name="potv_zam" use="optional">
                        <xs:annotation>
                          <xs:documentation>Uveďte počet listů dané přílohy.</xs:documentation>
                        </xs:annotation>
                        <xs:simpleType>
                          <xs:restriction base="xs:decimal">
                            <xs:totalDigits value="2"/>
                            <xs:fractionDigits value="0"/>
                          </xs:restriction>
                        </xs:simpleType>
                      </xs:attribute>
                      <xs:attribute name="dal_prilohy" use="optional">
                        <xs:annotation>
                          <xs:documentation>Uveďte počet listů ostatních příloh.</xs:documentation>
                        </xs:annotation>
                        <xs:simpleType>
                          <xs:restriction base="xs:decimal">
                            <xs:totalDigits value="2"/>
                            <xs:fractionDigits value="0"/>
                          </xs:restriction>
                        </xs:simpleType>
                      </xs:attribute>
                      <xs:attribute name="priloh_celk" use="optional">
                        <xs:annotation>
                          <xs:documentation>Uveďte celkový počet všech příloh.</xs:documentation>
                        </xs:annotation>
                        <xs:simpleType>
                          <xs:restriction base="xs:decimal">
                            <xs:totalDigits value="2"/>
                            <xs:fractionDigits value="0"/>
                          </xs:restriction>
                        </xs:simpleType>
                      </xs:attribute>
                      <xs:attribute name="potv_zahrsd" use="optional">
                        <xs:annotation>
                          <xs:documentation>Položka obsahuje kritickou kontrolu: vyplňuje se od ZO 2014.</xs:documentation>
                        </xs:annotation>
                        <xs:simpleType>
                          <xs:restriction base="xs:decimal">
                            <xs:totalDigits value="2"/>
                            <xs:fractionDigits value="0"/>
                          </xs:restriction>
                        </xs:simpleType>
                      </xs:attribute>
                      <xs:attribute name="potv_povod" use="optional">
                        <xs:annotation>
                          <xs:documentation>Položka obsahuje kritickou kontrolu: vyplňuje se pouze za ZO 2013.</xs:documentation>
                        </xs:annotation>
                        <xs:simpleType>
                          <xs:restriction base="xs:decimal">
                            <xs:totalDigits value="2"/>
                            <xs:fractionDigits value="0"/>
                          </xs:restriction>
                        </xs:simpleType>
                      </xs:attribute>
                      <xs:attribute name="pril_poduv" use="optional">
                        <xs:annotation>
                          <xs:documentation>Uveďte počet listů dané přílohy.</xs:documentation>
                        </xs:annotation>
                        <xs:simpleType>
                          <xs:restriction base="xs:decimal">
                            <xs:totalDigits value="2"/>
                            <xs:fractionDigits value="0"/>
                          </xs:restriction>
                        </xs:simpleType>
                      </xs:attribute>
                      <xs:attribute name="seznam" use="optional">
                        <xs:annotation>
                          <xs:documentation>Uveďte počet listů dané přílohy.</xs:documentation>
                        </xs:annotation>
                        <xs:simpleType>
                          <xs:restriction base="xs:decimal">
                            <xs:totalDigits value="2"/>
                            <xs:fractionDigits value="0"/>
                          </xs:restriction>
                        </xs:simpleType>
                      </xs:attribute>
                    </xs:complexType>
                  </xs:element>
                  <xs:element maxOccurs="1" minOccurs="0" name="VetaT">
                    <xs:complexType>
                      <xs:attribute name="celk_pr_prij7" use="optional">
                        <xs:simpleType>
                          <xs:restriction base="xs:decimal">
                            <xs:totalDigits value="14"/>
                            <xs:fractionDigits value="0"/>
                          </xs:restriction>
                        </xs:simpleType>
                      </xs:attribute>
                      <xs:attribute name="kc_pod_vaso" use="optional">
                        <xs:annotation>
                          <xs:documentation>Uveďte část příjmů nebo výsledku hospodaření před zdaněním (zisk), která připadla na Vás jako na spolupracující osobu podle § 13 zákona (2014: nebo na člena rodiny zúčastněného na provozu rodinného závodu).</xs:documentation>
                        </xs:annotation>
                        <xs:simpleType>
                          <xs:restriction base="xs:decimal">
                            <xs:totalDigits value="14"/>
                            <xs:fractionDigits value="0"/>
                          </xs:restriction>
                        </xs:simpleType>
                      </xs:attribute>
                      <xs:attribute name="c_nace"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kc_zd7vyn" use="optional">
                        <xs:annotation>
                          <xs:documentation>Položka obsahuje kritickou kontrolu: vyplňuje se od ZO 2014. </xs:documentation>
                        </xs:annotation>
                        <xs:simpleType>
                          <xs:restriction base="xs:decimal">
                            <xs:totalDigits value="14"/>
                            <xs:fractionDigits value="0"/>
                          </xs:restriction>
                        </xs:simpleType>
                      </xs:attribute>
                      <xs:attribute name="kc_vyd_so" use="optional">
                        <xs:annotation>
                          <xs:documentation>Uveďte část výdajů nebo výsledku hospodaření (ztráta), &lt;strong&gt;kterou rozdělujete&lt;/strong&gt; na spolupracující &lt;strong&gt;osobu&lt;/strong&gt; (osoby) podle § 13 zákona (2014: anebo na člena rodiny zúčastněného na provozu rodinného závodu).&lt;br&gt;Údaje o osobách (včetně členů rodiny (2014: nebo členech rodiny) zúčastněných na provozu rodinného závodu),(2013: Údaje o osobách) na které rozdělujete podíl na společných příjmech a výdajích připadající na spolupracující osobu (osoby) nebo podíl na výsledku hospodaření (zisk, ztráta), uveďte na str. (2) do oddílu G.</xs:documentation>
                        </xs:annotation>
                        <xs:simpleType>
                          <xs:restriction base="xs:decimal">
                            <xs:totalDigits value="14"/>
                            <xs:fractionDigits value="0"/>
                          </xs:restriction>
                        </xs:simpleType>
                      </xs:attribute>
                      <xs:attribute name="kc_uhsniz" use="optional">
                        <xs:annotation>
                          <xs:documentation>Uveďte úhrn částek snižujících výsledek hospodaření nebo rozdíl mezi příjmy a výdaji. Podkladem jsou částky uvedené v odd. E na str. (2). Mezi těmito částkami mohou být např.: částky rozdílu mezi účetními a daňovými odpisy, částky úprav při ukončení nebo přerušení činnosti a při změně způsobu uplatňování výdajů. Vedete-li účetnictví, vyčleňte na tento řádek příjmy z kapitálového majetku zahrnuté ve výsledku hospodaření nebo podle § 5 odst. 11 zákona.&lt;br&gt; Příjmy z kapitálového majetku jsou dílčím základem daně podle § 8 zákona – uveďte na &lt;strong&gt;ř. 38, 2. oddílu základní části DAP na str. 2.&lt;/strong&gt;</xs:documentation>
                        </xs:annotation>
                        <xs:simpleType>
                          <xs:restriction base="xs:decimal">
                            <xs:totalDigits value="14"/>
                            <xs:fractionDigits value="0"/>
                          </xs:restriction>
                        </xs:simpleType>
                      </xs:attribute>
                      <xs:attribute name="pr_vyd7" use="optional">
                        <xs:simpleType>
                          <xs:restriction base="xs:decimal">
                            <xs:totalDigits value="14"/>
                            <xs:fractionDigits value="0"/>
                          </xs:restriction>
                        </xs:simpleType>
                      </xs:attribute>
                      <xs:attribute name="kc_pod_komp" use="optional">
                        <xs:annotation>
                          <xs:documentation>Jako společník veřejné obchodní společnosti nebo komplementář komanditní společnosti zde uveďte část základu daně (§ 7 zákona) veřejné obchodní společnosti nebo komanditní společnosti stanoveného podle § 23 - § 33 zákona. Tato část základu daně se stanoví ve stejném poměru, jako je rozdělován zisk podle společenské smlouvy, jinak rovným dílem. Vykáže-li veřejná obchodní společnost nebo komanditní společnost ztrátu, rozděluje se část této ztráty stejně jako základ daně. V tomto případě označte svůj podíl znaménkem mínus (–) tzn. v konečném součtu na ř. 113 částku odečtete.</xs:documentation>
                        </xs:annotation>
                        <xs:simpleType>
                          <xs:restriction base="xs:decimal">
                            <xs:totalDigits value="14"/>
                            <xs:fractionDigits value="0"/>
                          </xs:restriction>
                        </xs:simpleType>
                      </xs:attribute>
                      <xs:attribute name="kc_cisobr" use="optional">
                        <xs:annotation>
                          <xs:documentation>Vedete-li účetnictví, uveďte roční úhrn čistého obratu podle § 20 odst. 1 písm. a) bod 2 zákona č. 563/1991 Sb., o účetnictví, ve znění pozdějších předpisů.</xs:documentation>
                        </xs:annotation>
                        <xs:simpleType>
                          <xs:restriction base="xs:decimal">
                            <xs:totalDigits value="14"/>
                            <xs:fractionDigits value="0"/>
                          </xs:restriction>
                        </xs:simpleType>
                      </xs:attribute>
                      <xs:attribute name="m_podnik" use="optional">
                        <xs:annotation>
                          <xs:documentation>Uveďte počet měsíců, ve kterých jste provozoval činnost podle § 7 odst.1 písm. a), b) nebo c) zákona.</xs:documentation>
                        </xs:annotation>
                        <xs:simpleType>
                          <xs:restriction base="xs:decimal">
                            <xs:totalDigits value="2"/>
                            <xs:fractionDigits value="0"/>
                          </xs:restriction>
                        </xs:simpleType>
                      </xs:attribute>
                      <xs:attribute name="pr_prij7" use="optional">
                        <xs:simpleType>
                          <xs:restriction base="xs:decimal">
                            <xs:totalDigits value="14"/>
                            <xs:fractionDigits value="0"/>
                          </xs:restriction>
                        </xs:simpleType>
                      </xs:attribute>
                      <xs:attribute name="d_precin" type="dateInMultiFormat" use="optional">
                        <xs:annotation>
                          <xs:documentation>Uveďte datum přerušení činnosti.</xs:documentation>
                        </xs:annotation>
                      </xs:attribute>
                      <xs:attribute name="d_ukoncin" type="dateInMultiFormat" use="optional">
                        <xs:annotation>
                          <xs:documentation>Uveďte datum skutečného ukončení činnosti.</xs:documentation>
                        </xs:annotation>
                      </xs:attribute>
                      <xs:attribute name="kc_odpnem" use="optional">
                        <xs:annotation>
                          <xs:documentation>Uveďte z celkově uplatněných odpisů z obchodního majetku poplatníka odpisy nemovitých věcí (2013: nemovitostí).</xs:documentation>
                        </xs:annotation>
                        <xs:simpleType>
                          <xs:restriction base="xs:decimal">
                            <xs:totalDigits value="14"/>
                            <xs:fractionDigits value="0"/>
                          </xs:restriction>
                        </xs:simpleType>
                      </xs:attribute>
                      <xs:attribute name="d_obnocin" type="dateInMultiFormat" use="optional">
                        <xs:annotation>
                          <xs:documentation>Uveďte datum obnovení činnosti.</xs:documentation>
                        </xs:annotation>
                      </xs:attribute>
                      <xs:attribute name="celk_pr_vyd7" use="optional">
                        <xs:simpleType>
                          <xs:restriction base="xs:decimal">
                            <xs:totalDigits value="14"/>
                            <xs:fractionDigits value="0"/>
                          </xs:restriction>
                        </xs:simpleType>
                      </xs:attribute>
                      <xs:attribute name="kc_odpcelk" use="optional">
                        <xs:annotation>
                          <xs:documentation>Uveďte uplatněné odpisy z obchodního majetku Vámi evidovaného.</xs:documentation>
                        </xs:annotation>
                        <xs:simpleType>
                          <xs:restriction base="xs:decimal">
                            <xs:totalDigits value="14"/>
                            <xs:fractionDigits value="0"/>
                          </xs:restriction>
                        </xs:simpleType>
                      </xs:attribute>
                      <xs:attribute name="pr_sazba"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 </xs:documentation>
                        </xs:annotation>
                        <xs:simpleType>
                          <xs:restriction base="xs:decimal">
                            <xs:totalDigits value="3"/>
                            <xs:fractionDigits value="0"/>
                          </xs:restriction>
                        </xs:simpleType>
                      </xs:attribute>
                      <xs:attribute name="kc_vyd7" use="optional">
                        <xs:annotation>
                          <xs:documentation>od 2015&lt;br&gt;Do řádku vyplňte úhrn výdajů souvisejících s příjmy ze samostatné činnosti (§ 7 zákona) ovlivňujících základ daně z příjmů fyzických osob podle zákona k 31. 12. 2017 (2016: 31.12.2016, 2015: 31.12.2015).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 Pokud jste ve zdaňovacím období 2016 (2016: 2015, 2015: 2014) uplatnil výdaje v prokázané výši a ve zdaňovacím období 2017, resp. 2016, 2015 chcete uplatnit výdaje procentem z příjmů, upravte výsledek hospodaření nebo rozdíl mezi příjmy a výdaji za zdaňovací období 2016 (2016: 2015, 2015: 2014) podle § 23 odst. 8 zákona prostřednictvím dodatečného daňového přiznání za zdaňovací období roku 2016 (2016: 2015, 2015: 2014).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zákona.&lt;br&gt;&amp;nbsp&lt;br&gt;2014&lt;br&gt;Do řádku vyplňte úhrn výdajů souvisejících s příjmy ze samostatné činnosti (§ 7 zákona) ovlivňujících základ daně z příjmů fyzických osob podle zákona k 31. 12. 2014. Vedete-li daňovou evidenci, jsou podkladem o výdajích údaje z této evidence. Výdaje uplatníte u všech druhů samostatných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2014 si můžete uplatnit výdaje ve výši 80 % z příjmů ze zemědělské výroby, lesního a vodního hospodářství (zákon č. 252/1997 Sb.) a z příjmů ze živností řemeslných, 60 % z příjmů z živnostenského podnikání s výjimkou příjmů ze živností řemeslných, 40 % v ostatních případech uvedených v ustanovení § 7 odst. 7 písm. c) zákona nejvýše lze však uplatnit výdaje do částky 800 000 Kč (např. autorské honoráře) a 30 % z příjmů z nájmu majetku zařazeného v obchodním majetku nejvýše lze však uplatnit výdaje do částky 600 000 Kč. Pokud jste ve zdaňovacím období 2013 uplatnil výdaje v prokázané výši a ve zdaňovacím období 2014 chcete uplatnit výdaje procentem z příjmů, upravte výsledek hospodaření nebo rozdíl mezi příjmy a výdaji za zdaňovací období 2013 podle § 23 odst. 8 zákona prostřednictvím dodatečného daňového přiznání za zdaňovací období roku 2013. Ve výdajích uvedených na tomto řádku bude i Váš podíl na výdajích společníka společnosti, která není právnickou osobou, ve výši stanovené smlouvou o společnosti nebo rovným dílem. Na tomto ř. 102 neuvádějte Váš podíl na výdajích osoby samostatně činné podle § 13 zákona (nebo podíl člena rodiny zúčastněného na provozu rodinného závodu),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zákona.&lt;br&gt;&amp;nbsp&lt;br&gt;2013&lt;br&gt;Do řádku vyplňte úhrn výdajů souvisejících s příjmy z podnikání a z jiné samostatné výdělečné činnosti (§ 7 zákona) ovlivňujících základ daně z příjmů fyzických osob podle zákona k 31. 12. 2013. Vedete-li daňovou evidenci, jsou podkladem o výdajích údaje z této evidence. Výdaje uplatníte u všech druhů podnikání a jiných samostatných výdělečných činností podle § 7 zákona, které tvoří jeden dílčí základ daně, stejně, tzn. ve výši prokazatelně vynaložených výdajů podle § 24 zákona. Neuplatňujete-li výdaje v prokázané výši, uveďte výdaje uplatněné procentem z příjmů (§ 7 odst. 7 zákona) z úhrnu zdanitelných příjmů evidovaných v záznamu o příjmech podle § 7 odst. 8 zákona. Pro výpočet výdajů uváděných na tomto řádku použijte tabulku „B. Druh činnosti“. Pro zdaňovací období 2013 si můžete uplatnit výdaje ve výši 80 % z příjmů ze zemědělské výroby, lesního a vodního hospodářství (zákon č. 252/1997 Sb.) a z příjmů ze živností řemeslných, 60 % z příjmů ze živnosti s výjimkou příjmů ze živností řemeslných, 40 % v ostatních případech uvedených v ustanovení § 7 odst. 7 písm. c) zákona nejvýše lze však uplatnit výdaje do částky 800 000 Kč (např. autorské honoráře) a 30 % z příjmů z pronájmu majetku zařazeného v obchodním majetku nejvýše lze však uplatnit výdaje do částky 600 000 Kč. Pokud jste ve zdaňovacím období 2012 uplatnil výdaje v prokázané výši a ve zdaňovacím období 2013 chcete uplatnit výdaje procentem z příjmů, upravte výsledek hospodaření nebo rozdíl mezi příjmy a výdaji za zdaňovací období 2012 podle § 23 odst. 8 zákona prostřednictvím dodatečného daňového přiznání za zdaňovací období roku 2012. Ve výdajích uvedených na tomto řádku bude i Váš podíl na výdajích účastníka sdružení, které není právnickou osobou, ve výši stanovené smlouvou o sdružení nebo rovným dílem. Na tomto ř. 102 neuvádějte Váš podíl na výdajích osoby samostatně výdělečně činné podle § 13 zákona, který máte jako spolupracující osoba (uveďte na ř. 110), a Váš podíl společníka veřejné obchodní společnosti nebo komplementáře komanditní společnosti na ztrátě, kterou uveďte na ř. 112. Vedete-li účetnictví, vyplňte výsledek hospodaření před zdaněním – ztrátu do ř. 104. Částky uvádějte před úpravou podle § 5 a § 23 zákona.</xs:documentation>
                        </xs:annotation>
                        <xs:simpleType>
                          <xs:restriction base="xs:decimal">
                            <xs:totalDigits value="14"/>
                            <xs:fractionDigits value="0"/>
                          </xs:restriction>
                        </xs:simpleType>
                      </xs:attribute>
                      <xs:attribute name="kc_zd7p" use="optional">
                        <xs:annotation>
                          <xs:documentation>Vypočtěte částku podle pokynů. Rozdíl menší než nula je dílčí ztrátou podle § 7 zákona. Údaj přeneste na &lt;strong&gt;ř. 37, 2. oddílu, základní části DAP na stranu 2.&lt;/strong&gt;</xs:documentation>
                        </xs:annotation>
                        <xs:simpleType>
                          <xs:restriction base="xs:decimal">
                            <xs:totalDigits value="14"/>
                            <xs:fractionDigits value="0"/>
                          </xs:restriction>
                        </xs:simpleType>
                      </xs:attribute>
                      <xs:attribute name="kc_vyd_vaso" use="optional">
                        <xs:annotation>
                          <xs:documentation>Uveďte část výdajů nebo výsledku hospodaření před zdaněním (ztráta), která připadla na Vás jako na spolupracující osobu podle § 13 zákona (2014: nebo jako na člena rodiny zúčastněného na provozu rodinného závodu. Údaje o osobě podnikatele (včetně člena rodiny zúčastněného (2014: nebo členovi rodiny zúčastněnému) na provozu rodinného závodu) (2013: Údaje o osobě podnikatele), která na Vás rozděluje podíl na společných příjmech a výdajích připadající na spolupracující osobu nebo podíl na výsledku hospodaření (zisk, ztráta), uveďte na str. (2) do oddílu H.</xs:documentation>
                        </xs:annotation>
                        <xs:simpleType>
                          <xs:restriction base="xs:decimal">
                            <xs:totalDigits value="14"/>
                            <xs:fractionDigits value="0"/>
                          </xs:restriction>
                        </xs:simpleType>
                      </xs:attribute>
                      <xs:attribute name="sniz_lim7" use="optional">
                        <xs:annotation>
                          <xs:documentation>Uplatňujete-li nižší limit u výdajů stanovených procentem z příjmů (§ 7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c_soust" use="optional">
                        <xs:annotation>
                          <xs:documentation>Uveďte 1, pokud vedete daňovou evidenci nebo 2 pokud vedete účetnictví.&lt;br /&gt;Položka obsahuje kritické kontroly: položka může nabývat hodnot 1 nebo 2; pokud je vyplněna tabulka pro DE, musí položka uc_soust nabývat hodnoty 1; pokud jsou vyplněny vybrané údaje z ÚV a zároveň je řádek č. 203 nevyplněn, musí položka uc_soust nabývat hodnoty 2.</xs:documentation>
                        </xs:annotation>
                        <xs:simpleType>
                          <xs:restriction base="xs:string">
                            <xs:minLength value="0"/>
                            <xs:maxLength value="1"/>
                          </xs:restriction>
                        </xs:simpleType>
                      </xs:attribute>
                      <xs:attribute name="vyd7proc" use="optional">
                        <xs:annotation>
                          <xs:documentation>Uveďte, zdali uplatňujete výdaje procentem z příjmů.&lt;br /&gt;Položka obsahuje kritické kontroly: položka může nabývat pouze hodnot A nebo N, vede-li poplatník účetnictví nebo DE, nelze zároveň uplatnit výdaje procentem z příjmů</xs:documentation>
                        </xs:annotation>
                        <xs:simpleType>
                          <xs:restriction base="xs:string">
                            <xs:minLength value="0"/>
                            <xs:maxLength value="1"/>
                          </xs:restriction>
                        </xs:simpleType>
                      </xs:attribute>
                      <xs:attribute name="kc_hosp_rozd" use="optional">
                        <xs:annotation>
                          <xs:documentation>Uveďte podle údajů v tiskopisu. Poplatníci vedoucí daňovou evidenci a poplatníci, kteří nevedou účetnictví, uvedou rozdíl mezi příjmy a výdaji a poplatníci, kteří vedou účetnictví, uvedou výsledek hospodaření před zdaněním. Údaje jsou uváděny před úpravou podle § 5 a § 23 zákona. V případě, že výdaje přesahují příjmy nebo výsledek hospodaření před zdaněním je ztráta, označte částku znaménkem mínus.</xs:documentation>
                        </xs:annotation>
                        <xs:simpleType>
                          <xs:restriction base="xs:decimal">
                            <xs:totalDigits value="14"/>
                            <xs:fractionDigits value="0"/>
                          </xs:restriction>
                        </xs:simpleType>
                      </xs:attribute>
                      <xs:attribute name="d_zahcin" type="dateInMultiFormat" use="optional">
                        <xs:annotation>
                          <xs:documentation>Uveďte datum skutečného zahájení činnosti.</xs:documentation>
                        </xs:annotation>
                      </xs:attribute>
                      <xs:attribute name="kc_pod_so" use="optional">
                        <xs:annotation>
                          <xs:documentation>Uveďte část příjmů nebo výsledku hospodaření (zisk), &lt;strong&gt;kterou rozdělujete&lt;/strong&gt; na spolupracující &lt;strong&gt;osobu&lt;/strong&gt; (osoby) podle § 13 zákona (2014: anebo na členy rodiny zúčastněné na provozu rodinného závodu).</xs:documentation>
                        </xs:annotation>
                        <xs:simpleType>
                          <xs:restriction base="xs:decimal">
                            <xs:totalDigits value="14"/>
                            <xs:fractionDigits value="0"/>
                          </xs:restriction>
                        </xs:simpleType>
                      </xs:attribute>
                      <xs:attribute name="kc_prij7" use="optional">
                        <xs:annotation>
                          <xs:documentation>od 2015&lt;br&gt;Do řádku vyplňte úhrn příjmů ze samostatné činnosti (§ 7 zákona) ovlivňujících základ daně z příjmů fyzických osob podle zákona k 31. 12. 2017 (2016: 31.12.2016, 2015: 31.12.2015).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zákona.&lt;br&gt;&amp;nbsp&lt;br&gt;2014&lt;br&gt;Do řádku vyplňte úhrn příjmů ze samostatné činnosti (§ 7 zákona) ovlivňujících základ daně z příjmů fyzických osob podle zákona k 31. 12. 2014. Vedete-li daňovou evidenci, jsou podkladem o příjmech údaje z této evidence.&lt;br&gt;Neuplatňujete-li výdaje v prokázané výši, uveďte v tomto řádku úhrn zdanitelných příjmů podle § 7 zákona evidovaných v záznamech o příjmech podle § 7 odst. 8 zákona. V příjmech uvedených na tomto řádku bude i Váš podíl na příjmech společníka společnosti, která není právnickou osobou, ve výši stanovené smlouvou o společnosti nebo rovným dílem.&lt;br&gt;Na tomto ř. 101 neuvádějte Váš podíl na příjmech osoby samostatně činné podle § 13 zákona, který máte jako spolupracující osoba (uveďte na ř. 109), ani příjem, který na Vás připadl jako na člena rodiny zúčastněného na provozu rodinného závodu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zákona.&lt;br&gt;Zahrnete-li příjmy uvedené v § 7 odst. 6 zákona do daňového přiznání, započte se daň sražená z těchto příjmů na Vaši daň (sraženou  daň uveďte na ř. 87a u rezidenta, ř. 87b u nerezidenta &lt;strong&gt;základní části DAP na stranu 3)&lt;/strong&gt;.&lt;br&gt;&amp;nbsp&lt;br&gt;2013&lt;br&gt;Do řádku vyplňte úhrn příjmů z podnikání a z jiné samostatné výdělečné činnosti (§ 7 zákona) ovlivňujících základ daně z příjmů fyzických osob podle zákona k poslednímu dni zdaňovacího období (podle druhu Vaší podnikatelské činnosti se nezahrnují např. i příjmy podle § 8 zákona). Vedete-li daňovou evidenci, jsou podkladem o příjmech údaje z této evidence.&lt;br&gt; Neuplatňujete-li výdaje v prokázané výši, uveďte v tomto řádku úhrn zdanitelných příjmů podle § 7 zákona evidovaných v záznamech o příjmech podle § 7 odst. 8 zákona. V příjmech uvedených na tomto řádku bude i Váš podíl na příjmech účastníka sdružení, které není právnickou osobou, ve výši stanovené smlouvou o sdružení nebo rovným dílem.&lt;br&gt; Na tomto ř. 101 neuvádějte Váš podíl na příjmech osoby samostatně výdělečně činné podle § 13 zákona, který máte jako spolupracující osoba (uveďte na ř. 109), a Váš podíl společníka veřejné obchodní společnosti nebo komplementáře komanditní společnosti na zisku (uveďte na ř. 112). Vedete-li účetnictví, vyplňte výsledek hospodaření před zdaněním – (zisk, ztráta) do ř. 104. Částky uvádějte před úpravou podle § 5 a § 23 zákona.</xs:documentation>
                        </xs:annotation>
                        <xs:simpleType>
                          <xs:restriction base="xs:decimal">
                            <xs:totalDigits value="14"/>
                            <xs:fractionDigits value="0"/>
                          </xs:restriction>
                        </xs:simpleType>
                      </xs:attribute>
                      <xs:attribute name="kc_uhzvys" use="optional">
                        <xs:annotation>
                          <xs:documentation>&lt;b&gt;Uveďte úhrn částek zvyšujících výsledek hospodaření nebo rozdíl&lt;/b&gt; mezi příjmy a výdaji. Podkladem jsou částky uvedené v odd. E na str. (2). Mezi těmito částkami mohou být např.: zvyšující částky při nesplnění podmínek (§ 34 odst. 6 zákona) pro uplatnění částek podle § 34 odst. 3 zákona v platném znění (2013-2014: do 31.12.2004), částky sraženého pojistného neodvedeného do konce měsíce následujícího po uplynutí zdaňovacího období u zaměstnavatelů vedoucích účetnictví, částky úprav při ukončení nebo přerušení činnosti a při změně způsobu uplatňování výdajů, nebo podle § 5 odst. 10 zákona apod.</xs:documentation>
                        </xs:annotation>
                        <xs:simpleType>
                          <xs:restriction base="xs:decimal">
                            <xs:totalDigits value="14"/>
                            <xs:fractionDigits value="0"/>
                          </xs:restriction>
                        </xs:simpleType>
                      </xs:attribute>
                    </xs:complexType>
                  </xs:element>
                  <xs:element maxOccurs="99" minOccurs="0" name="Vetac">
                    <xs:complexType>
                      <xs:attribute name="vydaje7" use="optional">
                        <xs:simpleType>
                          <xs:restriction base="xs:decimal">
                            <xs:totalDigits value="14"/>
                            <xs:fractionDigits value="0"/>
                          </xs:restriction>
                        </xs:simpleType>
                      </xs:attribute>
                      <xs:attribute name="c_nace_dal" use="optional">
                        <xs:annotation>
                          <xs:documentation>Uveďte kód nace.&lt;br /&gt;Pro hodnotu této položky použijte číselník Činností (okec). Z číselníku se vkládá položka c_nace. &lt;br /&gt;Položka obsahuje kritickou kontrolu: musí být vyplněn existující kód nace.&lt;br&gt;
Pro popis číselníku Činnosti klikněte &lt;a href="http://adisepo.mfcr.cz/adis/jepo/epo/ukazka_ciselniku.htm?C=okec"&gt;zde&lt;/a&gt;.</xs:documentation>
                        </xs:annotation>
                        <xs:simpleType>
                          <xs:restriction base="xs:decimal">
                            <xs:totalDigits value="6"/>
                            <xs:fractionDigits value="0"/>
                          </xs:restriction>
                        </xs:simpleType>
                      </xs:attribute>
                      <xs:attribute name="sazba_dal" use="optional">
                        <xs:annotation>
                          <xs:documentation>od 2015&lt;br&gt;Pro zdaňovací období 2017, resp. 2016, 2015, si můžete uplatnit výdaje ve výši 80 % z příjmů ze zemědělské výroby, lesního a vodního hospodářství (zákon č. 252/1997 Sb.) a z příjmů ze živností řemeslných, nejvýše lze však uplatnit výdaje do částky 1 600 000 Kč (2017: (nižší limit 800 000 Kč)), 60 % z příjmů z živnostenského podnikání s výjimkou příjmů ze živností řemeslných, nejvýše lze však uplatnit výdaje do částky 1 200 000 Kč (2017: (nižší limit 600 000 Kč)), 40 % v ostatních případech uvedených v ustanovení § 7 odst. 7 písm. d) zákona nejvýše lze však uplatnit výdaje do částky 800 000 Kč (2017: (nižší limit 400 000 Kč))(např. autorské honoráře) a 30 % z příjmů z nájmu majetku zařazeného v obchodním majetku nejvýše lze však uplatnit výdaje do částky 600 000 Kč (2017: (nižší limit 300 000 Kč)).&lt;br&gt;&amp;nbsp&lt;br&gt;2013-2014&lt;br&gt;Pro zdaňovací období 2014, resp. 2013 si můžete uplatnit výdaje ve výši 80 % z příjmů ze zemědělské výroby, lesního a vodního hospodářství (zákon č. 252/1997 Sb.) a z příjmů ze živností řemeslných, 60 % z příjmů z živnostenského podnikání (2013: ze živnosti) s výjimkou příjmů ze živností řemeslných a 40 % v ostatních případech uvedených v ustanovení § 7 odst. 7 písm. c) zákona nejvýše lze však uplatnit výdaje do částky 800 000 Kč (např. autorské honoráře) a 30 % z příjmu z nájmu (2013: pronájmu) majetku zařazeného v obchodním majetku nejvýše lze však uplatnit výdaje do částky 600 000 Kč.</xs:documentation>
                        </xs:annotation>
                        <xs:simpleType>
                          <xs:restriction base="xs:decimal">
                            <xs:totalDigits value="3"/>
                            <xs:fractionDigits value="0"/>
                          </xs:restriction>
                        </xs:simpleType>
                      </xs:attribute>
                      <xs:attribute name="prijmy7" use="optional">
                        <xs:simpleType>
                          <xs:restriction base="xs:decimal">
                            <xs:totalDigits value="14"/>
                            <xs:fractionDigits value="0"/>
                          </xs:restriction>
                        </xs:simpleType>
                      </xs:attribute>
                    </xs:complexType>
                  </xs:element>
                  <xs:element maxOccurs="1" minOccurs="0" name="VetaU">
                    <xs:complexType>
                      <xs:attribute name="kc_z_dpfmz08" use="optional">
                        <xs:annotation>
                          <xs:documentation>Údaje na ř. 1 až ř. 7 se uvádějí dle § 7b zákona. Na konci zdaňovacího období uveďte stav ostatního majetku podle § 7b zákona.</xs:documentation>
                        </xs:annotation>
                        <xs:simpleType>
                          <xs:restriction base="xs:decimal">
                            <xs:totalDigits value="14"/>
                            <xs:fractionDigits value="0"/>
                          </xs:restriction>
                        </xs:simpleType>
                      </xs:attribute>
                      <xs:attribute name="kc_dpfmz05a" use="optional">
                        <xs:annotation>
                          <xs:documentation>Údaje na ř. 1 až ř. 7 se uvádějí podle § 7b zákona.</xs:documentation>
                        </xs:annotation>
                        <xs:simpleType>
                          <xs:restriction base="xs:decimal">
                            <xs:totalDigits value="14"/>
                            <xs:fractionDigits value="0"/>
                          </xs:restriction>
                        </xs:simpleType>
                      </xs:attribute>
                      <xs:attribute name="kc_z_dpfmz05a" use="optional">
                        <xs:annotation>
                          <xs:documentation>Údaje na ř. 1 až ř. 7 se uvádějí podle § 7b zákona. Na konci zdaňovacího období uveďte stav peněžních prostředků v hotovosti a cenin podle § 7b zákona.</xs:documentation>
                        </xs:annotation>
                        <xs:simpleType>
                          <xs:restriction base="xs:decimal">
                            <xs:totalDigits value="14"/>
                            <xs:fractionDigits value="0"/>
                          </xs:restriction>
                        </xs:simpleType>
                      </xs:attribute>
                      <xs:attribute name="kc_dpfmz06" use="optional">
                        <xs:annotation>
                          <xs:documentation>Údaje na ř. 1 až ř. 7 se uvádějí podle § 7b zákona.</xs:documentation>
                        </xs:annotation>
                        <xs:simpleType>
                          <xs:restriction base="xs:decimal">
                            <xs:totalDigits value="14"/>
                            <xs:fractionDigits value="0"/>
                          </xs:restriction>
                        </xs:simpleType>
                      </xs:attribute>
                      <xs:attribute name="kc_dpfmz10" use="optional">
                        <xs:annotation>
                          <xs:documentation>Údaje na ř. 1 až ř. 7 se uvádějí dle § 7b zákona.</xs:documentation>
                        </xs:annotation>
                        <xs:simpleType>
                          <xs:restriction base="xs:decimal">
                            <xs:totalDigits value="14"/>
                            <xs:fractionDigits value="0"/>
                          </xs:restriction>
                        </xs:simpleType>
                      </xs:attribute>
                      <xs:attribute name="kc_dpfmz18" use="optional">
                        <xs:annotation>
                          <xs:documentation>Údaje o mzdách se přebírají ze mzdové agendy (mzdové list, rekapitulace mezd apod.). Uveďte celkový objem zúčtovaných mezd za zdaňovací období.</xs:documentation>
                        </xs:annotation>
                        <xs:simpleType>
                          <xs:restriction base="xs:decimal">
                            <xs:totalDigits value="14"/>
                            <xs:fractionDigits value="0"/>
                          </xs:restriction>
                        </xs:simpleType>
                      </xs:attribute>
                      <xs:attribute name="kc_dpfmz03" use="optional">
                        <xs:annotation>
                          <xs:documentation>Údaje na ř. 1 až ř. 7 se uvádějí dle § 7b zákona.</xs:documentation>
                        </xs:annotation>
                        <xs:simpleType>
                          <xs:restriction base="xs:decimal">
                            <xs:totalDigits value="14"/>
                            <xs:fractionDigits value="0"/>
                          </xs:restriction>
                        </xs:simpleType>
                      </xs:attribute>
                      <xs:attribute name="kc_dpfmz02" use="optional">
                        <xs:annotation>
                          <xs:documentation>Údaje na ř. 1 až ř. 7 se uvádějí podle § 7b zákona.</xs:documentation>
                        </xs:annotation>
                        <xs:simpleType>
                          <xs:restriction base="xs:decimal">
                            <xs:totalDigits value="14"/>
                            <xs:fractionDigits value="0"/>
                          </xs:restriction>
                        </xs:simpleType>
                      </xs:attribute>
                      <xs:attribute name="kc_z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3" use="optional">
                        <xs:annotation>
                          <xs:documentation>Údaje na ř. 1 až ř. 7 se uvádějí dle § 7b zákona. Na konci zdaňovacího období se uvádí zjištěný skutečný stav zásob k poslednímu dni zdaňovacího období.</xs:documentation>
                        </xs:annotation>
                        <xs:simpleType>
                          <xs:restriction base="xs:decimal">
                            <xs:totalDigits value="14"/>
                            <xs:fractionDigits value="0"/>
                          </xs:restriction>
                        </xs:simpleType>
                      </xs:attribute>
                      <xs:attribute name="kc_dpfmz11" use="optional">
                        <xs:annotation>
                          <xs:documentation>Údaje o rezervách definovaných v zákoně č. 593/1992 Sb., o rezervách pro zjištění základu daně z příjmů, ve znění pozdějších předpisů, se přebírají z karet zákonných rezerv.</xs:documentation>
                        </xs:annotation>
                        <xs:simpleType>
                          <xs:restriction base="xs:decimal">
                            <xs:totalDigits value="14"/>
                            <xs:fractionDigits value="0"/>
                          </xs:restriction>
                        </xs:simpleType>
                      </xs:attribute>
                      <xs:attribute name="kc_z_dpfmz04" use="optional">
                        <xs:annotation>
                          <xs:documentation>Údaje na ř. 1 až ř. 7 se uvádějí dle § 7b zákona. Na konci zdaňovacího období se uvádí zjištěný skutečný stav pohledávek k poslednímu dni zdaňovacího období.</xs:documentation>
                        </xs:annotation>
                        <xs:simpleType>
                          <xs:restriction base="xs:decimal">
                            <xs:totalDigits value="14"/>
                            <xs:fractionDigits value="0"/>
                          </xs:restriction>
                        </xs:simpleType>
                      </xs:attribute>
                      <xs:attribute name="kc_z_dpfmz10" use="optional">
                        <xs:annotation>
                          <xs:documentation>Údaje na ř. 1 až ř. 7 se uvádějí dle § 7b zákona. Na konci zdaňovacího období se uvádí zjištěný skutečný stav dluhů (2013: závazků) k poslednímu dni zdaňovacího období.</xs:documentation>
                        </xs:annotation>
                        <xs:simpleType>
                          <xs:restriction base="xs:decimal">
                            <xs:totalDigits value="14"/>
                            <xs:fractionDigits value="0"/>
                          </xs:restriction>
                        </xs:simpleType>
                      </xs:attribute>
                      <xs:attribute name="kc_dpfmz08" use="optional">
                        <xs:annotation>
                          <xs:documentation>Údaje na ř. 1 až ř. 7 se uvádějí dle § 7b zákona.</xs:documentation>
                        </xs:annotation>
                        <xs:simpleType>
                          <xs:restriction base="xs:decimal">
                            <xs:totalDigits value="14"/>
                            <xs:fractionDigits value="0"/>
                          </xs:restriction>
                        </xs:simpleType>
                      </xs:attribute>
                      <xs:attribute name="kc_dpfmz04" use="optional">
                        <xs:annotation>
                          <xs:documentation>Údaje na ř. 1 až ř. 7 se uvádějí dle § 7b zákona.</xs:documentation>
                        </xs:annotation>
                        <xs:simpleType>
                          <xs:restriction base="xs:decimal">
                            <xs:totalDigits value="14"/>
                            <xs:fractionDigits value="0"/>
                          </xs:restriction>
                        </xs:simpleType>
                      </xs:attribute>
                      <xs:attribute name="kc_z_dpfmz02" use="optional">
                        <xs:annotation>
                          <xs:documentation>Údaje na ř. 1 až ř. 7 se uvádějí podle § 7b zákona. Na konci zdaňovacího období se uvádí zůstatková cena hmotného majetku podle § 29 zákona definovaného podle § 26 odst. 2 zákona.</xs:documentation>
                        </xs:annotation>
                        <xs:simpleType>
                          <xs:restriction base="xs:decimal">
                            <xs:totalDigits value="14"/>
                            <xs:fractionDigits value="0"/>
                          </xs:restriction>
                        </xs:simpleType>
                      </xs:attribute>
                      <xs:attribute name="kc_z_dpfmz06" use="optional">
                        <xs:annotation>
                          <xs:documentation>Údaje na ř. 1 až ř. 7 se uvádějí podle § 7b zákona. Na konci zdaňovacího období uveďte stav peněžních prostředků na bankovních účtech podle § 7b zákona.</xs:documentation>
                        </xs:annotation>
                        <xs:simpleType>
                          <xs:restriction base="xs:decimal">
                            <xs:totalDigits value="14"/>
                            <xs:fractionDigits value="0"/>
                          </xs:restriction>
                        </xs:simpleType>
                      </xs:attribute>
                    </xs:complexType>
                  </xs:element>
                  <xs:element maxOccurs="99" minOccurs="0" name="VetaC">
                    <xs:complexType>
                      <xs:attribute name="kc_uprzvys_235" use="optional">
                        <xs:simpleType>
                          <xs:restriction base="xs:decimal">
                            <xs:totalDigits value="14"/>
                            <xs:fractionDigits value="0"/>
                          </xs:restriction>
                        </xs:simpleType>
                      </xs:attribute>
                      <xs:attribute name="uprzvys_235" use="optional">
                        <xs:simpleType>
                          <xs:restriction base="xs:string">
                            <xs:minLength value="0"/>
                            <xs:maxLength value="50"/>
                          </xs:restriction>
                        </xs:simpleType>
                      </xs:attribute>
                    </xs:complexType>
                  </xs:element>
                  <xs:element maxOccurs="99" minOccurs="0" name="VetaE">
                    <xs:complexType>
                      <xs:attribute name="uprsniz_235" use="optional">
                        <xs:simpleType>
                          <xs:restriction base="xs:string">
                            <xs:minLength value="0"/>
                            <xs:maxLength value="50"/>
                          </xs:restriction>
                        </xs:simpleType>
                      </xs:attribute>
                      <xs:attribute name="kc_uprsniz_235" use="optional">
                        <xs:simpleType>
                          <xs:restriction base="xs:decimal">
                            <xs:totalDigits value="14"/>
                            <xs:fractionDigits value="0"/>
                          </xs:restriction>
                        </xs:simpleType>
                      </xs:attribute>
                    </xs:complexType>
                  </xs:element>
                  <xs:element maxOccurs="99" minOccurs="0" name="VetaF">
                    <xs:complexType>
                      <xs:attribute name="ucsdruz_prijmeni" use="optional">
                        <xs:simpleType>
                          <xs:restriction base="xs:string">
                            <xs:minLength value="0"/>
                            <xs:maxLength value="36"/>
                          </xs:restriction>
                        </xs:simpleType>
                      </xs:attribute>
                      <xs:attribute name="ucsdruz_podprij" use="optional">
                        <xs:simpleType>
                          <xs:restriction base="xs:decimal">
                            <xs:totalDigits value="14"/>
                            <xs:fractionDigits value="2"/>
                          </xs:restriction>
                        </xs:simpleType>
                      </xs:attribute>
                      <xs:attribute name="ucsdruz_dic" use="optional">
                        <xs:simpleType>
                          <xs:restriction base="xs:string">
                            <xs:pattern value="[0-9]{1,10}"/>
                          </xs:restriction>
                        </xs:simpleType>
                      </xs:attribute>
                      <xs:attribute name="ucsdruz_jmeno" use="optional">
                        <xs:simpleType>
                          <xs:restriction base="xs:string">
                            <xs:minLength value="0"/>
                            <xs:maxLength value="36"/>
                          </xs:restriction>
                        </xs:simpleType>
                      </xs:attribute>
                      <xs:attribute name="ucsdruz_podvyd" use="optional">
                        <xs:simpleType>
                          <xs:restriction base="xs:decimal">
                            <xs:totalDigits value="14"/>
                            <xs:fractionDigits value="2"/>
                          </xs:restriction>
                        </xs:simpleType>
                      </xs:attribute>
                    </xs:complexType>
                  </xs:element>
                  <xs:element maxOccurs="99" minOccurs="0" name="VetaG">
                    <xs:complexType>
                      <xs:attribute name="spolos_podil" use="optional">
                        <xs:simpleType>
                          <xs:restriction base="xs:decimal">
                            <xs:totalDigits value="14"/>
                            <xs:fractionDigits value="2"/>
                          </xs:restriction>
                        </xs:simpleType>
                      </xs:attribute>
                      <xs:attribute name="spolos_jmeno" use="optional">
                        <xs:simpleType>
                          <xs:restriction base="xs:string">
                            <xs:minLength value="0"/>
                            <xs:maxLength value="36"/>
                          </xs:restriction>
                        </xs:simpleType>
                      </xs:attribute>
                      <xs:attribute name="spolos_prijmeni" use="optional">
                        <xs:simpleType>
                          <xs:restriction base="xs:string">
                            <xs:minLength value="0"/>
                            <xs:maxLength value="36"/>
                          </xs:restriction>
                        </xs:simpleType>
                      </xs:attribute>
                      <xs:attribute name="spolos_dic" use="optional">
                        <xs:annotation>
                          <xs:documentation>Vyplňte kmenovou (číselnou) část daňového identifikačního čísla (DIČ) spolupracující osoby.&lt;br /&gt;Položka obsahuje kritické kontroly: existuje více záznamů spolupracujících osob se stejným DIČ; DIČ spolupracující osoby musí být vyplněno; DIČ spolupracující osoby musí být platné.</xs:documentation>
                        </xs:annotation>
                        <xs:simpleType>
                          <xs:restriction base="xs:string">
                            <xs:pattern value="[0-9]{1,10}"/>
                          </xs:restriction>
                        </xs:simpleType>
                      </xs:attribute>
                    </xs:complexType>
                  </xs:element>
                  <xs:element maxOccurs="99" minOccurs="0" name="VetaH">
                    <xs:complexType>
                      <xs:attribute name="rozdos_dic" use="optional">
                        <xs:simpleType>
                          <xs:restriction base="xs:string">
                            <xs:pattern value="[0-9]{1,10}"/>
                          </xs:restriction>
                        </xs:simpleType>
                      </xs:attribute>
                      <xs:attribute name="rozdos_jmeno" use="optional">
                        <xs:simpleType>
                          <xs:restriction base="xs:string">
                            <xs:minLength value="0"/>
                            <xs:maxLength value="36"/>
                          </xs:restriction>
                        </xs:simpleType>
                      </xs:attribute>
                      <xs:attribute name="rozdos_podil" use="optional">
                        <xs:simpleType>
                          <xs:restriction base="xs:decimal">
                            <xs:totalDigits value="14"/>
                            <xs:fractionDigits value="2"/>
                          </xs:restriction>
                        </xs:simpleType>
                      </xs:attribute>
                      <xs:attribute name="rozdos_prijmeni" use="optional">
                        <xs:simpleType>
                          <xs:restriction base="xs:string">
                            <xs:minLength value="0"/>
                            <xs:maxLength value="36"/>
                          </xs:restriction>
                        </xs:simpleType>
                      </xs:attribute>
                    </xs:complexType>
                  </xs:element>
                  <xs:element maxOccurs="99" minOccurs="0" name="VetaI">
                    <xs:complexType>
                      <xs:attribute name="vos_ks_podil" use="optional">
                        <xs:simpleType>
                          <xs:restriction base="xs:decimal">
                            <xs:totalDigits value="14"/>
                            <xs:fractionDigits value="2"/>
                          </xs:restriction>
                        </xs:simpleType>
                      </xs:attribute>
                      <xs:attribute name="vos_ks_dic" use="optional">
                        <xs:simpleType>
                          <xs:restriction base="xs:string">
                            <xs:pattern value="[0-9]{1,10}"/>
                          </xs:restriction>
                        </xs:simpleType>
                      </xs:attribute>
                    </xs:complexType>
                  </xs:element>
                  <xs:element maxOccurs="1" minOccurs="0" name="VetaV">
                    <xs:complexType>
                      <xs:attribute name="sniz_lim9" use="optional">
                        <xs:annotation>
                          <xs:documentation>Uplatňujete-li nižší limit u výdajů stanovených procentem z příjmů (§ 9 ZDP), uveďte A, jinak uveďte N.&lt;br /&gt;Položka obsahuje kritickou kontrolu: vyplňuje se pouze pro ZO 2017 a hodnota položky může být pouze A nebo N.</xs:documentation>
                        </xs:annotation>
                        <xs:simpleType>
                          <xs:restriction base="xs:string">
                            <xs:minLength value="0"/>
                            <xs:maxLength value="1"/>
                          </xs:restriction>
                        </xs:simpleType>
                      </xs:attribute>
                      <xs:attribute name="uhrn_prijmy10" use="optional">
                        <xs:simpleType>
                          <xs:restriction base="xs:decimal">
                            <xs:totalDigits value="14"/>
                            <xs:fractionDigits value="0"/>
                          </xs:restriction>
                        </xs:simpleType>
                      </xs:attribute>
                      <xs:attribute name="kc_vyd9" use="optional">
                        <xs:annotation>
                          <xs:documentation>Uveďte na ř. 202 &lt;strong&gt;výdaje z nájmu (2013: pronájmu)&lt;/strong&gt; evidované podle § 9 odst. 6 zákona v záznamech o příjmech a výdajích, případně výdaje uplatňované procentem z příjmů podle § 9 odst. 4 zákona (do 2015: v účetnictví).&lt;br&gt;V případě, že se jedná o příjmy dosažené dvěma a více poplatníky z titulu spoluvlastnictví k věci, potom společné výdaje vynaložené na jejich dosažení, zajištění a udržení se rozdělují mezi poplatníky podle jejich spoluvlastnických podílů nebo podle poměru dohodnutého ve smlouvě. Pokud příjmy z nájmu (2013: pronájmu) plynou manželům ze společného jmění manželů, zdaňují se jen u jednoho z nich a ten je uvede ve svém DAP. Údaje se uvádějí před úpravou o položky podle § 5, § 23 zákona a ostatní úpravy podle zákona.</xs:documentation>
                        </xs:annotation>
                        <xs:simpleType>
                          <xs:restriction base="xs:decimal">
                            <xs:totalDigits value="14"/>
                            <xs:fractionDigits value="0"/>
                          </xs:restriction>
                        </xs:simpleType>
                      </xs:attribute>
                      <xs:attribute name="kc_zvysukon9" use="optional">
                        <xs:annotation>
                          <xs:documentation>Uveďte úhrn částek zvyšujících rozdíl mezi příjmy a výdaji nebo výsledek hospodaření před zdaněním.</xs:documentation>
                        </xs:annotation>
                        <xs:simpleType>
                          <xs:restriction base="xs:decimal">
                            <xs:totalDigits value="14"/>
                            <xs:fractionDigits value="0"/>
                          </xs:restriction>
                        </xs:simpleType>
                      </xs:attribute>
                      <xs:attribute name="kc_prij10" use="optional">
                        <xs:annotation>
                          <xs:documentation>Uveďte součet částek z tabulky ze sloupce 2 podle jednotlivých druhů příjmů.</xs:documentation>
                        </xs:annotation>
                        <xs:simpleType>
                          <xs:restriction base="xs:decimal">
                            <xs:totalDigits value="14"/>
                            <xs:fractionDigits value="0"/>
                          </xs:restriction>
                        </xs:simpleType>
                      </xs:attribute>
                      <xs:attribute name="kc_rezerv_z" use="optional">
                        <xs:simpleType>
                          <xs:restriction base="xs:decimal">
                            <xs:totalDigits value="14"/>
                            <xs:fractionDigits value="0"/>
                          </xs:restriction>
                        </xs:simpleType>
                      </xs:attribute>
                      <xs:attribute name="spol_jm_manz" use="optional">
                        <xs:annotation>
                          <xs:documentation>Máte-li příjmy z nájmu (2013: pronájmu), které jste dosáhl ze společného jmění manželů (bez podílového spoluvlastnictví manželů), označte křížkem v předtištěném rámečku. V opačném případě nevyplňujte.</xs:documentation>
                        </xs:annotation>
                        <xs:simpleType>
                          <xs:restriction base="xs:string">
                            <xs:minLength value="0"/>
                            <xs:maxLength value="1"/>
                          </xs:restriction>
                        </xs:simpleType>
                      </xs:attribute>
                      <xs:attribute name="kc_vyd10" use="optional">
                        <xs:annotation>
                          <xs:documentation>Uveďte součet částek z téže tabulky ze sloupce 3 podle jednotlivých druhů příjmů.&lt;br&gt;Pokud u některého druhu příjmů převyšují výdaje příjmy, zahrňte do součtu výdaje maximálně do výše příjmů. Jsou-li výdaje spojené s jednotlivým druhem příjmů (kategorie „ostatní příjmy“) vyšší než příjem, k rozdílu se podle § 10 odst. 4 zákona nepřihlíží.</xs:documentation>
                        </xs:annotation>
                        <xs:simpleType>
                          <xs:restriction base="xs:decimal">
                            <xs:totalDigits value="14"/>
                            <xs:fractionDigits value="0"/>
                          </xs:restriction>
                        </xs:simpleType>
                      </xs:attribute>
                      <xs:attribute name="kc_snizukon9" use="optional">
                        <xs:annotation>
                          <xs:documentation>Uveďte úhrn částek snižujících rozdíl mezi příjmy a výdaji nebo výsledek hospodaření před zdaněním.</xs:documentation>
                        </xs:annotation>
                        <xs:simpleType>
                          <xs:restriction base="xs:decimal">
                            <xs:totalDigits value="14"/>
                            <xs:fractionDigits value="0"/>
                          </xs:restriction>
                        </xs:simpleType>
                      </xs:attribute>
                      <xs:attribute name="kc_prij9" use="optional">
                        <xs:annotation>
                          <xs:documentation>od 2016&lt;br /&gt;Uveďte na ř. 201 příjmy z nájmu evidované  podle § 9 odst. 5 zákona v záznamech o příjmech, podle § 9 odst. 6 zákona v záznamech o příjmech a výdajích.&lt;br /&gt;&amp;nbsp&lt;br&gt;od 2013&lt;br /&gt;Uveďte na ř. 201 příjmy z nájmu (2013: pronájmu) evidované  podle § 9 odst. 6 zákona v záznamech o příjmech a výdajích případně v účetnictví.</xs:documentation>
                        </xs:annotation>
                        <xs:simpleType>
                          <xs:restriction base="xs:decimal">
                            <xs:totalDigits value="14"/>
                            <xs:fractionDigits value="0"/>
                          </xs:restriction>
                        </xs:simpleType>
                      </xs:attribute>
                      <xs:attribute name="kc_rozdil9" use="optional">
                        <xs:annotation>
                          <xs:documentation>Uveďte výpočet podle údajů v tiskopisu. Údaje jsou uváděny před úpravou podle § 5, § 23 zákona a ostatní úpravy podle zákona. V případě, že výdaje přesahují příjmy nebo výsledek hospodaření před zdaněním je ztráta, částku označte znaménkem mínus.</xs:documentation>
                        </xs:annotation>
                        <xs:simpleType>
                          <xs:restriction base="xs:decimal">
                            <xs:totalDigits value="14"/>
                            <xs:fractionDigits value="0"/>
                          </xs:restriction>
                        </xs:simpleType>
                      </xs:attribute>
                      <xs:attribute name="kc_zd10p" use="optional">
                        <xs:annotation>
                          <xs:documentation>Proveďte výpočet podle údajů v tiskopisu, uvedená částka by se měla rovnat úhrnu kladných rozdílů jednotlivých příjmů v tabulce ve sloupci 4. Údaj přeneste do &lt;strong&gt;ř. 40, 2. oddílu, základní části DAP na str. 2&lt;/strong&gt;</xs:documentation>
                        </xs:annotation>
                        <xs:simpleType>
                          <xs:restriction base="xs:decimal">
                            <xs:totalDigits value="14"/>
                            <xs:fractionDigits value="0"/>
                          </xs:restriction>
                        </xs:simpleType>
                      </xs:attribute>
                      <xs:attribute name="kc_rezerv_k" use="optional">
                        <xs:simpleType>
                          <xs:restriction base="xs:decimal">
                            <xs:totalDigits value="14"/>
                            <xs:fractionDigits value="0"/>
                          </xs:restriction>
                        </xs:simpleType>
                      </xs:attribute>
                      <xs:attribute name="kc_zd9p" use="optional">
                        <xs:annotation>
                          <xs:documentation>Vypočtěte částku podle pokynů na řádku. Rozdíl menší než nula je dílčí ztrátou podle § 9 zákona. Údaj přeneste na &lt;strong&gt;ř. 39, 2. oddílu, základní části DAP na str. 2.&lt;/strong&gt;</xs:documentation>
                        </xs:annotation>
                        <xs:simpleType>
                          <xs:restriction base="xs:decimal">
                            <xs:totalDigits value="14"/>
                            <xs:fractionDigits value="0"/>
                          </xs:restriction>
                        </xs:simpleType>
                      </xs:attribute>
                      <xs:attribute name="vyd9proc" use="optional">
                        <xs:annotation>
                          <xs:documentation>Uplatňujete-li výdaje procentem z příjmů z nájmu (2013: pronájmu) podle § 9 odst. 4 zákona (30 %), uveďte A, jinak uveďte N.&lt;br /&gt;Položka obsahuje kritickou kontrolu: hodnota položky může být pouze A nebo N.</xs:documentation>
                        </xs:annotation>
                        <xs:simpleType>
                          <xs:restriction base="xs:string">
                            <xs:minLength value="0"/>
                            <xs:maxLength value="1"/>
                          </xs:restriction>
                        </xs:simpleType>
                      </xs:attribute>
                      <xs:attribute name="uhrn_rozdil10" use="optional">
                        <xs:simpleType>
                          <xs:restriction base="xs:decimal">
                            <xs:totalDigits value="14"/>
                            <xs:fractionDigits value="0"/>
                          </xs:restriction>
                        </xs:simpleType>
                      </xs:attribute>
                      <xs:attribute name="uhrn_vydaje10" use="optional">
                        <xs:simpleType>
                          <xs:restriction base="xs:decimal">
                            <xs:totalDigits value="14"/>
                            <xs:fractionDigits value="0"/>
                          </xs:restriction>
                        </xs:simpleType>
                      </xs:attribute>
                      <xs:attribute name="kc_par9_nem" use="optional">
                        <xs:annotation>
                          <xs:documentation>Položka obsahuje kritickou kontrolu: vyplňuje se od ZO 2014.</xs:documentation>
                        </xs:annotation>
                        <xs:simpleType>
                          <xs:restriction base="xs:decimal">
                            <xs:totalDigits value="14"/>
                            <xs:fractionDigits value="0"/>
                          </xs:restriction>
                        </xs:simpleType>
                      </xs:attribute>
                    </xs:complexType>
                  </xs:element>
                  <xs:element maxOccurs="99" minOccurs="0" name="VetaJ">
                    <xs:complexType>
                      <xs:attribute name="prijmy10" use="optional">
                        <xs:annotation>
                          <xs:documentation>Vyplňte ostatní &lt;strong&gt;příjmy podle § 10 zákona&lt;/strong&gt;, které zahrnují příjmy ze zdrojů na území České republiky i příjmy ze zdrojů v zahraničí, a to přepočtené na Kč způsobem popsaným výše.&lt;br&gt;Podle § 10 odst. 1 zákona jsou za ostatní příjmy považovány takové příjmy, při kterých dochází ke zvýšení majetku a nejedná se přitom o příjmy podle § 6 až § 9 zákona. Každý jednotlivý druh příjmů se uvádí v tabulce samostatně. Jestliže jste ve zdaňovacím období prodal např. dva obytné domy a současně několik cenných papírů, jedná se o dva druhy příjmů, z nichž se každý posuzuje samostatně. Za příjem podle § 10 odst. 1 zákona se považuje i příjem odstupného za uvolnění bytu, u kterého nebyly splněny podmínky pro osvobození od daně podle § 4 odst. 1 písm. u) zákona.</xs:documentation>
                        </xs:annotation>
                        <xs:simpleType>
                          <xs:restriction base="xs:decimal">
                            <xs:totalDigits value="14"/>
                            <xs:fractionDigits value="0"/>
                          </xs:restriction>
                        </xs:simpleType>
                      </xs:attribute>
                      <xs:attribute name="kod_dr_prij10" use="optional">
                        <xs:annotation>
                          <xs:documentation>Uveďte příjem a před slovní popis uveďte předepsané označení:&lt;br&gt;od 2014: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 &lt;strong&gt;G&lt;/strong&gt; – bezúplatné příjmy.&lt;br&gt;&amp;nbsp&lt;br&gt;2013: &lt;strong&gt;A&lt;/strong&gt; – příležitostná činnost, &lt;strong&gt;B&lt;/strong&gt; – prodej nemovitostí, &lt;strong&gt;C&lt;/strong&gt; – prodej movitých věcí, &lt;strong&gt;D&lt;/strong&gt; – prodej cenných papírů, &lt;strong&gt;E&lt;/strong&gt; – příjmy z převodu podle § 10 odst. 1, písm. c) zákona, &lt;strong&gt;F&lt;/strong&gt; – jiné ostatní příjmy</xs:documentation>
                        </xs:annotation>
                        <xs:simpleType>
                          <xs:restriction base="xs:string">
                            <xs:minLength value="0"/>
                            <xs:maxLength value="1"/>
                          </xs:restriction>
                        </xs:simpleType>
                      </xs:attribute>
                      <xs:attribute name="rozdil10" use="optional">
                        <xs:annotation>
                          <xs:documentation>V řádcích u jednotlivých druhů příjmů uveďte rozdíl mezi příjmy a výdaji. Úhrn na posledním řádku vypočtete však pouze jako součet kladných rozdílů, protože případnou ztrátu z jednoho druhu příjmu nelze kompenzovat s jiným druhem příjmů, např. ztrátu z cenných papírů nelze kompenzovat příjmem z prodeje domu.</xs:documentation>
                        </xs:annotation>
                        <xs:simpleType>
                          <xs:restriction base="xs:decimal">
                            <xs:totalDigits value="14"/>
                            <xs:fractionDigits value="0"/>
                          </xs:restriction>
                        </xs:simpleType>
                      </xs:attribute>
                      <xs:attribute name="vydaje10" use="optional">
                        <xs:annotation>
                          <xs:documentation>2017&lt;br&gt;Uveďte výdaje prokazatelně vynaložené na dosažení příjmů, a to ve skutečné výši. Pouze u zemědělské výroby, lesního a vodního hospodářství, které nejsou provozovány podnikatelem, je možno uplatnit výdaje procentem z příjmů, a to za zdaňovací období 2017 ve výši 80 %, nejvýše lze však uplatnit výdaje do částky 1 600 000 Kč respektive 800 000 Kč. Platí stejné podmínky,  jaké jsou uvedeny v prvním odstavci pod nadpisem k bodu 1. Pokyny k výpočtu dílčího základu daně z příjmů z nájmů (§ 9 zákona).&lt;br&gt;&amp;nbsp&lt;br&gt;do 2016&lt;br&gt;Uveďte výdaje prokazatelně vynaložené na dosažení příjmů, a to ve skutečné výši. Pouze u zemědělské výroby, lesního a vodního hospodářství (2013: Pouze u zemědělské výroby) je možno uplatnit výdaje procentem z příjmů, a to za zdaňovací období 2016, resp. 2015, 2014, 2013 ve výši 80 % nejvýše lze však uplatnit výdaje do částky 1 600 000 Kč. (2013-2013: ve výši 80%.)</xs:documentation>
                        </xs:annotation>
                        <xs:simpleType>
                          <xs:restriction base="xs:decimal">
                            <xs:totalDigits value="14"/>
                            <xs:fractionDigits value="0"/>
                          </xs:restriction>
                        </xs:simpleType>
                      </xs:attribute>
                      <xs:attribute name="druh_prij10" use="optional">
                        <xs:simpleType>
                          <xs:restriction base="xs:string">
                            <xs:minLength value="0"/>
                            <xs:maxLength value="50"/>
                          </xs:restriction>
                        </xs:simpleType>
                      </xs:attribute>
                      <xs:attribute name="kod10" use="optional">
                        <xs:annotation>
                          <xs:documentation>2017&lt;br&gt;Přípustné symboly: P, S, Z, N. Kód „P“ vyplňte pouze v případě, že máte příjmy ze zemědělské výroby a uplatňujete výdaje procentem z příjmů (80 % nejvýše lze však uplatnit výdaje do částky 1 600 000 Kč respektive 800 000 Kč). Platí stejné podmínky, jaké jsou uvedeny v prvním odstavci pod nadpisem k bodu 1. Pokyny k výpočtu dílčího základu daně z příjmů z nájmů (§ 9 zákona). Pokud příjmy plynou z majetku, který je ve společném jmění manželů, uveďte ve sloupci 5 (kód) písmeno „S“. Pokud příjmy plynou ze zdrojů v zahraničí, uveďte ve sloupci 5 (kód) písmeno „Z“. Pokud je v tabulce uveden bezúplatný příjem (druh příjmu “G“) a jedná se o nemovitost, uveďte ve sloupci 5 (kód) písmeno „N“.&lt;br&gt;&amp;nbsp&lt;br&gt;2014-2016&lt;br&gt;Přípustné symboly: P, S, Z, N. Kód „P“ vyplňte pouze v případě, že máte příjmy ze zemědělské výroby a uplatňujete výdaje procentem z příjmů (80 % nejvýše lze však uplatnit výdaje do částky 1 600 000 Kč (2014: 80%)). Pokud příjmy plynou z majetku, který je ve společném jmění manželů, uveďte ve sloupci 5 (kód) písmeno „S“. Pokud příjmy plynou ze zdrojů v zahraničí, uveďte ve sloupci 5 (kód) písmeno „Z“.Pokud je v tabulce uveden bezúplatný příjem (druh příjmu “G“) a jedná se o nemovitost, uveďte ve sloupci 5 (kód) písmeno „N“.&lt;br&gt;&amp;nbsp&lt;br&gt;2013&lt;br&gt;Přípustné symboly: P, S, Z. Kód „P“ vyplňte pouze v případě, že máte příjmy ze zemědělské výroby a uplatňujete výdaje procentem z příjmů (80 %). Pokud příjmy plynou z majetku, který je ve společném jmění manželů, uveďte ve sloupci 5 (kód) písmeno „S“. Pokud příjmy plynou ze zdrojů v zahraničí, uveďte ve sloupci 5 (kód) písmeno „Z“.</xs:documentation>
                        </xs:annotation>
                        <xs:simpleType>
                          <xs:restriction base="xs:string">
                            <xs:minLength value="0"/>
                            <xs:maxLength value="1"/>
                          </xs:restriction>
                        </xs:simpleType>
                      </xs:attribute>
                    </xs:complexType>
                  </xs:element>
                  <xs:element maxOccurs="1" minOccurs="0" name="VetaW">
                    <xs:complexType>
                      <xs:attribute name="uhrn_uzndan" use="optional">
                        <xs:annotation>
                          <xs:documentation>Uveďte součet hodnot uvedených na řádcích 326 Přílohy č. 3 a ze samostatných listů Přílohy č. 3, ve kterých jste provedl metodu prostého zápočtu daně zaplacené v zahraničí pro jednotlivé státy podle § 38f odst. 8 zákona. Podle § 38f odst. 2 zákona lze na ř. 328 uvést částku, maximálně však do částky vzniklé daňové povinnosti (ř. 57 + 59)(2013: ř.57).</xs:documentation>
                        </xs:annotation>
                        <xs:simpleType>
                          <xs:restriction base="xs:decimal">
                            <xs:totalDigits value="17"/>
                            <xs:fractionDigits value="2"/>
                          </xs:restriction>
                        </xs:simpleType>
                      </xs:attribute>
                      <xs:attribute name="da_zazahr" use="optional">
                        <xs:annotation>
                          <xs:documentation>Údaj na tomto řádku přeneste na &lt;strong&gt;ř. 58, 4. oddílu základní části DAP, na str. 2 k dalšímu výpočtu.&lt;/strong&gt; POZOR, při dalším výpočtu již s ř. 59 nepočítejte, tzn. na ř. 60 pouze přeneste údaj z ř. 58 (bez připočítání ř. 59).</xs:documentation>
                        </xs:annotation>
                        <xs:simpleType>
                          <xs:restriction base="xs:decimal">
                            <xs:totalDigits value="17"/>
                            <xs:fractionDigits value="2"/>
                          </xs:restriction>
                        </xs:simpleType>
                      </xs:attribute>
                      <xs:attribute name="uhrn_neuzndan" use="optional">
                        <xs:annotation>
                          <xs:documentation>Uveďte součet hodnot uvedených na řádcích 327 z Přílohy č.3 a ze samostatných listů Přílohy č. 3, ve kterých jste provedl metodu prostého zápočtu daně zaplacené v zahraničí pro jednotlivé státy podle § 38f odst. 8 zákona. Částku daně můžete uplatnit podle § 24 odst. 2 písm. ch) zákona jako výdaj (náklad) v následujícím zdaňovacím období.</xs:documentation>
                        </xs:annotation>
                        <xs:simpleType>
                          <xs:restriction base="xs:decimal">
                            <xs:totalDigits value="17"/>
                            <xs:fractionDigits value="2"/>
                          </xs:restriction>
                        </xs:simpleType>
                      </xs:attribute>
                    </xs:complexType>
                  </xs:element>
                  <xs:element maxOccurs="unbounded" minOccurs="0" name="VetaR">
                    <xs:complexType>
                      <xs:attribute name="t_prilohy" use="optional">
                        <xs:annotation>
                          <xs:documentation>Jeden řádek textové přílohy, max. 72 znaků</xs:documentation>
                        </xs:annotation>
                        <xs:simpleType>
                          <xs:restriction base="xs:string">
                            <xs:minLength value="0"/>
                            <xs:maxLength value="72"/>
                          </xs:restriction>
                        </xs:simpleType>
                      </xs:attribute>
                      <xs:attribute name="kod_sekce" use="optional">
                        <xs:annotation>
                          <xs:documentation>Označení oddílu, ke kterému se příloha vztahuje: O - obecná příloha, D - bližší specifikace důvodů podání DoDAP</xs:documentation>
                        </xs:annotation>
                        <xs:simpleType>
                          <xs:restriction base="xs:string">
                            <xs:minLength value="0"/>
                            <xs:maxLength value="1"/>
                          </xs:restriction>
                        </xs:simpleType>
                      </xs:attribute>
                      <xs:attribute name="poradi" use="optional">
                        <xs:annotation>
                          <xs:documentation>Číslo řádku přílohy.</xs:documentation>
                        </xs:annotation>
                        <xs:simpleType>
                          <xs:restriction base="xs:decimal">
                            <xs:totalDigits value="3"/>
                            <xs:fractionDigits value="0"/>
                          </xs:restriction>
                        </xs:simpleType>
                      </xs:attribute>
                    </xs:complexType>
                  </xs:element>
                  <xs:element maxOccurs="unbounded" minOccurs="0" name="VetaL">
                    <xs:complexType>
                      <xs:attribute name="proczahr" use="optional">
                        <xs:annotation>
                          <xs:documentation>Do tohoto řádku uveďte výsledek výpočtu v procentech pro zjištění podílu daně, kterou lze započíst (ř. 321 – ř. 322) děleno ř. 42 výsledek vynásobte stem. Částka může nabývat hodnoty od 0 do 100. V případě, že vyjde záporná částka, uveďte do ř. 324 nulu.</xs:documentation>
                        </xs:annotation>
                        <xs:simpleType>
                          <xs:restriction base="xs:decimal">
                            <xs:totalDigits value="17"/>
                            <xs:fractionDigits value="2"/>
                          </xs:restriction>
                        </xs:simpleType>
                      </xs:attribute>
                      <xs:attribute name="kc_10vyd" use="optional">
                        <xs:simpleType>
                          <xs:restriction base="xs:decimal">
                            <xs:totalDigits value="14"/>
                            <xs:fractionDigits value="0"/>
                          </xs:restriction>
                        </xs:simpleType>
                      </xs:attribute>
                      <xs:attribute name="kc_10dan" use="optional">
                        <xs:simpleType>
                          <xs:restriction base="xs:decimal">
                            <xs:totalDigits value="14"/>
                            <xs:fractionDigits value="0"/>
                          </xs:restriction>
                        </xs:simpleType>
                      </xs:attribute>
                      <xs:attribute name="kc_prijzap" use="optional">
                        <xs:annotation>
                          <xs:documentation>Na tomto řádku uveďte úhrn příjmů ze zdrojů v zahraničí, na které se podle smluv o zamezení dvojího zdanění uplatňuje metoda zápočtu. Příjmy podle § 6 zákona uveďte v souladu s § 6 odst. 12 zákona (2014: 13 zákona, 2013: 14 zákona).</xs:documentation>
                        </xs:annotation>
                        <xs:simpleType>
                          <xs:restriction base="xs:decimal">
                            <xs:totalDigits value="14"/>
                            <xs:fractionDigits value="0"/>
                          </xs:restriction>
                        </xs:simpleType>
                      </xs:attribute>
                      <xs:attribute name="kc_k_zapzahr" use="optional">
                        <xs:annotation>
                          <xs:documentation>Uveďte výsledek výpočtu částky daně zaplacené v zahraničí, kterou lze maximálně započítat. Daň v tomto výpočtu je daňová povinnost, která se vztahuje k příjmům plynoucím ze zdrojů na území České republiky i ze zdrojů v zahraničí, tj. daň podle § 16 zákona &lt;strong&gt;(ř. 57), včetně solidárního zvýšení daně podle § 16a zákona (ř. 59)&lt;/strong&gt;</xs:documentation>
                        </xs:annotation>
                        <xs:simpleType>
                          <xs:restriction base="xs:decimal">
                            <xs:totalDigits value="17"/>
                            <xs:fractionDigits value="2"/>
                          </xs:restriction>
                        </xs:simpleType>
                      </xs:attribute>
                      <xs:attribute name="da_zahr" use="optional">
                        <xs:annotation>
                          <xs:documentation>Do tohoto řádku uveďte částku daně zaplacené ve státě zdroje ze zdaněných příjmů, a to pouze do výše, která mohla být v tomto státě vybrána v souladu s příslušnými ustanoveními smlouvy o zamezení dvojího zdanění. Částka daně uplatňovaná k zápočtu musí být prokázána potvrzením zahraničního správce daně o zaplacení daně (§ 38f odst. 5 zákona).</xs:documentation>
                        </xs:annotation>
                        <xs:simpleType>
                          <xs:restriction base="xs:decimal">
                            <xs:totalDigits value="14"/>
                            <xs:fractionDigits value="0"/>
                          </xs:restriction>
                        </xs:simpleType>
                      </xs:attribute>
                      <xs:attribute name="kc_10prij" use="optional">
                        <xs:simpleType>
                          <xs:restriction base="xs:decimal">
                            <xs:totalDigits value="14"/>
                            <xs:fractionDigits value="0"/>
                          </xs:restriction>
                        </xs:simpleType>
                      </xs:attribute>
                      <xs:attribute name="kod_statu" use="optional">
                        <xs:annotation>
                          <xs:documentation>Při použití metody prostého zápočtu se podle § 38f odst.8 zákona metoda provádí za každý stát samostatně. Proto v případě, že Vám plynou příjmy z více států, použijte k výpočtu za každý stát Samostatný list Přílohy č.3 zveřejněný na http//www.mfcr.cz, v nabídce Daně a cla, Daně, Tiskopisy ke stažení.&lt;br /&gt;Pro hodnotu této položky použijte číselník Země (zeme). Z číselníku se vkládá položka kod2.&lt;br /&gt;Položka obsahuje kritické kontroly: hodnota musí obsahovat kód existujícího státu a pro každý stát musí být jedna věta L.&lt;br&gt;
Pro popis číselníku Země klikněte &lt;a href="http://adisepo.mfcr.cz/adis/jepo/epo/ukazka_ciselniku.htm?C=zeme"&gt;zde&lt;/a&gt;.</xs:documentation>
                        </xs:annotation>
                        <xs:simpleType>
                          <xs:restriction base="xs:string">
                            <xs:minLength value="0"/>
                            <xs:maxLength value="2"/>
                          </xs:restriction>
                        </xs:simpleType>
                      </xs:attribute>
                      <xs:attribute name="roz_od12" use="optional">
                        <xs:annotation>
                          <xs:documentation>Na tomto řádku uveďte kladnou hodnotu výpočtu, která je částkou daně, jež můžete uplatnit podle § 24 odst. 2 písm. ch) zákona jako výdaj (náklad) v následujícím zdaňovacím období (ř. 323 – ř. 326). V případě, že rozdíl řádků je záporný, řádek proškrtněte.</xs:documentation>
                        </xs:annotation>
                        <xs:simpleType>
                          <xs:restriction base="xs:decimal">
                            <xs:totalDigits value="17"/>
                            <xs:fractionDigits value="2"/>
                          </xs:restriction>
                        </xs:simpleType>
                      </xs:attribute>
                      <xs:attribute name="da_uznzap" use="optional">
                        <xs:annotation>
                          <xs:documentation>Do tohoto řádku uveďte částku daně zaplacenou v zahraničí (ř. 323) maximálně však částku daně uznané k zápočtu (ř. 325).</xs:documentation>
                        </xs:annotation>
                        <xs:simpleType>
                          <xs:restriction base="xs:decimal">
                            <xs:totalDigits value="17"/>
                            <xs:fractionDigits value="2"/>
                          </xs:restriction>
                        </xs:simpleType>
                      </xs:attribute>
                      <xs:attribute name="kc_vydzap" use="optional">
                        <xs:annotation>
                          <xs:documentation>Na tomto řádku uveďte úhrn výdajů související s příjmy uvedenými na ř. 321.</xs:documentation>
                        </xs:annotation>
                        <xs:simpleType>
                          <xs:restriction base="xs:decimal">
                            <xs:totalDigits value="14"/>
                            <xs:fractionDigits value="0"/>
                          </xs:restriction>
                        </xs:simpleType>
                      </xs:attribute>
                    </xs:complexType>
                  </xs:element>
                  <xs:element maxOccurs="8" minOccurs="0" name="VetaM">
                    <xs:complexType>
                      <xs:attribute name="prilztr_sl2" use="optional">
                        <xs:simpleType>
                          <xs:restriction base="xs:decimal">
                            <xs:totalDigits value="14"/>
                            <xs:fractionDigits value="0"/>
                          </xs:restriction>
                        </xs:simpleType>
                      </xs:attribute>
                      <xs:attribute name="prilztr_sl4" use="optional">
                        <xs:simpleType>
                          <xs:restriction base="xs:decimal">
                            <xs:totalDigits value="14"/>
                            <xs:fractionDigits value="0"/>
                          </xs:restriction>
                        </xs:simpleType>
                      </xs:attribute>
                      <xs:attribute name="prilztr_sl3" use="optional">
                        <xs:simpleType>
                          <xs:restriction base="xs:decimal">
                            <xs:totalDigits value="14"/>
                            <xs:fractionDigits value="0"/>
                          </xs:restriction>
                        </xs:simpleType>
                      </xs:attribute>
                      <xs:attribute name="prilztr_sl1" use="optional">
                        <xs:simpleType>
                          <xs:restriction base="xs:string">
                            <xs:minLength value="0"/>
                            <xs:maxLength value="22"/>
                          </xs:restriction>
                        </xs:simpleType>
                      </xs:attribute>
                      <xs:attribute name="prilztr_sl5" use="optional">
                        <xs:simpleType>
                          <xs:restriction base="xs:decimal">
                            <xs:totalDigits value="14"/>
                            <xs:fractionDigits value="0"/>
                          </xs:restriction>
                        </xs:simpleType>
                      </xs:attribute>
                    </xs:complexType>
                  </xs:element>
                  <xs:element maxOccurs="1" minOccurs="0" name="VetaN">
                    <xs:complexType>
                      <xs:attribute name="k_stat_banky" use="optional">
                        <xs:annotation>
                          <xs:documentation>Uveďte kód státu banky.&lt;br /&gt;Pro hodnotu této položky použijte číselník Země (zeme). Z číselníku se vkládá položka kod2.&lt;br /&gt;Položka obsahuje kritické kontroly: kód státu musí být uveden v číselníku zemí a v žádosti o vrácení přeplatku na zahraniční účet nelze žádat o vrácení přeplatku na účet vedený v českých korunách u banky sídlící v Česku a účet vedený ve slovenských korunách u banky sídlící na Slovensku&lt;br&gt;
Pro popis číselníku Země klikněte &lt;a href="http://adisepo.mfcr.cz/adis/jepo/epo/ukazka_ciselniku.htm?C=zeme"&gt;zde&lt;/a&gt;.</xs:documentation>
                        </xs:annotation>
                        <xs:simpleType>
                          <xs:restriction base="xs:string">
                            <xs:minLength value="0"/>
                            <xs:maxLength value="2"/>
                          </xs:restriction>
                        </xs:simpleType>
                      </xs:attribute>
                      <xs:attribute name="kc_preplatek" use="optional">
                        <xs:annotation>
                          <xs:documentation>Uveďte částku přeplatku.&lt;br /&gt;Položka obsahuje do roku 2015 včetně kritickou kontrolu: při žádosti o vrácení přeplatku na uvedenou či bankovní účet v ČR nebo zahraničí, musí být uvedena i výše přeplatku</xs:documentation>
                        </xs:annotation>
                        <xs:simpleType>
                          <xs:restriction base="xs:decimal">
                            <xs:totalDigits value="14"/>
                            <xs:fractionDigits value="0"/>
                          </xs:restriction>
                        </xs:simpleType>
                      </xs:attribute>
                      <xs:attribute name="ulice_prij" use="optional">
                        <xs:simpleType>
                          <xs:restriction base="xs:string">
                            <xs:minLength value="0"/>
                            <xs:maxLength value="35"/>
                          </xs:restriction>
                        </xs:simpleType>
                      </xs:attribute>
                      <xs:attribute name="naz_adr_banky" use="optional">
                        <xs:annotation>
                          <xs:documentation>Uveďte název finanční instituce, u které je zahraniční účet(nebo účet v ČR vedený v cizí měně) (2013: zahraniční účet) veden.&lt;br&gt;Položka obsahuje kritickou kontrolu: při žádosti o vrácení přeplatku na zahraniční účet (nebo účet v ČR vedený v cizí měně) (2013: zahraniční účet) musí být v žádosti uveden název bankovní instituce, u které je účet veden.</xs:documentation>
                        </xs:annotation>
                        <xs:simpleType>
                          <xs:restriction base="xs:string">
                            <xs:minLength value="0"/>
                            <xs:maxLength value="35"/>
                          </xs:restriction>
                        </xs:simpleType>
                      </xs:attribute>
                      <xs:attribute name="zvp_naz_obce" use="optional">
                        <xs:simpleType>
                          <xs:restriction base="xs:string">
                            <xs:minLength value="0"/>
                            <xs:maxLength value="48"/>
                          </xs:restriction>
                        </xs:simpleType>
                      </xs:attribute>
                      <xs:attribute name="zvp_ulice" use="optional">
                        <xs:simpleType>
                          <xs:restriction base="xs:string">
                            <xs:minLength value="0"/>
                            <xs:maxLength value="38"/>
                          </xs:restriction>
                        </xs:simpleType>
                      </xs:attribute>
                      <xs:attribute name="zvp_k_bank" use="optional">
                        <xs:simpleType>
                          <xs:restriction base="xs:decimal">
                            <xs:totalDigits value="4"/>
                            <xs:fractionDigits value="0"/>
                          </xs:restriction>
                        </xs:simpleType>
                      </xs:attribute>
                      <xs:attribute name="zvp_jmeno" use="optional">
                        <xs:simpleType>
                          <xs:restriction base="xs:string">
                            <xs:minLength value="0"/>
                            <xs:maxLength value="20"/>
                          </xs:restriction>
                        </xs:simpleType>
                      </xs:attribute>
                      <xs:attribute name="zp_vrac" use="optional">
                        <xs:annotation>
                          <xs:documentation>Způsob vrácení přeplatku, A - na adresu, U - na účet, Z - na zahraniční účet.&lt;br /&gt;Položka obsahuje kritické kontroly: hodnota položky musí být A, U nebo Z; pro způsob A musí být vyplněny všechny položky adresy, pro způsoby U a Z pak relevantní položky bankovního spojení</xs:documentation>
                        </xs:annotation>
                        <xs:simpleType>
                          <xs:restriction base="xs:string">
                            <xs:minLength value="0"/>
                            <xs:maxLength value="1"/>
                          </xs:restriction>
                        </xs:simpleType>
                      </xs:attribute>
                      <xs:attribute name="zvp_pbu" use="optional">
                        <xs:annotation>
                          <xs:documentation>Uveďte předčíslí bankovního účtu.&lt;br /&gt;Položka obsahuje kritickou kontrolu: předčíslí bankovního účtu musí být ve správném formátu</xs:documentation>
                        </xs:annotation>
                        <xs:simpleType>
                          <xs:restriction base="xs:decimal">
                            <xs:totalDigits value="6"/>
                            <xs:fractionDigits value="0"/>
                          </xs:restriction>
                        </xs:simpleType>
                      </xs:attribute>
                      <xs:attribute name="psc_banky" use="optional">
                        <xs:simpleType>
                          <xs:restriction base="xs:string">
                            <xs:minLength value="0"/>
                            <xs:maxLength value="35"/>
                          </xs:restriction>
                        </xs:simpleType>
                      </xs:attribute>
                      <xs:attribute name="zvp_naz_bank" use="optional">
                        <xs:simpleType>
                          <xs:restriction base="xs:string">
                            <xs:minLength value="0"/>
                            <xs:maxLength value="30"/>
                          </xs:restriction>
                        </xs:simpleType>
                      </xs:attribute>
                      <xs:attribute name="zvp_c_pop" use="optional">
                        <xs:simpleType>
                          <xs:restriction base="xs:decimal">
                            <xs:totalDigits value="6"/>
                            <xs:fractionDigits value="0"/>
                          </xs:restriction>
                        </xs:simpleType>
                      </xs:attribute>
                      <xs:attribute name="region_prij" use="optional">
                        <xs:simpleType>
                          <xs:restriction base="xs:string">
                            <xs:minLength value="0"/>
                            <xs:maxLength value="35"/>
                          </xs:restriction>
                        </xs:simpleType>
                      </xs:attribute>
                      <xs:attribute name="zvp_spec_symb" use="optional">
                        <xs:simpleType>
                          <xs:restriction base="xs:string">
                            <xs:minLength value="0"/>
                            <xs:maxLength value="10"/>
                          </xs:restriction>
                        </xs:simpleType>
                      </xs:attribute>
                      <xs:attribute name="zvp_c_obce" use="optional">
                        <xs:simpleType>
                          <xs:restriction base="xs:decimal">
                            <xs:totalDigits value="6"/>
                            <xs:fractionDigits value="0"/>
                          </xs:restriction>
                        </xs:simpleType>
                      </xs:attribute>
                      <xs:attribute name="region_banky" use="optional">
                        <xs:simpleType>
                          <xs:restriction base="xs:string">
                            <xs:minLength value="0"/>
                            <xs:maxLength value="35"/>
                          </xs:restriction>
                        </xs:simpleType>
                      </xs:attribute>
                      <xs:attribute name="psc_prij" use="optional">
                        <xs:simpleType>
                          <xs:restriction base="xs:string">
                            <xs:minLength value="0"/>
                            <xs:maxLength value="35"/>
                          </xs:restriction>
                        </xs:simpleType>
                      </xs:attribute>
                      <xs:attribute name="zvp_titul" use="optional">
                        <xs:simpleType>
                          <xs:restriction base="xs:string">
                            <xs:minLength value="0"/>
                            <xs:maxLength value="10"/>
                          </xs:restriction>
                        </xs:simpleType>
                      </xs:attribute>
                      <xs:attribute name="mesto_banky" use="optional">
                        <xs:annotation>
                          <xs:documentation>Uveďte název obce/města z adresy banky.&lt;br /&gt;Položka obsahuje kritickou kontrolu: při žádosti o vrácení přeplatku na zahraniční účet musí být v adrese bankovní instituce uveden název města</xs:documentation>
                        </xs:annotation>
                        <xs:simpleType>
                          <xs:restriction base="xs:string">
                            <xs:minLength value="0"/>
                            <xs:maxLength value="35"/>
                          </xs:restriction>
                        </xs:simpleType>
                      </xs:attribute>
                      <xs:attribute name="ulice_banky" use="optional">
                        <xs:simpleType>
                          <xs:restriction base="xs:string">
                            <xs:minLength value="0"/>
                            <xs:maxLength value="35"/>
                          </xs:restriction>
                        </xs:simpleType>
                      </xs:attribute>
                      <xs:attribute name="mesto_prij" use="optional">
                        <xs:annotation>
                          <xs:documentation>Uveďte název obce/města z adresy vlastníka účtu.&lt;br /&gt;Položka obsahuje kritickou kontrolu: při žádosti o vrácení přeplatku na zahraniční účet musí být v adrese vlastníka účtu uveden název města</xs:documentation>
                        </xs:annotation>
                        <xs:simpleType>
                          <xs:restriction base="xs:string">
                            <xs:minLength value="0"/>
                            <xs:maxLength value="35"/>
                          </xs:restriction>
                        </xs:simpleType>
                      </xs:attribute>
                      <xs:attribute name="zvp_c_orient" use="optional">
                        <xs:simpleType>
                          <xs:restriction base="xs:string">
                            <xs:minLength value="0"/>
                            <xs:maxLength value="4"/>
                          </xs:restriction>
                        </xs:simpleType>
                      </xs:attribute>
                      <xs:attribute name="zvp_psc" use="optional">
                        <xs:simpleType>
                          <xs:restriction base="xs:decimal">
                            <xs:totalDigits value="5"/>
                            <xs:fractionDigits value="0"/>
                          </xs:restriction>
                        </xs:simpleType>
                      </xs:attribute>
                      <xs:attribute name="zvp_prijmeni" use="optional">
                        <xs:simpleType>
                          <xs:restriction base="xs:string">
                            <xs:minLength value="0"/>
                            <xs:maxLength value="36"/>
                          </xs:restriction>
                        </xs:simpleType>
                      </xs:attribute>
                      <xs:attribute name="id_banky" use="optional">
                        <xs:annotation>
                          <xs:documentation>Uveďte ID banky (měl by být uveden BIC kód - swiftový kód banky).&lt;br /&gt;Položka obsahuje kritickou kontrolu: při žádosti o vrácení přeplatku na zahraniční účet (nebo účet v ČR vedený v cizí měně) (2013: zahraniční účet) musí být vyplněna identifikace banky (BIC kód).</xs:documentation>
                        </xs:annotation>
                        <xs:simpleType>
                          <xs:restriction base="xs:string">
                            <xs:minLength value="0"/>
                            <xs:maxLength value="20"/>
                          </xs:restriction>
                        </xs:simpleType>
                      </xs:attribute>
                      <xs:attribute name="k_meny_uctu" use="optional">
                        <xs:annotation>
                          <xs:documentation>Uveďte kód měny, ve které je zahraniční účet (nebo účet v ČR vedený v cizí měně) (2013: zahraniční účet) veden.&lt;br /&gt;Pro hodnotu této položky použijte číselník Země (zeme). Z číselníku se vkládá položka k_meny.&lt;br /&gt;Položka obsahuje kritickou kontrolu: hodnota musí být platnou hodnotou z číselníku měn.&lt;br&gt;
Pro popis číselníku Země klikněte &lt;a href="http://adisepo.mfcr.cz/adis/jepo/epo/ukazka_ciselniku.htm?C=zeme"&gt;zde&lt;/a&gt;.</xs:documentation>
                        </xs:annotation>
                        <xs:simpleType>
                          <xs:restriction base="xs:string">
                            <xs:minLength value="0"/>
                            <xs:maxLength value="3"/>
                          </xs:restriction>
                        </xs:simpleType>
                      </xs:attribute>
                      <xs:attribute name="stat_prij" use="optional">
                        <xs:annotation>
                          <xs:documentation>Uveďte kód státu z adresy vlastníka účtu.&lt;br /&gt;Pro hodnotu této položky použijte číselník Země (zeme). Z číselníku se vkládá položka kod2.&lt;br /&gt;Položka obsahuje kritické kontroly: při žádosti o vrácení přeplatku na zahraniční účet musí být v adrese vlastníka účtu označen stát a kód státu musí být uveden v číselníku zemí&lt;br&gt;
Pro popis číselníku Země klikněte &lt;a href="http://adisepo.mfcr.cz/adis/jepo/epo/ukazka_ciselniku.htm?C=zeme"&gt;zde&lt;/a&gt;.</xs:documentation>
                        </xs:annotation>
                        <xs:simpleType>
                          <xs:restriction base="xs:string">
                            <xs:minLength value="0"/>
                            <xs:maxLength value="2"/>
                          </xs:restriction>
                        </xs:simpleType>
                      </xs:attribute>
                      <xs:attribute name="nazev_prij" use="optional">
                        <xs:annotation>
                          <xs:documentation>Uveďte název vlastníka účtu.&lt;br /&gt;Položka obsahuje kritickou kontrolu: při žádosti o vrácení přeplatku na zahraniční účet musí být v žádosti uveden název vlastníka účtu</xs:documentation>
                        </xs:annotation>
                        <xs:simpleType>
                          <xs:restriction base="xs:string">
                            <xs:minLength value="0"/>
                            <xs:maxLength value="35"/>
                          </xs:restriction>
                        </xs:simpleType>
                      </xs:attribute>
                      <xs:attribute name="sym_plvmpv" use="optional">
                        <xs:simpleType>
                          <xs:restriction base="xs:string">
                            <xs:minLength value="0"/>
                            <xs:maxLength value="35"/>
                          </xs:restriction>
                        </xs:simpleType>
                      </xs:attribute>
                      <xs:attribute name="c_nest_uctu" use="optional">
                        <xs:annotation>
                          <xs:documentation>Uveďte číslo zahraničního účtu (nebo účtu v ČR vedeného v cizí měně) (2013: zahraničního účtu) ve formátu IBAN.&lt;br /&gt;Položka obsahuje kritickou kontrolu: při žádosti o vrácení přeplatku na zahraniční účet musí být vyplněno číslo zahraničního účtu.</xs:documentation>
                        </xs:annotation>
                        <xs:simpleType>
                          <xs:restriction base="xs:string">
                            <xs:minLength value="0"/>
                            <xs:maxLength value="34"/>
                          </xs:restriction>
                        </xs:simpleType>
                      </xs:attribute>
                      <xs:attribute name="zvp_c_komds" use="optional">
                        <xs:annotation>
                          <xs:documentation>Uveďte číslo komitenta.&lt;br /&gt;Položka obsahuje kritickou kontrolu: číslo komitenta musí být ve správném formátu</xs:documentation>
                        </xs:annotation>
                        <xs:simpleType>
                          <xs:restriction base="xs:string">
                            <xs:pattern value="[0-9]{1,10}"/>
                          </xs:restriction>
                        </xs:simpleType>
                      </xs:attribute>
                    </xs:complexType>
                  </xs:element>
                  <xs:element maxOccurs="unbounded" minOccurs="0" name="Vetab">
                    <xs:complexType>
                      <xs:attribute name="kc_vyplbonusp" use="optional">
                        <xs:simpleType>
                          <xs:restriction base="xs:decimal">
                            <xs:totalDigits value="14"/>
                            <xs:fractionDigits value="0"/>
                          </xs:restriction>
                        </xs:simpleType>
                      </xs:attribute>
                      <xs:attribute name="kc_zalzavcp" use="optional">
                        <xs:simpleType>
                          <xs:restriction base="xs:decimal">
                            <xs:totalDigits value="14"/>
                            <xs:fractionDigits value="0"/>
                          </xs:restriction>
                        </xs:simpleType>
                      </xs:attribute>
                      <xs:attribute name="kc_srazp" use="optional">
                        <xs:annotation>
                          <xs:documentation>Položka obsahuje kritickou kontrolu: vyplňuje se od ZO 2014.</xs:documentation>
                        </xs:annotation>
                        <xs:simpleType>
                          <xs:restriction base="xs:decimal">
                            <xs:totalDigits value="14"/>
                            <xs:fractionDigits value="0"/>
                          </xs:restriction>
                        </xs:simpleType>
                      </xs:attribute>
                      <xs:attribute name="kc_prij6p" use="optional">
                        <xs:simpleType>
                          <xs:restriction base="xs:decimal">
                            <xs:totalDigits value="14"/>
                            <xs:fractionDigits value="0"/>
                          </xs:restriction>
                        </xs:simpleType>
                      </xs:attribute>
                      <xs:attribute name="kc_sraz368p" use="optional">
                        <xs:annotation>
                          <xs:documentation>Položka obsahuje kritickou kontrolu: vyplňuje se od ZO 2015.</xs:documentation>
                        </xs:annotation>
                        <xs:simpleType>
                          <xs:restriction base="xs:decimal">
                            <xs:totalDigits value="14"/>
                            <xs:fractionDigits value="0"/>
                          </xs:restriction>
                        </xs:simpleType>
                      </xs:attribute>
                      <xs:attribute name="kc_poj6p" use="optional">
                        <xs:simpleType>
                          <xs:restriction base="xs:decimal">
                            <xs:totalDigits value="14"/>
                            <xs:fractionDigits value="0"/>
                          </xs:restriction>
                        </xs:simpleType>
                      </xs:attribute>
                    </xs:complexType>
                  </xs:element>
                  <xs:element maxOccurs="unbounded" minOccurs="0" name="Vetad">
                    <xs:complexType>
                      <xs:attribute name="dan_seznam" use="optional">
                        <xs:annotation>
                          <xs:documentation>Uveďte částku daně zaplacené v tomto státě přepočtenou na Kč, nebo v případě, že nemáte k dispozici doklady zahraničního správce daně, uveďte předpokládanou výši daně uplatněnou v daňovém přiznání.</xs:documentation>
                        </xs:annotation>
                        <xs:simpleType>
                          <xs:restriction base="xs:decimal">
                            <xs:totalDigits value="14"/>
                            <xs:fractionDigits value="0"/>
                          </xs:restriction>
                        </xs:simpleType>
                      </xs:attribute>
                      <xs:attribute name="ident_udaje" use="optional">
                        <xs:annotation>
                          <xs:documentation>Uveďte údaje (včetně adresy) identifikující zahraničního správce daně nebo zahraničního plátce daně anebo depozitáře, identifikační údaje uveďte i v případě, když nemáte doklady zahraničního správce daně ve lhůtě k podání daňového přiznání k dispozici.</xs:documentation>
                        </xs:annotation>
                        <xs:simpleType>
                          <xs:restriction base="xs:string">
                            <xs:minLength value="0"/>
                            <xs:maxLength value="255"/>
                          </xs:restriction>
                        </xs:simpleType>
                      </xs:attribute>
                      <xs:attribute name="zapl_dan" use="optional">
                        <xs:annotation>
                          <xs:documentation>Uveďte částku daně zaplacené v tomto státě v místní měně.</xs:documentation>
                        </xs:annotation>
                        <xs:simpleType>
                          <xs:restriction base="xs:decimal">
                            <xs:totalDigits value="14"/>
                            <xs:fractionDigits value="0"/>
                          </xs:restriction>
                        </xs:simpleType>
                      </xs:attribute>
                      <xs:attribute name="prijmy_seznam" use="optional">
                        <xs:annotation>
                          <xs:documentation>Uveďte výši příjmů ze zdrojů v tomto státě, stanovenou podle § 38f odst. 3 zákona, nebo v případě, že nemáte k dispozici doklady zahraničního správce daně, uveďte odhadovanou výši příjmů, příjmy ze závislé činnosti uveďte v souladu s § 6 odst.14 zákona</xs:documentation>
                        </xs:annotation>
                        <xs:simpleType>
                          <xs:restriction base="xs:decimal">
                            <xs:totalDigits value="14"/>
                            <xs:fractionDigits value="0"/>
                          </xs:restriction>
                        </xs:simpleType>
                      </xs:attribute>
                      <xs:attribute name="k_stat_zdroj" use="optional">
                        <xs:annotation>
                          <xs:documentation>Uveďte stát zdroje zahraničních příjmů.</xs:documentation>
                        </xs:annotation>
                        <xs:simpleType>
                          <xs:restriction base="xs:string">
                            <xs:minLength value="0"/>
                            <xs:maxLength value="2"/>
                          </xs:restriction>
                        </xs:simpleType>
                      </xs:attribute>
                    </xs:complexType>
                  </xs:element>
                  <xs:element maxOccurs="unbounded" minOccurs="0" name="VetaUA">
                    <xs:complexType>
                      <xs:attribute name="kc_korekce" use="optional">
                        <xs:annotation>
                          <xs:documentation>Hodnota ve sloupci korekce (v tis. Kč). Záporné znaménko se neuvádí.&lt;br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netto_min" use="optional">
                        <xs:annotation>
                          <xs:documentation>Hodnota ve sloupci minulé období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kc_brutto" use="optional">
                        <xs:annotation>
                          <xs:documentation>Hodnota ve sloupci brutto (v tis. Kč). &lt;br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netto" use="optional">
                        <xs:annotation>
                          <xs:documentation>Hodnota ve sloupci netto (v tis. Kč).&lt;br /&gt;Položka obsahuje kritickou kontrolu: hodnota nesmí být zadána u skrytého sloupce (dle definice v číselníku, u těch tabulek kde se skrývané sloupce aplikují - tedy v tabulce pasiv u rozvah pojišťoven a zdravotních pojišťoven).</xs:documentation>
                        </xs:annotation>
                        <xs:simpleType>
                          <xs:restriction base="xs:decimal">
                            <xs:totalDigits value="14"/>
                            <xs:fractionDigits value="0"/>
                          </xs:restriction>
                        </xs:simpleType>
                      </xs:attribute>
                    </xs:complexType>
                  </xs:element>
                  <xs:element maxOccurs="unbounded" minOccurs="0" name="VetaUB">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C">
                    <xs:complexTyp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complexType>
                  </xs:element>
                  <xs:element maxOccurs="unbounded" minOccurs="0" name="VetaUD">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UE">
                    <xs:complexType>
                      <xs:attribute name="c_radku" use="optional">
                        <xs:annotation>
                          <xs:documentation>Číslo řádku účetního výkazu. Více informací viz stránka: &lt;a href="idpr_pub/hlib/uv_info/uv_info.faces"&gt;Informace o číslech řádků pro věty účetních výkazů&lt;/a&gt;.&lt;br /&gt;Položka obsahuje kritické kontroly: nesmí být duplicitní, musí odpovídat hodnotě z číselníku (viz odkaz výše).</xs:documentation>
                        </xs:annotation>
                        <xs:simpleType>
                          <xs:restriction base="xs:decimal">
                            <xs:totalDigits value="3"/>
                            <xs:fractionDigits value="0"/>
                          </xs:restriction>
                        </xs:simpleType>
                      </xs:attribute>
                      <xs:attribute name="c_listu" use="optional">
                        <xs:annotation>
                          <xs:documentation>Číslo listu (pro zpětnou kompatibilitu, povolena hodnota 1).</xs:documentation>
                        </xs:annotation>
                        <xs:simpleType>
                          <xs:restriction base="xs:decimal">
                            <xs:totalDigits value="1"/>
                            <xs:fractionDigits value="0"/>
                          </xs:restriction>
                        </xs:simpleType>
                      </xs:attribute>
                      <xs:attribute name="kc_sled" use="optional">
                        <xs:annotation>
                          <xs:documentation>Hodnota ve sloupci sledované účetní období (v tis. Kč).  </xs:documentation>
                        </xs:annotation>
                        <xs:simpleType>
                          <xs:restriction base="xs:decimal">
                            <xs:totalDigits value="14"/>
                            <xs:fractionDigits value="0"/>
                          </xs:restriction>
                        </xs:simpleType>
                      </xs:attribute>
                      <xs:attribute name="kc_min" use="optional">
                        <xs:annotation>
                          <xs:documentation>Hodnota ve sloupci minulé účetní období (v tis. Kč).  </xs:documentation>
                        </xs:annotation>
                        <xs:simpleType>
                          <xs:restriction base="xs:decimal">
                            <xs:totalDigits value="14"/>
                            <xs:fractionDigits value="0"/>
                          </xs:restriction>
                        </xs:simpleType>
                      </xs:attribute>
                    </xs:complexType>
                  </xs:element>
                  <xs:element maxOccurs="unbounded" minOccurs="0" name="VetaX">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korekce"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attribute name="kc_ne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brutto"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netto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complexType>
                  </xs:element>
                  <xs:element maxOccurs="unbounded" minOccurs="0" name="VetaY">
                    <xs:complexType>
                      <xs:attribute name="c_radk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3"/>
                            <xs:fractionDigits value="0"/>
                          </xs:restriction>
                        </xs:simpleType>
                      </xs:attribute>
                      <xs:attribute name="tab_uv" use="optional">
                        <xs:annotation>
                          <xs:documentation>Pomocná položka, která je použita pro nahrání písemnosti s datovou strukturou ÚV z předchozích let. Společný popis pro všechy pomocné položky konverze.</xs:documentation>
                        </xs:annotation>
                        <xs:simpleType>
                          <xs:restriction base="xs:string">
                            <xs:minLength value="0"/>
                            <xs:maxLength value="2"/>
                          </xs:restriction>
                        </xs:simpleType>
                      </xs:attribute>
                      <xs:attribute name="kc_min"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kc_sled"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4"/>
                            <xs:fractionDigits value="0"/>
                          </xs:restriction>
                        </xs:simpleType>
                      </xs:attribute>
                      <xs:attribute name="c_listu" use="optional">
                        <xs:annotation>
                          <xs:documentation>Pomocná položka, která je použita pro nahrání písemnosti s datovou strukturou ÚV z předchozích let. Společný popis pro všechy pomocné položky konverze.</xs:documentation>
                        </xs:annotation>
                        <xs:simpleType>
                          <xs:restriction base="xs:decimal">
                            <xs:totalDigits value="1"/>
                            <xs:fractionDigits value="0"/>
                          </xs:restriction>
                        </xs:simpleType>
                      </xs:attribute>
                    </xs:complexType>
                  </xs:element>
                  <xs:element maxOccurs="unbounded" minOccurs="0" name="Vetae">
                    <xs:complexType>
                      <xs:attribute name="typ_list" use="optional">
                        <xs:annotation>
                          <xs:documentation>Položka obsahuje kritické kontroly: musí být V - vklad nebo Z - záznam, vyplňuje se od ZO 2014, musí být vyplněna v každém záznamu čísla rozhodnutí KÚ.</xs:documentation>
                        </xs:annotation>
                        <xs:simpleType>
                          <xs:restriction base="xs:string">
                            <xs:minLength value="0"/>
                            <xs:maxLength value="1"/>
                          </xs:restriction>
                        </xs:simpleType>
                      </xs:attribute>
                      <xs:attribute name="rok_list" use="optional">
                        <xs:annotation>
                          <xs:documentation>Položka obsahuje kritické kontroly: vyplňuje se od ZO 2014, musí být vyplněna v každém záznamu čísla rozhodnutí KÚ.</xs:documentation>
                        </xs:annotation>
                        <xs:simpleType>
                          <xs:restriction base="xs:decimal">
                            <xs:totalDigits value="4"/>
                            <xs:fractionDigits value="0"/>
                          </xs:restriction>
                        </xs:simpleType>
                      </xs:attribute>
                      <xs:attribute name="c_porlist" use="optional">
                        <xs:annotation>
                          <xs:documentation>Položka obsahuje kritické kontroly: vyplňuje se od ZO 2014, musí být vyplněna v každém záznamu čísla rozhodnutí KÚ.</xs:documentation>
                        </xs:annotation>
                        <xs:simpleType>
                          <xs:restriction base="xs:decimal">
                            <xs:totalDigits value="6"/>
                            <xs:fractionDigits value="0"/>
                          </xs:restriction>
                        </xs:simpleType>
                      </xs:attribute>
                      <xs:attribute name="c_prac_ku" use="optional">
                        <xs:annotation>
                          <xs:documentation>Položka obsahuje kritické kontroly: vyplňuje se od ZO 2014, musí být vyplněna v každém záznamu čísla rozhodnutí KÚ.</xs:documentation>
                        </xs:annotation>
                        <xs:simpleType>
                          <xs:restriction base="xs:decimal">
                            <xs:totalDigits value="3"/>
                            <xs:fractionDigits value="0"/>
                          </xs:restriction>
                        </xs:simpleType>
                      </xs:attribute>
                    </xs:complexType>
                  </xs:element>
                  <xs:element maxOccurs="1" minOccurs="0" name="Prilohy">
                    <xs:complexType>
                      <xs:sequence>
                        <xs:element maxOccurs="unbounded" minOccurs="0" name="Obec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extension>
                            </xs:simpleContent>
                          </xs:complexType>
                        </xs:element>
                        <xs:element maxOccurs="15" minOccurs="0" name="PredepsanaPriloha">
                          <xs:complexType>
                            <xs:simpleContent>
                              <xs:extension base="xs:base64Binary">
                                <xs:attribute name="cislo" use="required">
                                  <xs:annotation>
                                    <xs:documentation>Pořadové číslo přílohy</xs:documentation>
                                  </xs:annotation>
                                  <xs:simpleType>
                                    <xs:restriction base="xs:decimal">
                                      <xs:totalDigits value="4"/>
                                      <xs:fractionDigits value="0"/>
                                    </xs:restriction>
                                  </xs:simpleType>
                                </xs:attribute>
                                <xs:attribute name="nazev" use="optional">
                                  <xs:annotation>
                                    <xs:documentation>Popis přiloženého souboru</xs:documentation>
                                  </xs:annotation>
                                  <xs:simpleType>
                                    <xs:restriction base="xs:string">
                                      <xs:minLength value="0"/>
                                      <xs:maxLength value="255"/>
                                    </xs:restriction>
                                  </xs:simpleType>
                                </xs:attribute>
                                <xs:attribute name="jm_souboru" use="optional">
                                  <xs:annotation>
                                    <xs:documentation>&lt;strong&gt;Název přiloženého souboru.&lt;/strong&gt;&lt;br/&gt;povolené typy souborů jsou: DOC, DOCX, RTF, XLS, XLSX, PDF, JPG a TXT. Dále je možné přiložit podepsané (formát PKCS#7) a komprimované (formát ZIP) soubory, vždy však jde o jeden podepsaný nebo jeden komprimovaný soubor některého z podporovaných formátů. Součet velikostí všech souborů přiložených v elektronické podobě (tzv. e-příloh) může být nejvýše 4 000 kilobajtů.</xs:documentation>
                                  </xs:annotation>
                                  <xs:simpleType>
                                    <xs:restriction base="xs:string">
                                      <xs:minLength value="0"/>
                                      <xs:maxLength value="255"/>
                                    </xs:restriction>
                                  </xs:simpleType>
                                </xs:attribute>
                                <xs:attribute name="kodovani" use="optional">
                                  <xs:annotation>
                                    <xs:documentation>Kódování přiloženého souboru</xs:documentation>
                                  </xs:annotation>
                                  <xs:simpleType>
                                    <xs:restriction base="xs:string">
                                      <xs:enumeration value="base64"/>
                                    </xs:restriction>
                                  </xs:simpleType>
                                </xs:attribute>
                                <xs:attribute name="kod" use="required">
                                  <xs:annotation>
                                    <xs:documentation>Kód přiloženého souboru</xs:documentation>
                                  </xs:annotation>
                                  <xs:simpleType>
                                    <xs:restriction base="xs:string">
                                      <xs:pattern value="(PP_DAR|PP_POTZIVP|PP_OPISPUV|PP_POTPRIJ|PP_POTV36|PP_DALSIVZ|PP_POTDAZV|PP_VKLAKU|PP_POTVPOV|PP_POTVMS|PP_POTPENZ|PP_UCETZAV|PP_POJPRI|PP_POTZASD|PP_POTUVER){1}"/>
                                    </xs:restriction>
                                  </xs:simpleType>
                                </xs:attribute>
                              </xs:extension>
                            </xs:simpleContent>
                          </xs:complexType>
                        </xs:element>
                      </xs:sequence>
                    </xs:complexType>
                  </xs:element>
                </xs:sequence>
                <xs:attribute name="verzePis" type="xs:string"/>
              </xs:complexType>
            </xs:element>
            <xs:element maxOccurs="1" minOccurs="0" name="Kontrola">
              <xs:complexType>
                <xs:sequence>
                  <xs:any maxOccurs="unbounded" minOccurs="0" processContents="lax"/>
                </xs:sequence>
                <xs:anyAttribute processContents="lax"/>
              </xs:complexType>
            </xs:element>
          </xs:sequence>
          <xs:attribute name="verzeSW" type="xs:string"/>
          <xs:attribute name="nazevSW" type="xs:string"/>
          <xs:anyAttribute processContents="lax"/>
        </xs:complexType>
      </xs:element>
    </xs:schema>
  </Schema>
  <Map ID="6" Name="dpfdp5_epo2_050101" RootElement="Pisemnost" SchemaID="Schema3" ShowImportExportValidationErrors="false" AutoFit="true" Append="false" PreserveSortAFLayout="true" PreserveFormat="true"/>
</MapInfo>
</file>

<file path=xl/_rels/workbook.xml.rels><?xml version="1.0" encoding="UTF-8" standalone="yes"?><Relationships xmlns="http://schemas.openxmlformats.org/package/2006/relationships"><Relationship Id="rId20" Type="http://schemas.openxmlformats.org/officeDocument/2006/relationships/worksheet" Target="worksheets/sheet18.xml" /><Relationship Id="rId22" Type="http://schemas.openxmlformats.org/officeDocument/2006/relationships/worksheet" Target="worksheets/sheet20.xml" /><Relationship Id="rId21" Type="http://schemas.openxmlformats.org/officeDocument/2006/relationships/worksheet" Target="worksheets/sheet19.xml" /><Relationship Id="rId24" Type="http://schemas.openxmlformats.org/officeDocument/2006/relationships/worksheet" Target="worksheets/sheet22.xml" /><Relationship Id="rId23" Type="http://schemas.openxmlformats.org/officeDocument/2006/relationships/worksheet" Target="worksheets/sheet21.xml" /><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9" Type="http://schemas.openxmlformats.org/officeDocument/2006/relationships/worksheet" Target="worksheets/sheet7.xml" /><Relationship Id="rId26" Type="http://schemas.openxmlformats.org/officeDocument/2006/relationships/worksheet" Target="worksheets/sheet24.xml" /><Relationship Id="rId25" Type="http://schemas.openxmlformats.org/officeDocument/2006/relationships/worksheet" Target="worksheets/sheet23.xml" /><Relationship Id="rId28" Type="http://schemas.openxmlformats.org/officeDocument/2006/relationships/worksheet" Target="worksheets/sheet26.xml" /><Relationship Id="rId27" Type="http://schemas.openxmlformats.org/officeDocument/2006/relationships/worksheet" Target="worksheets/sheet25.xml" /><Relationship Id="rId5" Type="http://schemas.openxmlformats.org/officeDocument/2006/relationships/worksheet" Target="worksheets/sheet3.xml" /><Relationship Id="rId6" Type="http://schemas.openxmlformats.org/officeDocument/2006/relationships/worksheet" Target="worksheets/sheet4.xml" /><Relationship Id="rId29" Type="http://schemas.openxmlformats.org/officeDocument/2006/relationships/worksheet" Target="worksheets/sheet27.xml" /><Relationship Id="rId7" Type="http://schemas.openxmlformats.org/officeDocument/2006/relationships/worksheet" Target="worksheets/sheet5.xml" /><Relationship Id="rId8" Type="http://schemas.openxmlformats.org/officeDocument/2006/relationships/worksheet" Target="worksheets/sheet6.xml" /><Relationship Id="rId31" Type="http://schemas.openxmlformats.org/officeDocument/2006/relationships/worksheet" Target="worksheets/sheet29.xml" /><Relationship Id="rId30" Type="http://schemas.openxmlformats.org/officeDocument/2006/relationships/worksheet" Target="worksheets/sheet28.xml" /><Relationship Id="rId11" Type="http://schemas.openxmlformats.org/officeDocument/2006/relationships/worksheet" Target="worksheets/sheet9.xml" /><Relationship Id="rId33" Type="http://schemas.openxmlformats.org/officeDocument/2006/relationships/externalLink" Target="externalLinks/externalLink1.xml" /><Relationship Id="rId10" Type="http://schemas.openxmlformats.org/officeDocument/2006/relationships/worksheet" Target="worksheets/sheet8.xml" /><Relationship Id="rId32" Type="http://schemas.openxmlformats.org/officeDocument/2006/relationships/sharedStrings" Target="sharedStrings.xml" /><Relationship Id="rId13" Type="http://schemas.openxmlformats.org/officeDocument/2006/relationships/worksheet" Target="worksheets/sheet11.xml" /><Relationship Id="rId35" Type="http://schemas.openxmlformats.org/officeDocument/2006/relationships/externalLink" Target="externalLinks/externalLink3.xml" /><Relationship Id="rId12" Type="http://schemas.openxmlformats.org/officeDocument/2006/relationships/worksheet" Target="worksheets/sheet10.xml" /><Relationship Id="rId34" Type="http://schemas.openxmlformats.org/officeDocument/2006/relationships/externalLink" Target="externalLinks/externalLink2.xml" /><Relationship Id="rId15" Type="http://schemas.openxmlformats.org/officeDocument/2006/relationships/worksheet" Target="worksheets/sheet13.xml" /><Relationship Id="rId37" Type="http://schemas.openxmlformats.org/officeDocument/2006/relationships/externalLink" Target="externalLinks/externalLink5.xml" /><Relationship Id="rId14" Type="http://schemas.openxmlformats.org/officeDocument/2006/relationships/worksheet" Target="worksheets/sheet12.xml" /><Relationship Id="rId36" Type="http://schemas.openxmlformats.org/officeDocument/2006/relationships/externalLink" Target="externalLinks/externalLink4.xml" /><Relationship Id="rId17" Type="http://schemas.openxmlformats.org/officeDocument/2006/relationships/worksheet" Target="worksheets/sheet15.xml" /><Relationship Id="rId39" Type="http://schemas.openxmlformats.org/officeDocument/2006/relationships/calcChain" Target="calcChain.xml" /><Relationship Id="rId16" Type="http://schemas.openxmlformats.org/officeDocument/2006/relationships/worksheet" Target="worksheets/sheet14.xml" /><Relationship Id="rId38" Type="http://schemas.openxmlformats.org/officeDocument/2006/relationships/xmlMaps" Target="xmlMaps.xml" /><Relationship Id="rId19" Type="http://schemas.openxmlformats.org/officeDocument/2006/relationships/worksheet" Target="worksheets/sheet17.xml" /><Relationship Id="rId18" Type="http://schemas.openxmlformats.org/officeDocument/2006/relationships/worksheet" Target="worksheets/sheet16.xml" /></Relationships>
</file>

<file path=xl/drawings/_rels/drawing1.xml.rels><?xml version="1.0" encoding="UTF-8" standalone="yes"?><Relationships xmlns="http://schemas.openxmlformats.org/package/2006/relationships"><Relationship Id="rId1" Type="http://schemas.openxmlformats.org/officeDocument/2006/relationships/image" Target="../media/image1.jpeg" /><Relationship Id="rId2" Type="http://schemas.openxmlformats.org/officeDocument/2006/relationships/image" Target="../media/image2.jpeg" /><Relationship Id="rId3" Type="http://schemas.openxmlformats.org/officeDocument/2006/relationships/image" Target="../media/image1.png" /></Relationships>
</file>

<file path=xl/drawings/_rels/drawing2.xml.rels><?xml version="1.0" encoding="UTF-8" standalone="yes"?><Relationships xmlns="http://schemas.openxmlformats.org/package/2006/relationships"><Relationship Id="rId1" Type="http://schemas.openxmlformats.org/officeDocument/2006/relationships/image" Target="../media/image1.emf" /><Relationship Id="rId2" Type="http://schemas.openxmlformats.org/officeDocument/2006/relationships/image" Target="../media/image3.jpeg" /></Relationships>
</file>

<file path=xl/drawings/_rels/drawing3.xml.rels><?xml version="1.0" encoding="UTF-8" standalone="yes"?><Relationships xmlns="http://schemas.openxmlformats.org/package/2006/relationships"><Relationship Id="rId1" Type="http://schemas.openxmlformats.org/officeDocument/2006/relationships/image" Target="../media/image4.jpeg" /><Relationship Id="rId2" Type="http://schemas.openxmlformats.org/officeDocument/2006/relationships/image" Target="../media/image5.jpeg" /></Relationships>
</file>

<file path=xl/drawings/_rels/drawing4.xml.rels><?xml version="1.0" encoding="UTF-8" standalone="yes"?><Relationships xmlns="http://schemas.openxmlformats.org/package/2006/relationships"><Relationship Id="rId1" Type="http://schemas.openxmlformats.org/officeDocument/2006/relationships/image" Target="../media/image1.emf" /></Relationships>
</file>

<file path=xl/drawings/_rels/drawing5.xml.rels><?xml version="1.0" encoding="UTF-8" standalone="yes"?><Relationships xmlns="http://schemas.openxmlformats.org/package/2006/relationships"><Relationship Id="rId1" Type="http://schemas.openxmlformats.org/officeDocument/2006/relationships/image" Target="../media/image1.emf" /></Relationships>
</file>

<file path=xl/drawings/_rels/drawing6.xml.rels><?xml version="1.0" encoding="UTF-8" standalone="yes"?><Relationships xmlns="http://schemas.openxmlformats.org/package/2006/relationships"><Relationship Id="rId1" Type="http://schemas.openxmlformats.org/officeDocument/2006/relationships/image" Target="../media/image2.emf" /><Relationship Id="rId2" Type="http://schemas.openxmlformats.org/officeDocument/2006/relationships/image" Target="../media/image6.jpeg" /></Relationships>
</file>

<file path=xl/drawings/_rels/drawing7.xml.rels><?xml version="1.0" encoding="UTF-8" standalone="yes"?><Relationships xmlns="http://schemas.openxmlformats.org/package/2006/relationships"><Relationship Id="rId1" Type="http://schemas.openxmlformats.org/officeDocument/2006/relationships/image" Target="../media/image6.jpeg" /></Relationships>
</file>

<file path=xl/drawings/drawing1.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361950</xdr:colOff>
      <xdr:row>0</xdr:row>
      <xdr:rowOff>85725</xdr:rowOff>
    </xdr:from>
    <xdr:to>
      <xdr:col>5</xdr:col>
      <xdr:colOff>295275</xdr:colOff>
      <xdr:row>5</xdr:row>
      <xdr:rowOff>152400</xdr:rowOff>
    </xdr:to>
    <xdr:pic>
      <xdr:nvPicPr>
        <xdr:cNvPr id="14345" name="Picture 2" descr="LOGO_ASPEKT_dane_orez_www">
          <a:extLst>
            <a:ext uri="{FF2B5EF4-FFF2-40B4-BE49-F238E27FC236}">
              <a16:creationId xmlns:a16="http://schemas.microsoft.com/office/drawing/2014/main" id="{00000000-0008-0000-0000-00000938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361950" y="85725"/>
          <a:ext cx="2981325" cy="8763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12</xdr:col>
      <xdr:colOff>0</xdr:colOff>
      <xdr:row>0</xdr:row>
      <xdr:rowOff>0</xdr:rowOff>
    </xdr:from>
    <xdr:to>
      <xdr:col>14</xdr:col>
      <xdr:colOff>268081</xdr:colOff>
      <xdr:row>40</xdr:row>
      <xdr:rowOff>74295</xdr:rowOff>
    </xdr:to>
    <xdr:pic>
      <xdr:nvPicPr>
        <xdr:cNvPr id="2" name="Obrázek 1">
          <a:extLst>
            <a:ext uri="{FF2B5EF4-FFF2-40B4-BE49-F238E27FC236}">
              <a16:creationId xmlns:a16="http://schemas.microsoft.com/office/drawing/2014/main" id="{00000000-0008-0000-00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7315200" y="0"/>
          <a:ext cx="6924675" cy="10077450"/>
        </a:xfrm>
        <a:prstGeom prst="rect"/>
      </xdr:spPr>
    </xdr:pic>
    <xdr:clientData/>
  </xdr:twoCellAnchor>
  <xdr:twoCellAnchor editAs="oneCell">
    <xdr:from>
      <xdr:col>5</xdr:col>
      <xdr:colOff>361950</xdr:colOff>
      <xdr:row>0</xdr:row>
      <xdr:rowOff>85725</xdr:rowOff>
    </xdr:from>
    <xdr:to>
      <xdr:col>9</xdr:col>
      <xdr:colOff>304800</xdr:colOff>
      <xdr:row>5</xdr:row>
      <xdr:rowOff>152400</xdr:rowOff>
    </xdr:to>
    <xdr:pic>
      <xdr:nvPicPr>
        <xdr:cNvPr id="14347" name="Picture 3">
          <a:extLst>
            <a:ext uri="{FF2B5EF4-FFF2-40B4-BE49-F238E27FC236}">
              <a16:creationId xmlns:a16="http://schemas.microsoft.com/office/drawing/2014/main" id="{bb81cbc9-17b5-41ec-ae06-a905df482983}"/>
            </a:ext>
          </a:extLst>
        </xdr:cNvPr>
        <xdr:cNvPicPr>
          <a:picLocks noChangeAspect="1"/>
        </xdr:cNvPicPr>
      </xdr:nvPicPr>
      <xdr:blipFill>
        <a:blip r:embed="rId3"/>
        <a:stretch>
          <a:fillRect/>
        </a:stretch>
      </xdr:blipFill>
      <xdr:spPr>
        <a:xfrm>
          <a:off x="3409950" y="85725"/>
          <a:ext cx="2381250" cy="876300"/>
        </a:xfrm>
        <a:prstGeom prst="rect"/>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29</xdr:col>
      <xdr:colOff>0</xdr:colOff>
      <xdr:row>0</xdr:row>
      <xdr:rowOff>28575</xdr:rowOff>
    </xdr:from>
    <xdr:to>
      <xdr:col>31</xdr:col>
      <xdr:colOff>190500</xdr:colOff>
      <xdr:row>3</xdr:row>
      <xdr:rowOff>101099</xdr:rowOff>
    </xdr:to>
    <xdr:pic>
      <xdr:nvPicPr>
        <xdr:cNvPr id="5" name="Obrázek 4">
          <a:extLst>
            <a:ext uri="{FF2B5EF4-FFF2-40B4-BE49-F238E27FC236}">
              <a16:creationId xmlns:a16="http://schemas.microsoft.com/office/drawing/2014/main" id="{00000000-0008-0000-1300-000005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581900" y="28575"/>
          <a:ext cx="628650" cy="628650"/>
        </a:xfrm>
        <a:prstGeom prst="rect"/>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28575</xdr:colOff>
      <xdr:row>70</xdr:row>
      <xdr:rowOff>219075</xdr:rowOff>
    </xdr:from>
    <xdr:to>
      <xdr:col>0</xdr:col>
      <xdr:colOff>1409700</xdr:colOff>
      <xdr:row>73</xdr:row>
      <xdr:rowOff>20755</xdr:rowOff>
    </xdr:to>
    <xdr:pic>
      <xdr:nvPicPr>
        <xdr:cNvPr id="2" name="Obrázek 1">
          <a:extLst>
            <a:ext uri="{FF2B5EF4-FFF2-40B4-BE49-F238E27FC236}">
              <a16:creationId xmlns:a16="http://schemas.microsoft.com/office/drawing/2014/main" id="{00000000-0008-0000-13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28575" y="11477625"/>
          <a:ext cx="1381125" cy="552450"/>
        </a:xfrm>
        <a:prstGeom prst="rect"/>
      </xdr:spPr>
    </xdr:pic>
    <xdr:clientData/>
  </xdr:two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34</xdr:col>
      <xdr:colOff>38100</xdr:colOff>
      <xdr:row>0</xdr:row>
      <xdr:rowOff>0</xdr:rowOff>
    </xdr:from>
    <xdr:to>
      <xdr:col>36</xdr:col>
      <xdr:colOff>95250</xdr:colOff>
      <xdr:row>1</xdr:row>
      <xdr:rowOff>152400</xdr:rowOff>
    </xdr:to>
    <xdr:pic>
      <xdr:nvPicPr>
        <xdr:cNvPr id="11287" name="Picture 4" descr="Logo_ČSSZ_přehled vprava nahoře">
          <a:extLst>
            <a:ext uri="{FF2B5EF4-FFF2-40B4-BE49-F238E27FC236}">
              <a16:creationId xmlns:a16="http://schemas.microsoft.com/office/drawing/2014/main" id="{00000000-0008-0000-1400-0000172c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6496050" y="0"/>
          <a:ext cx="381000" cy="3810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xdr:colOff>
      <xdr:row>61</xdr:row>
      <xdr:rowOff>428625</xdr:rowOff>
    </xdr:from>
    <xdr:to>
      <xdr:col>2</xdr:col>
      <xdr:colOff>1047751</xdr:colOff>
      <xdr:row>63</xdr:row>
      <xdr:rowOff>247650</xdr:rowOff>
    </xdr:to>
    <xdr:pic>
      <xdr:nvPicPr>
        <xdr:cNvPr id="2" name="Obrázek 1">
          <a:extLst>
            <a:ext uri="{FF2B5EF4-FFF2-40B4-BE49-F238E27FC236}">
              <a16:creationId xmlns:a16="http://schemas.microsoft.com/office/drawing/2014/main" id="{00000000-0008-0000-14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0" y="10172700"/>
          <a:ext cx="1371600" cy="457200"/>
        </a:xfrm>
        <a:prstGeom prst="rect"/>
      </xdr:spPr>
    </xdr:pic>
    <xdr:clientData/>
  </xdr:two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5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28</xdr:col>
      <xdr:colOff>57149</xdr:colOff>
      <xdr:row>0</xdr:row>
      <xdr:rowOff>28575</xdr:rowOff>
    </xdr:from>
    <xdr:to>
      <xdr:col>30</xdr:col>
      <xdr:colOff>180974</xdr:colOff>
      <xdr:row>0</xdr:row>
      <xdr:rowOff>568325</xdr:rowOff>
    </xdr:to>
    <xdr:pic>
      <xdr:nvPicPr>
        <xdr:cNvPr id="2" name="Obrázek 1">
          <a:extLst>
            <a:ext uri="{FF2B5EF4-FFF2-40B4-BE49-F238E27FC236}">
              <a16:creationId xmlns:a16="http://schemas.microsoft.com/office/drawing/2014/main" id="{00000000-0008-0000-1600-00000200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7858125" y="28575"/>
          <a:ext cx="542925" cy="542925"/>
        </a:xfrm>
        <a:prstGeom prst="rect"/>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0</xdr:col>
      <xdr:colOff>0</xdr:colOff>
      <xdr:row>0</xdr:row>
      <xdr:rowOff>161925</xdr:rowOff>
    </xdr:from>
    <xdr:to>
      <xdr:col>15</xdr:col>
      <xdr:colOff>38100</xdr:colOff>
      <xdr:row>3</xdr:row>
      <xdr:rowOff>85725</xdr:rowOff>
    </xdr:to>
    <xdr:pic>
      <xdr:nvPicPr>
        <xdr:cNvPr id="17428" name="Picture 3">
          <a:extLst>
            <a:ext uri="{FF2B5EF4-FFF2-40B4-BE49-F238E27FC236}">
              <a16:creationId xmlns:a16="http://schemas.microsoft.com/office/drawing/2014/main" id="{00000000-0008-0000-1800-000014440000}"/>
            </a:ext>
          </a:extLst>
        </xdr:cNvPr>
        <xdr:cNvPicPr>
          <a:picLocks noChangeArrowheads="1" noChangeAspect="1"/>
        </xdr:cNvPicPr>
      </xdr:nvPicPr>
      <xdr:blipFill>
        <a:blip r:embed="rId1">
          <a:extLst>
            <a:ext uri="{28A0092B-C50C-407E-A947-70E740481C1C}">
              <a14:useLocalDpi xmlns:a14="http://schemas.microsoft.com/office/drawing/2010/main"/>
            </a:ext>
          </a:extLst>
        </a:blip>
        <a:stretch>
          <a:fillRect/>
        </a:stretch>
      </xdr:blipFill>
      <xdr:spPr bwMode="auto">
        <a:xfrm>
          <a:off x="0" y="161925"/>
          <a:ext cx="2752725" cy="609600"/>
        </a:xfrm>
        <a:prstGeom prst="rect"/>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142875</xdr:colOff>
      <xdr:row>57</xdr:row>
      <xdr:rowOff>133350</xdr:rowOff>
    </xdr:from>
    <xdr:to>
      <xdr:col>12</xdr:col>
      <xdr:colOff>57150</xdr:colOff>
      <xdr:row>60</xdr:row>
      <xdr:rowOff>9525</xdr:rowOff>
    </xdr:to>
    <xdr:pic>
      <xdr:nvPicPr>
        <xdr:cNvPr id="2" name="Obrázek 1">
          <a:extLst>
            <a:ext uri="{FF2B5EF4-FFF2-40B4-BE49-F238E27FC236}">
              <a16:creationId xmlns:a16="http://schemas.microsoft.com/office/drawing/2014/main" id="{00000000-0008-0000-1800-000002000000}"/>
            </a:ext>
          </a:extLst>
        </xdr:cNvPr>
        <xdr:cNvPicPr>
          <a:picLocks noChangeAspect="1"/>
        </xdr:cNvPicPr>
      </xdr:nvPicPr>
      <xdr:blipFill>
        <a:blip r:embed="rId2">
          <a:extLst>
            <a:ext uri="{28A0092B-C50C-407E-A947-70E740481C1C}">
              <a14:useLocalDpi xmlns:a14="http://schemas.microsoft.com/office/drawing/2010/main"/>
            </a:ext>
          </a:extLst>
        </a:blip>
        <a:stretch>
          <a:fillRect/>
        </a:stretch>
      </xdr:blipFill>
      <xdr:spPr>
        <a:xfrm>
          <a:off x="866775" y="11334750"/>
          <a:ext cx="1362075" cy="390525"/>
        </a:xfrm>
        <a:prstGeom prst="rect"/>
      </xdr:spPr>
    </xdr:pic>
    <xdr:clientData/>
  </xdr:twoCellAnchor>
</xdr:wsDr>
</file>

<file path=xl/drawings/drawing7.xml><?xml version="1.0" encoding="utf-8"?>
<xdr:wsDr xmlns:xdr="http://schemas.openxmlformats.org/drawingml/2006/spreadsheetDrawing" xmlns:a="http://schemas.openxmlformats.org/drawingml/2006/main" xmlns:r="http://schemas.openxmlformats.org/officeDocument/2006/relationships" xmlns:a14="http://schemas.microsoft.com/office/drawing/2010/main">
  <xdr:twoCellAnchor editAs="oneCell">
    <xdr:from>
      <xdr:col>4</xdr:col>
      <xdr:colOff>57150</xdr:colOff>
      <xdr:row>57</xdr:row>
      <xdr:rowOff>152400</xdr:rowOff>
    </xdr:from>
    <xdr:to>
      <xdr:col>11</xdr:col>
      <xdr:colOff>152400</xdr:colOff>
      <xdr:row>60</xdr:row>
      <xdr:rowOff>28575</xdr:rowOff>
    </xdr:to>
    <xdr:pic>
      <xdr:nvPicPr>
        <xdr:cNvPr id="2" name="Obrázek 1">
          <a:extLst>
            <a:ext uri="{FF2B5EF4-FFF2-40B4-BE49-F238E27FC236}">
              <a16:creationId xmlns:a16="http://schemas.microsoft.com/office/drawing/2014/main" id="{00000000-0008-0000-1900-000002000000}"/>
            </a:ext>
          </a:extLst>
        </xdr:cNvPr>
        <xdr:cNvPicPr>
          <a:picLocks noChangeAspect="1"/>
        </xdr:cNvPicPr>
      </xdr:nvPicPr>
      <xdr:blipFill>
        <a:blip r:embed="rId1">
          <a:extLst>
            <a:ext uri="{28A0092B-C50C-407E-A947-70E740481C1C}">
              <a14:useLocalDpi xmlns:a14="http://schemas.microsoft.com/office/drawing/2010/main"/>
            </a:ext>
          </a:extLst>
        </a:blip>
        <a:stretch>
          <a:fillRect/>
        </a:stretch>
      </xdr:blipFill>
      <xdr:spPr>
        <a:xfrm>
          <a:off x="781050" y="11325225"/>
          <a:ext cx="1362075" cy="390525"/>
        </a:xfrm>
        <a:prstGeom prst="rect"/>
      </xdr:spPr>
    </xdr:pic>
    <xdr:clientData/>
  </xdr:twoCellAnchor>
</xdr:wsDr>
</file>

<file path=xl/externalLinks/_rels/externalLink1.xml.rels><?xml version="1.0" encoding="UTF-8" standalone="yes"?><Relationships xmlns="http://schemas.openxmlformats.org/package/2006/relationships"><Relationship Id="rId1" Type="http://schemas.openxmlformats.org/officeDocument/2006/relationships/externalLinkPath" Target="/Data/NAHRANI/PRIZNANI/DzPFOB15_xml.xlsx"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Users/kochman/Desktop/2018_01%20formulare/DzPUCZ17_xml.xlsx"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Data/NAHRANI/PRIZNANI/DzPPO14_xml.xlsx" TargetMode="External" /></Relationships>
</file>

<file path=xl/externalLinks/_rels/externalLink4.xml.rels><?xml version="1.0" encoding="UTF-8" standalone="yes"?><Relationships xmlns="http://schemas.openxmlformats.org/package/2006/relationships"><Relationship Id="rId1" Type="http://schemas.microsoft.com/office/2006/relationships/xlExternalLinkPath/xlPathMissing" Target="Obory%20&#269;innosti" TargetMode="External" /></Relationships>
</file>

<file path=xl/externalLinks/_rels/externalLink5.xml.rels><?xml version="1.0" encoding="UTF-8" standalone="yes"?><Relationships xmlns="http://schemas.openxmlformats.org/package/2006/relationships"><Relationship Id="rId1" Type="http://schemas.microsoft.com/office/2006/relationships/xlExternalLinkPath/xlPathMissing" Target="Finan&#269;n&#237;%20&#250;&#345;ady"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j_priz"/>
      <sheetName val="Potvr_ZAM"/>
      <sheetName val="Prohl_manž"/>
      <sheetName val="Zálohy"/>
      <sheetName val="Zálohy_odklad"/>
    </sheetNames>
    <sheetDataSet>
      <sheetData sheetId="0"/>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DAP1"/>
      <sheetName val="DAP2"/>
      <sheetName val="DAP3"/>
      <sheetName val="DAP4"/>
      <sheetName val="ZAV"/>
      <sheetName val="1Př1"/>
      <sheetName val="1Př2"/>
      <sheetName val="2Př"/>
      <sheetName val="3Př"/>
      <sheetName val="3Př_a"/>
      <sheetName val="6Př"/>
      <sheetName val="Př_b"/>
      <sheetName val="Potvr_ZAM"/>
      <sheetName val="Prohl_manž"/>
      <sheetName val="SP1"/>
      <sheetName val="SP2"/>
      <sheetName val="SP_zam"/>
      <sheetName val="SP_stud"/>
      <sheetName val="SP_prijem"/>
      <sheetName val="VZP"/>
      <sheetName val="Ostatní ZP"/>
      <sheetName val="Zálohy"/>
      <sheetName val="Zálohy_odklad"/>
      <sheetName val="Účetní_závěrka"/>
    </sheetNames>
    <sheetDataSet>
      <sheetData sheetId="0" refreshError="1"/>
      <sheetData sheetId="1">
        <row r="3">
          <cell r="B3" t="str">
            <v>HLAVNÍ MĚSTO PRAHA</v>
          </cell>
          <cell r="H3" t="str">
            <v>PRAHA 1</v>
          </cell>
          <cell r="J3" t="str">
            <v>ČESKÁ REPUBLIKA</v>
          </cell>
          <cell r="Q3" t="str">
            <v>Rostlinná a živočišná výroba, myslivost a související činnosti</v>
          </cell>
          <cell r="T3" t="str">
            <v>Rostlinná a živočišná výroba, myslivost a související činnosti</v>
          </cell>
          <cell r="W3" t="str">
            <v>Rostlinná a živočišná výroba, myslivost a související činnosti</v>
          </cell>
          <cell r="Z3" t="str">
            <v>Rostlinná a živočišná výroba, myslivost a související činnosti</v>
          </cell>
        </row>
        <row r="4">
          <cell r="B4" t="str">
            <v>STŘEDOČESKÝ KRAJ</v>
          </cell>
          <cell r="H4" t="str">
            <v>PRAHA 2</v>
          </cell>
          <cell r="J4" t="str">
            <v>Afghánská islámská republika</v>
          </cell>
          <cell r="Q4" t="str">
            <v>Lesnictví a těžba dřeva</v>
          </cell>
          <cell r="T4" t="str">
            <v>Lesnictví a těžba dřeva</v>
          </cell>
          <cell r="W4" t="str">
            <v>Lesnictví a těžba dřeva</v>
          </cell>
          <cell r="Z4" t="str">
            <v>Lesnictví a těžba dřeva</v>
          </cell>
        </row>
        <row r="5">
          <cell r="B5" t="str">
            <v>JIHOČESKÝ KRAJ</v>
          </cell>
          <cell r="H5" t="str">
            <v>PRAHA 3</v>
          </cell>
          <cell r="J5" t="str">
            <v>Provincie Alandy</v>
          </cell>
          <cell r="Q5" t="str">
            <v>Rybolov a akvakultura</v>
          </cell>
          <cell r="T5" t="str">
            <v>Rybolov a akvakultura</v>
          </cell>
          <cell r="W5" t="str">
            <v>Rybolov a akvakultura</v>
          </cell>
          <cell r="Z5" t="str">
            <v>Rybolov a akvakultura</v>
          </cell>
        </row>
        <row r="6">
          <cell r="B6" t="str">
            <v>PLZEŇSKÝ KRAJ</v>
          </cell>
          <cell r="H6" t="str">
            <v>PRAHA 4</v>
          </cell>
          <cell r="J6" t="str">
            <v>Albánská republika</v>
          </cell>
          <cell r="Q6" t="str">
            <v>Těžba a úprava černého a hnědého uhlí</v>
          </cell>
          <cell r="T6" t="str">
            <v>Těžba a úprava černého a hnědého uhlí</v>
          </cell>
          <cell r="W6" t="str">
            <v>Těžba a úprava černého a hnědého uhlí</v>
          </cell>
          <cell r="Z6" t="str">
            <v>Těžba a úprava černého a hnědého uhlí</v>
          </cell>
        </row>
        <row r="7">
          <cell r="B7" t="str">
            <v>KARLOVARSKÝ KRAJ</v>
          </cell>
          <cell r="H7" t="str">
            <v>PRAHA 5</v>
          </cell>
          <cell r="J7" t="str">
            <v>Alžírská demokratická a lidová republika</v>
          </cell>
          <cell r="Q7" t="str">
            <v>Těžba ropy a zemního plynu</v>
          </cell>
          <cell r="T7" t="str">
            <v>Těžba ropy a zemního plynu</v>
          </cell>
          <cell r="W7" t="str">
            <v>Těžba ropy a zemního plynu</v>
          </cell>
          <cell r="Z7" t="str">
            <v>Těžba ropy a zemního plynu</v>
          </cell>
        </row>
        <row r="8">
          <cell r="B8" t="str">
            <v>ÚSTECKÝ KRAJ</v>
          </cell>
          <cell r="H8" t="str">
            <v>PRAHA 6</v>
          </cell>
          <cell r="J8" t="str">
            <v>Území Americká Samoa</v>
          </cell>
          <cell r="Q8" t="str">
            <v>Těžba a úprava rud</v>
          </cell>
          <cell r="T8" t="str">
            <v>Těžba a úprava rud</v>
          </cell>
          <cell r="W8" t="str">
            <v>Těžba a úprava rud</v>
          </cell>
          <cell r="Z8" t="str">
            <v>Těžba a úprava rud</v>
          </cell>
        </row>
        <row r="9">
          <cell r="B9" t="str">
            <v>LIBERECKÝ KRAJ</v>
          </cell>
          <cell r="H9" t="str">
            <v>PRAHA 7</v>
          </cell>
          <cell r="J9" t="str">
            <v>Americké Panenské ostrovy</v>
          </cell>
          <cell r="Q9" t="str">
            <v>Ostatní těžba a dobývání</v>
          </cell>
          <cell r="T9" t="str">
            <v>Ostatní těžba a dobývání</v>
          </cell>
          <cell r="W9" t="str">
            <v>Ostatní těžba a dobývání</v>
          </cell>
          <cell r="Z9" t="str">
            <v>Ostatní těžba a dobývání</v>
          </cell>
        </row>
        <row r="10">
          <cell r="B10" t="str">
            <v>KRÁLOVÉHRADEC. KR.</v>
          </cell>
          <cell r="H10" t="str">
            <v>PRAHA 8</v>
          </cell>
          <cell r="J10" t="str">
            <v>Andorrské knížectví</v>
          </cell>
          <cell r="Q10" t="str">
            <v>Podpůrné činnosti při těžbě</v>
          </cell>
          <cell r="T10" t="str">
            <v>Podpůrné činnosti při těžbě</v>
          </cell>
          <cell r="W10" t="str">
            <v>Podpůrné činnosti při těžbě</v>
          </cell>
          <cell r="Z10" t="str">
            <v>Podpůrné činnosti při těžbě</v>
          </cell>
        </row>
        <row r="11">
          <cell r="B11" t="str">
            <v>PARDUBICKÝ KRAJ</v>
          </cell>
          <cell r="H11" t="str">
            <v>PRAHA 9</v>
          </cell>
          <cell r="J11" t="str">
            <v>Angolská republika</v>
          </cell>
          <cell r="Q11" t="str">
            <v>Výroba potravinářských výrobků</v>
          </cell>
          <cell r="T11" t="str">
            <v>Výroba potravinářských výrobků</v>
          </cell>
          <cell r="W11" t="str">
            <v>Výroba potravinářských výrobků</v>
          </cell>
          <cell r="Z11" t="str">
            <v>Výroba potravinářských výrobků</v>
          </cell>
        </row>
        <row r="12">
          <cell r="B12" t="str">
            <v>KRAJ VYSOČINA</v>
          </cell>
          <cell r="H12" t="str">
            <v>PRAHA 10</v>
          </cell>
          <cell r="J12" t="str">
            <v>Anguilla</v>
          </cell>
          <cell r="Q12" t="str">
            <v>Výroba nápojů</v>
          </cell>
          <cell r="T12" t="str">
            <v>Výroba nápojů</v>
          </cell>
          <cell r="W12" t="str">
            <v>Výroba nápojů</v>
          </cell>
          <cell r="Z12" t="str">
            <v>Výroba nápojů</v>
          </cell>
        </row>
        <row r="13">
          <cell r="B13" t="str">
            <v>JIHOMORAVSKÝ KRAJ</v>
          </cell>
          <cell r="H13" t="str">
            <v>PRAHA-JIŽNÍ MĚSTO</v>
          </cell>
          <cell r="J13" t="str">
            <v>Antarktida</v>
          </cell>
          <cell r="Q13" t="str">
            <v>Pěstování plodin jiných než trvalých</v>
          </cell>
          <cell r="T13" t="str">
            <v>Pěstování plodin jiných než trvalých</v>
          </cell>
          <cell r="W13" t="str">
            <v>Pěstování plodin jiných než trvalých</v>
          </cell>
          <cell r="Z13" t="str">
            <v>Pěstování plodin jiných než trvalých</v>
          </cell>
        </row>
        <row r="14">
          <cell r="B14" t="str">
            <v>OLOMOUCKÝ KRAJ</v>
          </cell>
          <cell r="H14" t="str">
            <v>PRAHA-MODŘANY</v>
          </cell>
          <cell r="J14" t="str">
            <v>Antigua a Barbuda</v>
          </cell>
          <cell r="Q14" t="str">
            <v>Výroba tabákových výrobků</v>
          </cell>
          <cell r="T14" t="str">
            <v>Výroba tabákových výrobků</v>
          </cell>
          <cell r="W14" t="str">
            <v>Výroba tabákových výrobků</v>
          </cell>
          <cell r="Z14" t="str">
            <v>Výroba tabákových výrobků</v>
          </cell>
        </row>
        <row r="15">
          <cell r="B15" t="str">
            <v>MORAVSKOSLEZS. KR.</v>
          </cell>
          <cell r="H15" t="str">
            <v>PRAHA - VÝCHOD</v>
          </cell>
          <cell r="J15" t="str">
            <v>Argentinská republika</v>
          </cell>
          <cell r="Q15" t="str">
            <v>Pěstování trvalých plodin</v>
          </cell>
          <cell r="T15" t="str">
            <v>Pěstování trvalých plodin</v>
          </cell>
          <cell r="W15" t="str">
            <v>Pěstování trvalých plodin</v>
          </cell>
          <cell r="Z15" t="str">
            <v>Pěstování trvalých plodin</v>
          </cell>
        </row>
        <row r="16">
          <cell r="B16" t="str">
            <v>ZLÍNSKÝ KRAJ</v>
          </cell>
          <cell r="H16" t="str">
            <v>PRAHA ZÁPAD</v>
          </cell>
          <cell r="J16" t="str">
            <v>Arménská republika</v>
          </cell>
          <cell r="Q16" t="str">
            <v>Výroba textilií</v>
          </cell>
          <cell r="T16" t="str">
            <v>Výroba textilií</v>
          </cell>
          <cell r="W16" t="str">
            <v>Výroba textilií</v>
          </cell>
          <cell r="Z16" t="str">
            <v>Výroba textilií</v>
          </cell>
        </row>
        <row r="17">
          <cell r="B17" t="str">
            <v>SPECIALIZOVANÝ</v>
          </cell>
          <cell r="H17" t="str">
            <v>BENEŠOV</v>
          </cell>
          <cell r="J17" t="str">
            <v>Aruba</v>
          </cell>
          <cell r="Q17" t="str">
            <v>Množení rostlin</v>
          </cell>
          <cell r="T17" t="str">
            <v>Množení rostlin</v>
          </cell>
          <cell r="W17" t="str">
            <v>Množení rostlin</v>
          </cell>
          <cell r="Z17" t="str">
            <v>Množení rostlin</v>
          </cell>
        </row>
        <row r="18">
          <cell r="H18" t="str">
            <v>BEROUN</v>
          </cell>
          <cell r="J18" t="str">
            <v>Australské společenství</v>
          </cell>
          <cell r="Q18" t="str">
            <v>Výroba oděvů</v>
          </cell>
          <cell r="T18" t="str">
            <v>Výroba oděvů</v>
          </cell>
          <cell r="W18" t="str">
            <v>Výroba oděvů</v>
          </cell>
          <cell r="Z18" t="str">
            <v>Výroba oděvů</v>
          </cell>
        </row>
        <row r="19">
          <cell r="H19" t="str">
            <v>BRANDÝS N.L. - ST.BOL.</v>
          </cell>
          <cell r="J19" t="str">
            <v>Ázerbájdžánská republika</v>
          </cell>
          <cell r="Q19" t="str">
            <v>živočišná výroba</v>
          </cell>
          <cell r="T19" t="str">
            <v>živočišná výroba</v>
          </cell>
          <cell r="W19" t="str">
            <v>živočišná výroba</v>
          </cell>
          <cell r="Z19" t="str">
            <v>živočišná výroba</v>
          </cell>
        </row>
        <row r="20">
          <cell r="H20" t="str">
            <v>ČÁSLAV</v>
          </cell>
          <cell r="J20" t="str">
            <v>Bahamské společenství</v>
          </cell>
          <cell r="Q20" t="str">
            <v>Výroba usní a souvisejících výrobků</v>
          </cell>
          <cell r="T20" t="str">
            <v>Výroba usní a souvisejících výrobků</v>
          </cell>
          <cell r="W20" t="str">
            <v>Výroba usní a souvisejících výrobků</v>
          </cell>
          <cell r="Z20" t="str">
            <v>Výroba usní a souvisejících výrobků</v>
          </cell>
        </row>
        <row r="21">
          <cell r="H21" t="str">
            <v>ČESKÝ BROD</v>
          </cell>
          <cell r="J21" t="str">
            <v>Království Bahrajn</v>
          </cell>
          <cell r="Q21" t="str">
            <v>Smíšené hospodářství</v>
          </cell>
          <cell r="T21" t="str">
            <v>Smíšené hospodářství</v>
          </cell>
          <cell r="W21" t="str">
            <v>Smíšené hospodářství</v>
          </cell>
          <cell r="Z21" t="str">
            <v>Smíšené hospodářství</v>
          </cell>
        </row>
        <row r="22">
          <cell r="H22" t="str">
            <v>DOBŘÍŠ</v>
          </cell>
          <cell r="J22" t="str">
            <v>Bangladéšská lidová republika</v>
          </cell>
          <cell r="Q22" t="str">
            <v>Zprac.dřeva,výroba dřevěných,korkových,proutěných a slam.výr.,kromě nábytku</v>
          </cell>
          <cell r="T22" t="str">
            <v>Zprac.dřeva,výroba dřevěných,korkových,proutěných a slam.výr.,kromě nábytku</v>
          </cell>
          <cell r="W22" t="str">
            <v>Zprac.dřeva,výroba dřevěných,korkových,proutěných a slam.výr.,kromě nábytku</v>
          </cell>
          <cell r="Z22" t="str">
            <v>Zprac.dřeva,výroba dřevěných,korkových,proutěných a slam.výr.,kromě nábytku</v>
          </cell>
        </row>
        <row r="23">
          <cell r="H23" t="str">
            <v>HOŘOVICE</v>
          </cell>
          <cell r="J23" t="str">
            <v>Barbados</v>
          </cell>
          <cell r="Q23" t="str">
            <v>Podpůrné činnosti pro zemědělství a posklizňové činnosti</v>
          </cell>
          <cell r="T23" t="str">
            <v>Podpůrné činnosti pro zemědělství a posklizňové činnosti</v>
          </cell>
          <cell r="W23" t="str">
            <v>Podpůrné činnosti pro zemědělství a posklizňové činnosti</v>
          </cell>
          <cell r="Z23" t="str">
            <v>Podpůrné činnosti pro zemědělství a posklizňové činnosti</v>
          </cell>
        </row>
        <row r="24">
          <cell r="H24" t="str">
            <v>KLADNO</v>
          </cell>
          <cell r="J24" t="str">
            <v>Belgické království</v>
          </cell>
          <cell r="Q24" t="str">
            <v>Výroba papíru a výrobků z papíru</v>
          </cell>
          <cell r="T24" t="str">
            <v>Výroba papíru a výrobků z papíru</v>
          </cell>
          <cell r="W24" t="str">
            <v>Výroba papíru a výrobků z papíru</v>
          </cell>
          <cell r="Z24" t="str">
            <v>Výroba papíru a výrobků z papíru</v>
          </cell>
        </row>
        <row r="25">
          <cell r="H25" t="str">
            <v>KOLÍN</v>
          </cell>
          <cell r="J25" t="str">
            <v>Belize</v>
          </cell>
          <cell r="Q25" t="str">
            <v>Lov a odchyt divokých zvířat a související činnosti</v>
          </cell>
          <cell r="T25" t="str">
            <v>Lov a odchyt divokých zvířat a související činnosti</v>
          </cell>
          <cell r="W25" t="str">
            <v>Lov a odchyt divokých zvířat a související činnosti</v>
          </cell>
          <cell r="Z25" t="str">
            <v>Lov a odchyt divokých zvířat a související činnosti</v>
          </cell>
        </row>
        <row r="26">
          <cell r="H26" t="str">
            <v>KRALUPY NAD VLTAVOU</v>
          </cell>
          <cell r="J26" t="str">
            <v>Běloruská republika</v>
          </cell>
          <cell r="Q26" t="str">
            <v>Tisk a rozmnožování nahraných nosičů</v>
          </cell>
          <cell r="T26" t="str">
            <v>Tisk a rozmnožování nahraných nosičů</v>
          </cell>
          <cell r="W26" t="str">
            <v>Tisk a rozmnožování nahraných nosičů</v>
          </cell>
          <cell r="Z26" t="str">
            <v>Tisk a rozmnožování nahraných nosičů</v>
          </cell>
        </row>
        <row r="27">
          <cell r="H27" t="str">
            <v>KUTNÁ HORA</v>
          </cell>
          <cell r="J27" t="str">
            <v>Beninská republika</v>
          </cell>
          <cell r="Q27" t="str">
            <v>Výroba koksu a rafinovaných ropných produktů</v>
          </cell>
          <cell r="T27" t="str">
            <v>Výroba koksu a rafinovaných ropných produktů</v>
          </cell>
          <cell r="W27" t="str">
            <v>Výroba koksu a rafinovaných ropných produktů</v>
          </cell>
          <cell r="Z27" t="str">
            <v>Výroba koksu a rafinovaných ropných produktů</v>
          </cell>
        </row>
        <row r="28">
          <cell r="H28" t="str">
            <v>MĚLNÍK</v>
          </cell>
          <cell r="J28" t="str">
            <v>Bermudy</v>
          </cell>
          <cell r="Q28" t="str">
            <v>Výroba chemických látek a chemických přípravků</v>
          </cell>
          <cell r="T28" t="str">
            <v>Výroba chemických látek a chemických přípravků</v>
          </cell>
          <cell r="W28" t="str">
            <v>Výroba chemických látek a chemických přípravků</v>
          </cell>
          <cell r="Z28" t="str">
            <v>Výroba chemických látek a chemických přípravků</v>
          </cell>
        </row>
        <row r="29">
          <cell r="H29" t="str">
            <v>MLADÁ BOLESLAV</v>
          </cell>
          <cell r="J29" t="str">
            <v>Bhútánské království</v>
          </cell>
          <cell r="Q29" t="str">
            <v>Výroba základních farmaceutických výrobků a farmaceutických přípravků</v>
          </cell>
          <cell r="T29" t="str">
            <v>Výroba základních farmaceutických výrobků a farmaceutických přípravků</v>
          </cell>
          <cell r="W29" t="str">
            <v>Výroba základních farmaceutických výrobků a farmaceutických přípravků</v>
          </cell>
          <cell r="Z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cell r="T30" t="str">
            <v>Lesní hospodářství a jiné činnosti v oblasti lesnictví</v>
          </cell>
          <cell r="W30" t="str">
            <v>Lesní hospodářství a jiné činnosti v oblasti lesnictví</v>
          </cell>
          <cell r="Z30" t="str">
            <v>Lesní hospodářství a jiné činnosti v oblasti lesnictví</v>
          </cell>
        </row>
        <row r="31">
          <cell r="H31" t="str">
            <v>NERATOVICE</v>
          </cell>
          <cell r="J31" t="str">
            <v>Bonaire, Svatý Eustach a Saba</v>
          </cell>
          <cell r="Q31" t="str">
            <v>Výroba pryžových a plastových výrobků</v>
          </cell>
          <cell r="T31" t="str">
            <v>Výroba pryžových a plastových výrobků</v>
          </cell>
          <cell r="W31" t="str">
            <v>Výroba pryžových a plastových výrobků</v>
          </cell>
          <cell r="Z31" t="str">
            <v>Výroba pryžových a plastových výrobků</v>
          </cell>
        </row>
        <row r="32">
          <cell r="H32" t="str">
            <v>NYMBURK</v>
          </cell>
          <cell r="J32" t="str">
            <v>Bosna a Hercegovina</v>
          </cell>
          <cell r="Q32" t="str">
            <v>Těžba dřeva</v>
          </cell>
          <cell r="T32" t="str">
            <v>Těžba dřeva</v>
          </cell>
          <cell r="W32" t="str">
            <v>Těžba dřeva</v>
          </cell>
          <cell r="Z32" t="str">
            <v>Těžba dřeva</v>
          </cell>
        </row>
        <row r="33">
          <cell r="H33" t="str">
            <v>PODĚBRADY</v>
          </cell>
          <cell r="J33" t="str">
            <v>Botswanská republika</v>
          </cell>
          <cell r="Q33" t="str">
            <v>Výroba ostatních nekovových minerálních výrobků</v>
          </cell>
          <cell r="T33" t="str">
            <v>Výroba ostatních nekovových minerálních výrobků</v>
          </cell>
          <cell r="W33" t="str">
            <v>Výroba ostatních nekovových minerálních výrobků</v>
          </cell>
          <cell r="Z33" t="str">
            <v>Výroba ostatních nekovových minerálních výrobků</v>
          </cell>
        </row>
        <row r="34">
          <cell r="H34" t="str">
            <v>PŘÍBRAM</v>
          </cell>
          <cell r="J34" t="str">
            <v>Bouvetův ostrov</v>
          </cell>
          <cell r="Q34" t="str">
            <v>Sběr a získávání volně rostoucích plodů a materiálů, kromě dřeva</v>
          </cell>
          <cell r="T34" t="str">
            <v>Sběr a získávání volně rostoucích plodů a materiálů, kromě dřeva</v>
          </cell>
          <cell r="W34" t="str">
            <v>Sběr a získávání volně rostoucích plodů a materiálů, kromě dřeva</v>
          </cell>
          <cell r="Z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cell r="T35" t="str">
            <v>Výroba základních kovů, hutní zpracování kovů; slévárenství</v>
          </cell>
          <cell r="W35" t="str">
            <v>Výroba základních kovů, hutní zpracování kovů; slévárenství</v>
          </cell>
          <cell r="Z35" t="str">
            <v>Výroba základních kovů, hutní zpracování kovů; slévárenství</v>
          </cell>
        </row>
        <row r="36">
          <cell r="H36" t="str">
            <v>ŘÍČANY</v>
          </cell>
          <cell r="J36" t="str">
            <v>Britské území v Indickém oceánu</v>
          </cell>
          <cell r="Q36" t="str">
            <v>Podpůrné činnosti pro lesnictví</v>
          </cell>
          <cell r="T36" t="str">
            <v>Podpůrné činnosti pro lesnictví</v>
          </cell>
          <cell r="W36" t="str">
            <v>Podpůrné činnosti pro lesnictví</v>
          </cell>
          <cell r="Z36" t="str">
            <v>Podpůrné činnosti pro lesnictví</v>
          </cell>
        </row>
        <row r="37">
          <cell r="H37" t="str">
            <v>SEDLČANY</v>
          </cell>
          <cell r="J37" t="str">
            <v>Britské Panenské ostrovy</v>
          </cell>
          <cell r="Q37" t="str">
            <v>Výroba kovových konstrukcí a kovodělných výrobků, kromě strojů a zařízení</v>
          </cell>
          <cell r="T37" t="str">
            <v>Výroba kovových konstrukcí a kovodělných výrobků, kromě strojů a zařízení</v>
          </cell>
          <cell r="W37" t="str">
            <v>Výroba kovových konstrukcí a kovodělných výrobků, kromě strojů a zařízení</v>
          </cell>
          <cell r="Z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cell r="T38" t="str">
            <v>Výroba počítačů, elektronických a optických přístrojů a zařízení</v>
          </cell>
          <cell r="W38" t="str">
            <v>Výroba počítačů, elektronických a optických přístrojů a zařízení</v>
          </cell>
          <cell r="Z38" t="str">
            <v>Výroba počítačů, elektronických a optických přístrojů a zařízení</v>
          </cell>
        </row>
        <row r="39">
          <cell r="H39" t="str">
            <v>VLAŠIM</v>
          </cell>
          <cell r="J39" t="str">
            <v>Bulharská republika</v>
          </cell>
          <cell r="Q39" t="str">
            <v>Výroba elektrických zařízení</v>
          </cell>
          <cell r="T39" t="str">
            <v>Výroba elektrických zařízení</v>
          </cell>
          <cell r="W39" t="str">
            <v>Výroba elektrických zařízení</v>
          </cell>
          <cell r="Z39" t="str">
            <v>Výroba elektrických zařízení</v>
          </cell>
        </row>
        <row r="40">
          <cell r="H40" t="str">
            <v>VOTICE</v>
          </cell>
          <cell r="J40" t="str">
            <v>Burkina Faso</v>
          </cell>
          <cell r="Q40" t="str">
            <v>Výroba strojů a zařízení j. n.</v>
          </cell>
          <cell r="T40" t="str">
            <v>Výroba strojů a zařízení j. n.</v>
          </cell>
          <cell r="W40" t="str">
            <v>Výroba strojů a zařízení j. n.</v>
          </cell>
          <cell r="Z40" t="str">
            <v>Výroba strojů a zařízení j. n.</v>
          </cell>
        </row>
        <row r="41">
          <cell r="H41" t="str">
            <v>ČESKÉ BUDĚJOVICE</v>
          </cell>
          <cell r="J41" t="str">
            <v>Burundská republika</v>
          </cell>
          <cell r="Q41" t="str">
            <v>Výroba motorových vozidel (kromě motocyklů), přívěsů a návěsů</v>
          </cell>
          <cell r="T41" t="str">
            <v>Výroba motorových vozidel (kromě motocyklů), přívěsů a návěsů</v>
          </cell>
          <cell r="W41" t="str">
            <v>Výroba motorových vozidel (kromě motocyklů), přívěsů a návěsů</v>
          </cell>
          <cell r="Z41" t="str">
            <v>Výroba motorových vozidel (kromě motocyklů), přívěsů a návěsů</v>
          </cell>
        </row>
        <row r="42">
          <cell r="H42" t="str">
            <v>BLATNÁ</v>
          </cell>
          <cell r="J42" t="str">
            <v>Cookovy ostrovy</v>
          </cell>
          <cell r="Q42" t="str">
            <v>Výroba ostatních dopravních prostředků a zařízení</v>
          </cell>
          <cell r="T42" t="str">
            <v>Výroba ostatních dopravních prostředků a zařízení</v>
          </cell>
          <cell r="W42" t="str">
            <v>Výroba ostatních dopravních prostředků a zařízení</v>
          </cell>
          <cell r="Z42" t="str">
            <v>Výroba ostatních dopravních prostředků a zařízení</v>
          </cell>
        </row>
        <row r="43">
          <cell r="H43" t="str">
            <v>ČESKÝ KRUMLOV</v>
          </cell>
          <cell r="J43" t="str">
            <v>Curaçao</v>
          </cell>
          <cell r="Q43" t="str">
            <v>Výroba nábytku</v>
          </cell>
          <cell r="T43" t="str">
            <v>Výroba nábytku</v>
          </cell>
          <cell r="W43" t="str">
            <v>Výroba nábytku</v>
          </cell>
          <cell r="Z43" t="str">
            <v>Výroba nábytku</v>
          </cell>
        </row>
        <row r="44">
          <cell r="H44" t="str">
            <v>DAČICE</v>
          </cell>
          <cell r="J44" t="str">
            <v>Čadská republika</v>
          </cell>
          <cell r="Q44" t="str">
            <v>Rybolov</v>
          </cell>
          <cell r="T44" t="str">
            <v>Rybolov</v>
          </cell>
          <cell r="W44" t="str">
            <v>Rybolov</v>
          </cell>
          <cell r="Z44" t="str">
            <v>Rybolov</v>
          </cell>
        </row>
        <row r="45">
          <cell r="H45" t="str">
            <v>JINDŘICHŮV HRADEC</v>
          </cell>
          <cell r="J45" t="str">
            <v>Černá Hora</v>
          </cell>
          <cell r="Q45" t="str">
            <v>Ostatní zpracovatelský průmysl</v>
          </cell>
          <cell r="T45" t="str">
            <v>Ostatní zpracovatelský průmysl</v>
          </cell>
          <cell r="W45" t="str">
            <v>Ostatní zpracovatelský průmysl</v>
          </cell>
          <cell r="Z45" t="str">
            <v>Ostatní zpracovatelský průmysl</v>
          </cell>
        </row>
        <row r="46">
          <cell r="H46" t="str">
            <v>KAPLICE</v>
          </cell>
          <cell r="J46" t="str">
            <v>Česká republika</v>
          </cell>
          <cell r="Q46" t="str">
            <v>Akvakultura</v>
          </cell>
          <cell r="T46" t="str">
            <v>Akvakultura</v>
          </cell>
          <cell r="W46" t="str">
            <v>Akvakultura</v>
          </cell>
          <cell r="Z46" t="str">
            <v>Akvakultura</v>
          </cell>
        </row>
        <row r="47">
          <cell r="H47" t="str">
            <v>MILEVSKO</v>
          </cell>
          <cell r="J47" t="str">
            <v>Čínská lidová republika</v>
          </cell>
          <cell r="Q47" t="str">
            <v>Opravy a instalace strojů a zařízení</v>
          </cell>
          <cell r="T47" t="str">
            <v>Opravy a instalace strojů a zařízení</v>
          </cell>
          <cell r="W47" t="str">
            <v>Opravy a instalace strojů a zařízení</v>
          </cell>
          <cell r="Z47" t="str">
            <v>Opravy a instalace strojů a zařízení</v>
          </cell>
        </row>
        <row r="48">
          <cell r="H48" t="str">
            <v>PÍSEK</v>
          </cell>
          <cell r="J48" t="str">
            <v>Dánské království</v>
          </cell>
          <cell r="Q48" t="str">
            <v>Výroba a rozvod elektřiny, plynu, tepla a klimatizovaného vzduchu</v>
          </cell>
          <cell r="T48" t="str">
            <v>Výroba a rozvod elektřiny, plynu, tepla a klimatizovaného vzduchu</v>
          </cell>
          <cell r="W48" t="str">
            <v>Výroba a rozvod elektřiny, plynu, tepla a klimatizovaného vzduchu</v>
          </cell>
          <cell r="Z48" t="str">
            <v>Výroba a rozvod elektřiny, plynu, tepla a klimatizovaného vzduchu</v>
          </cell>
        </row>
        <row r="49">
          <cell r="H49" t="str">
            <v>PRACHATICE</v>
          </cell>
          <cell r="J49" t="str">
            <v>Demokratická republika Kongo</v>
          </cell>
          <cell r="Q49" t="str">
            <v>Shromažďování, úprava a rozvod vody</v>
          </cell>
          <cell r="T49" t="str">
            <v>Shromažďování, úprava a rozvod vody</v>
          </cell>
          <cell r="W49" t="str">
            <v>Shromažďování, úprava a rozvod vody</v>
          </cell>
          <cell r="Z49" t="str">
            <v>Shromažďování, úprava a rozvod vody</v>
          </cell>
        </row>
        <row r="50">
          <cell r="H50" t="str">
            <v>SOBĚSLAV</v>
          </cell>
          <cell r="J50" t="str">
            <v>Dominické společenství</v>
          </cell>
          <cell r="Q50" t="str">
            <v>Činnosti související s odpadními vodami</v>
          </cell>
          <cell r="T50" t="str">
            <v>Činnosti související s odpadními vodami</v>
          </cell>
          <cell r="W50" t="str">
            <v>Činnosti související s odpadními vodami</v>
          </cell>
          <cell r="Z50" t="str">
            <v>Činnosti související s odpadními vodami</v>
          </cell>
        </row>
        <row r="51">
          <cell r="H51" t="str">
            <v>STRAKONICE</v>
          </cell>
          <cell r="J51" t="str">
            <v>Dominikánská republika</v>
          </cell>
          <cell r="Q51" t="str">
            <v>Shromažďování,sběr a odstraňování odpadů,úprava odpadů k dalšímu využití</v>
          </cell>
          <cell r="T51" t="str">
            <v>Shromažďování,sběr a odstraňování odpadů,úprava odpadů k dalšímu využití</v>
          </cell>
          <cell r="W51" t="str">
            <v>Shromažďování,sběr a odstraňování odpadů,úprava odpadů k dalšímu využití</v>
          </cell>
          <cell r="Z51" t="str">
            <v>Shromažďování,sběr a odstraňování odpadů,úprava odpadů k dalšímu využití</v>
          </cell>
        </row>
        <row r="52">
          <cell r="H52" t="str">
            <v>TÁBOR</v>
          </cell>
          <cell r="J52" t="str">
            <v>Džibutská republika</v>
          </cell>
          <cell r="Q52" t="str">
            <v>Sanace a jiné činnosti související s odpady</v>
          </cell>
          <cell r="T52" t="str">
            <v>Sanace a jiné činnosti související s odpady</v>
          </cell>
          <cell r="W52" t="str">
            <v>Sanace a jiné činnosti související s odpady</v>
          </cell>
          <cell r="Z52" t="str">
            <v>Sanace a jiné činnosti související s odpady</v>
          </cell>
        </row>
        <row r="53">
          <cell r="H53" t="str">
            <v>TRHOVÉ SVINY</v>
          </cell>
          <cell r="J53" t="str">
            <v>Egyptská arabská republika</v>
          </cell>
          <cell r="Q53" t="str">
            <v>Výstavba budov</v>
          </cell>
          <cell r="T53" t="str">
            <v>Výstavba budov</v>
          </cell>
          <cell r="W53" t="str">
            <v>Výstavba budov</v>
          </cell>
          <cell r="Z53" t="str">
            <v>Výstavba budov</v>
          </cell>
        </row>
        <row r="54">
          <cell r="H54" t="str">
            <v>TŘEBOŇ</v>
          </cell>
          <cell r="J54" t="str">
            <v>Ekvádorská republika</v>
          </cell>
          <cell r="Q54" t="str">
            <v>Inženýrské stavitelství</v>
          </cell>
          <cell r="T54" t="str">
            <v>Inženýrské stavitelství</v>
          </cell>
          <cell r="W54" t="str">
            <v>Inženýrské stavitelství</v>
          </cell>
          <cell r="Z54" t="str">
            <v>Inženýrské stavitelství</v>
          </cell>
        </row>
        <row r="55">
          <cell r="H55" t="str">
            <v>TÝN NAD VLTAVOU</v>
          </cell>
          <cell r="J55" t="str">
            <v>Stát Eritrea</v>
          </cell>
          <cell r="Q55" t="str">
            <v>Specializované stavební činnosti</v>
          </cell>
          <cell r="T55" t="str">
            <v>Specializované stavební činnosti</v>
          </cell>
          <cell r="W55" t="str">
            <v>Specializované stavební činnosti</v>
          </cell>
          <cell r="Z55" t="str">
            <v>Specializované stavební činnosti</v>
          </cell>
        </row>
        <row r="56">
          <cell r="H56" t="str">
            <v>VIMPERK</v>
          </cell>
          <cell r="J56" t="str">
            <v>Estonská republika</v>
          </cell>
          <cell r="Q56" t="str">
            <v>Velkoobchod, maloobchod a opravy motorových vozidel</v>
          </cell>
          <cell r="T56" t="str">
            <v>Velkoobchod, maloobchod a opravy motorových vozidel</v>
          </cell>
          <cell r="W56" t="str">
            <v>Velkoobchod, maloobchod a opravy motorových vozidel</v>
          </cell>
          <cell r="Z56" t="str">
            <v>Velkoobchod, maloobchod a opravy motorových vozidel</v>
          </cell>
        </row>
        <row r="57">
          <cell r="H57" t="str">
            <v>VODŇANY</v>
          </cell>
          <cell r="J57" t="str">
            <v>Etiopská federativní demokratická republika</v>
          </cell>
          <cell r="Q57" t="str">
            <v>Velkoobchod, kromě motorových vozidel</v>
          </cell>
          <cell r="T57" t="str">
            <v>Velkoobchod, kromě motorových vozidel</v>
          </cell>
          <cell r="W57" t="str">
            <v>Velkoobchod, kromě motorových vozidel</v>
          </cell>
          <cell r="Z57" t="str">
            <v>Velkoobchod, kromě motorových vozidel</v>
          </cell>
        </row>
        <row r="58">
          <cell r="H58" t="str">
            <v>PLZEŇ</v>
          </cell>
          <cell r="J58" t="str">
            <v>Faerské ostrovy</v>
          </cell>
          <cell r="Q58" t="str">
            <v>Maloobchod, kromě motorových vozidel</v>
          </cell>
          <cell r="T58" t="str">
            <v>Maloobchod, kromě motorových vozidel</v>
          </cell>
          <cell r="W58" t="str">
            <v>Maloobchod, kromě motorových vozidel</v>
          </cell>
          <cell r="Z58" t="str">
            <v>Maloobchod, kromě motorových vozidel</v>
          </cell>
        </row>
        <row r="59">
          <cell r="H59" t="str">
            <v>PLZEŇ-SEVER</v>
          </cell>
          <cell r="J59" t="str">
            <v>Falklandské ostrovy</v>
          </cell>
          <cell r="Q59" t="str">
            <v>Pozemní a potrubní doprava</v>
          </cell>
          <cell r="T59" t="str">
            <v>Pozemní a potrubní doprava</v>
          </cell>
          <cell r="W59" t="str">
            <v>Pozemní a potrubní doprava</v>
          </cell>
          <cell r="Z59" t="str">
            <v>Pozemní a potrubní doprava</v>
          </cell>
        </row>
        <row r="60">
          <cell r="H60" t="str">
            <v>PLZEŇ-JIH</v>
          </cell>
          <cell r="J60" t="str">
            <v>Fidžijská republika</v>
          </cell>
          <cell r="Q60" t="str">
            <v>Vodní doprava</v>
          </cell>
          <cell r="T60" t="str">
            <v>Vodní doprava</v>
          </cell>
          <cell r="W60" t="str">
            <v>Vodní doprava</v>
          </cell>
          <cell r="Z60" t="str">
            <v>Vodní doprava</v>
          </cell>
        </row>
        <row r="61">
          <cell r="H61" t="str">
            <v>BLOVICE</v>
          </cell>
          <cell r="J61" t="str">
            <v>Filipínská republika</v>
          </cell>
          <cell r="Q61" t="str">
            <v>Letecká doprava</v>
          </cell>
          <cell r="T61" t="str">
            <v>Letecká doprava</v>
          </cell>
          <cell r="W61" t="str">
            <v>Letecká doprava</v>
          </cell>
          <cell r="Z61" t="str">
            <v>Letecká doprava</v>
          </cell>
        </row>
        <row r="62">
          <cell r="H62" t="str">
            <v>DOMAŽLICE</v>
          </cell>
          <cell r="J62" t="str">
            <v>Finská republika</v>
          </cell>
          <cell r="Q62" t="str">
            <v>Těžba a úprava černého uhlí</v>
          </cell>
          <cell r="T62" t="str">
            <v>Těžba a úprava černého uhlí</v>
          </cell>
          <cell r="W62" t="str">
            <v>Těžba a úprava černého uhlí</v>
          </cell>
          <cell r="Z62" t="str">
            <v>Těžba a úprava černého uhlí</v>
          </cell>
        </row>
        <row r="63">
          <cell r="H63" t="str">
            <v>HORAŽĎOVICE</v>
          </cell>
          <cell r="J63" t="str">
            <v>Francouzská republika</v>
          </cell>
          <cell r="Q63" t="str">
            <v>Skladování a vedlejší činnosti v dopravě</v>
          </cell>
          <cell r="T63" t="str">
            <v>Skladování a vedlejší činnosti v dopravě</v>
          </cell>
          <cell r="W63" t="str">
            <v>Skladování a vedlejší činnosti v dopravě</v>
          </cell>
          <cell r="Z63" t="str">
            <v>Skladování a vedlejší činnosti v dopravě</v>
          </cell>
        </row>
        <row r="64">
          <cell r="H64" t="str">
            <v>HORŠOVSKÝ TÝN</v>
          </cell>
          <cell r="J64" t="str">
            <v>Region Francouzská Guyana</v>
          </cell>
          <cell r="Q64" t="str">
            <v>Těžba a úprava hnědého uhlí</v>
          </cell>
          <cell r="T64" t="str">
            <v>Těžba a úprava hnědého uhlí</v>
          </cell>
          <cell r="W64" t="str">
            <v>Těžba a úprava hnědého uhlí</v>
          </cell>
          <cell r="Z64" t="str">
            <v>Těžba a úprava hnědého uhlí</v>
          </cell>
        </row>
        <row r="65">
          <cell r="H65" t="str">
            <v>KLATOVY</v>
          </cell>
          <cell r="J65" t="str">
            <v>Teritorium Francouzská jižní a antarktická území</v>
          </cell>
          <cell r="Q65" t="str">
            <v>Poštovní a kurýrní činnosti</v>
          </cell>
          <cell r="T65" t="str">
            <v>Poštovní a kurýrní činnosti</v>
          </cell>
          <cell r="W65" t="str">
            <v>Poštovní a kurýrní činnosti</v>
          </cell>
          <cell r="Z65" t="str">
            <v>Poštovní a kurýrní činnosti</v>
          </cell>
        </row>
        <row r="66">
          <cell r="H66" t="str">
            <v>KRALOVICE</v>
          </cell>
          <cell r="J66" t="str">
            <v>Francouzská Polynésie</v>
          </cell>
          <cell r="Q66" t="str">
            <v>Ubytování</v>
          </cell>
          <cell r="T66" t="str">
            <v>Ubytování</v>
          </cell>
          <cell r="W66" t="str">
            <v>Ubytování</v>
          </cell>
          <cell r="Z66" t="str">
            <v>Ubytování</v>
          </cell>
        </row>
        <row r="67">
          <cell r="H67" t="str">
            <v>NEPOMUK</v>
          </cell>
          <cell r="J67" t="str">
            <v>Gabonská republika</v>
          </cell>
          <cell r="Q67" t="str">
            <v>Stravování a pohostinství</v>
          </cell>
          <cell r="T67" t="str">
            <v>Stravování a pohostinství</v>
          </cell>
          <cell r="W67" t="str">
            <v>Stravování a pohostinství</v>
          </cell>
          <cell r="Z67" t="str">
            <v>Stravování a pohostinství</v>
          </cell>
        </row>
        <row r="68">
          <cell r="H68" t="str">
            <v>PŘEŠTICE</v>
          </cell>
          <cell r="J68" t="str">
            <v>Gambijská republika</v>
          </cell>
          <cell r="Q68" t="str">
            <v>Vydavatelské činnosti</v>
          </cell>
          <cell r="T68" t="str">
            <v>Vydavatelské činnosti</v>
          </cell>
          <cell r="W68" t="str">
            <v>Vydavatelské činnosti</v>
          </cell>
          <cell r="Z68" t="str">
            <v>Vydavatelské činnosti</v>
          </cell>
        </row>
        <row r="69">
          <cell r="H69" t="str">
            <v>ROKYCANY</v>
          </cell>
          <cell r="J69" t="str">
            <v>Ghanská republika</v>
          </cell>
          <cell r="Q69" t="str">
            <v>Čin.v obl.filmů,videozázn.a tel.programů,pořiz.zvuk.nahr.a hudeb.vyd.čin.</v>
          </cell>
          <cell r="T69" t="str">
            <v>Čin.v obl.filmů,videozázn.a tel.programů,pořiz.zvuk.nahr.a hudeb.vyd.čin.</v>
          </cell>
          <cell r="W69" t="str">
            <v>Čin.v obl.filmů,videozázn.a tel.programů,pořiz.zvuk.nahr.a hudeb.vyd.čin.</v>
          </cell>
          <cell r="Z69" t="str">
            <v>Čin.v obl.filmů,videozázn.a tel.programů,pořiz.zvuk.nahr.a hudeb.vyd.čin.</v>
          </cell>
        </row>
        <row r="70">
          <cell r="H70" t="str">
            <v>TACHOV</v>
          </cell>
          <cell r="J70" t="str">
            <v>Gibraltar</v>
          </cell>
          <cell r="Q70" t="str">
            <v>Tvorba programů a vysílání</v>
          </cell>
          <cell r="T70" t="str">
            <v>Tvorba programů a vysílání</v>
          </cell>
          <cell r="W70" t="str">
            <v>Tvorba programů a vysílání</v>
          </cell>
          <cell r="Z70" t="str">
            <v>Tvorba programů a vysílání</v>
          </cell>
        </row>
        <row r="71">
          <cell r="H71" t="str">
            <v>STŘÍBRO</v>
          </cell>
          <cell r="J71" t="str">
            <v>Grenadský stát</v>
          </cell>
          <cell r="Q71" t="str">
            <v>Telekomunikační činnosti</v>
          </cell>
          <cell r="T71" t="str">
            <v>Telekomunikační činnosti</v>
          </cell>
          <cell r="W71" t="str">
            <v>Telekomunikační činnosti</v>
          </cell>
          <cell r="Z71" t="str">
            <v>Telekomunikační činnosti</v>
          </cell>
        </row>
        <row r="72">
          <cell r="H72" t="str">
            <v>SUŠICE</v>
          </cell>
          <cell r="J72" t="str">
            <v>Grónsko</v>
          </cell>
          <cell r="Q72" t="str">
            <v>Těžba ropy</v>
          </cell>
          <cell r="T72" t="str">
            <v>Těžba ropy</v>
          </cell>
          <cell r="W72" t="str">
            <v>Těžba ropy</v>
          </cell>
          <cell r="Z72" t="str">
            <v>Těžba ropy</v>
          </cell>
        </row>
        <row r="73">
          <cell r="H73" t="str">
            <v>KARLOVY VARY</v>
          </cell>
          <cell r="J73" t="str">
            <v>Gruzie</v>
          </cell>
          <cell r="Q73" t="str">
            <v>Činnosti v oblasti informačních technologií</v>
          </cell>
          <cell r="T73" t="str">
            <v>Činnosti v oblasti informačních technologií</v>
          </cell>
          <cell r="W73" t="str">
            <v>Činnosti v oblasti informačních technologií</v>
          </cell>
          <cell r="Z73" t="str">
            <v>Činnosti v oblasti informačních technologií</v>
          </cell>
        </row>
        <row r="74">
          <cell r="H74" t="str">
            <v>AŠ</v>
          </cell>
          <cell r="J74" t="str">
            <v>Region Guadeloupe</v>
          </cell>
          <cell r="Q74" t="str">
            <v>Těžba zemního plynu</v>
          </cell>
          <cell r="T74" t="str">
            <v>Těžba zemního plynu</v>
          </cell>
          <cell r="W74" t="str">
            <v>Těžba zemního plynu</v>
          </cell>
          <cell r="Z74" t="str">
            <v>Těžba zemního plynu</v>
          </cell>
        </row>
        <row r="75">
          <cell r="H75" t="str">
            <v>CHEB</v>
          </cell>
          <cell r="J75" t="str">
            <v>Teritorium Guam</v>
          </cell>
          <cell r="Q75" t="str">
            <v>Informační činnosti</v>
          </cell>
          <cell r="T75" t="str">
            <v>Informační činnosti</v>
          </cell>
          <cell r="W75" t="str">
            <v>Informační činnosti</v>
          </cell>
          <cell r="Z75" t="str">
            <v>Informační činnosti</v>
          </cell>
        </row>
        <row r="76">
          <cell r="H76" t="str">
            <v>KRASLICE</v>
          </cell>
          <cell r="J76" t="str">
            <v>Guatemalská republika</v>
          </cell>
          <cell r="Q76" t="str">
            <v>Finanční zprostředkování, kromě pojišťovnictví a penzijního financování</v>
          </cell>
          <cell r="T76" t="str">
            <v>Finanční zprostředkování, kromě pojišťovnictví a penzijního financování</v>
          </cell>
          <cell r="W76" t="str">
            <v>Finanční zprostředkování, kromě pojišťovnictví a penzijního financování</v>
          </cell>
          <cell r="Z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cell r="T77" t="str">
            <v>Pojištění,zajištění a penzijní financování,kromě povinného soc.zabezpečení</v>
          </cell>
          <cell r="W77" t="str">
            <v>Pojištění,zajištění a penzijní financování,kromě povinného soc.zabezpečení</v>
          </cell>
          <cell r="Z77" t="str">
            <v>Pojištění,zajištění a penzijní financování,kromě povinného soc.zabezpečení</v>
          </cell>
        </row>
        <row r="78">
          <cell r="H78" t="str">
            <v>OSTROV NAD OHŘÍ</v>
          </cell>
          <cell r="J78" t="str">
            <v>Guinejská republika</v>
          </cell>
          <cell r="Q78" t="str">
            <v>Ostatní finanční činnosti</v>
          </cell>
          <cell r="T78" t="str">
            <v>Ostatní finanční činnosti</v>
          </cell>
          <cell r="W78" t="str">
            <v>Ostatní finanční činnosti</v>
          </cell>
          <cell r="Z78" t="str">
            <v>Ostatní finanční činnosti</v>
          </cell>
        </row>
        <row r="79">
          <cell r="H79" t="str">
            <v>SOKOLOV</v>
          </cell>
          <cell r="J79" t="str">
            <v>Republika Guinea-Bissau</v>
          </cell>
          <cell r="Q79" t="str">
            <v>Činnosti v oblasti nemovitostí</v>
          </cell>
          <cell r="T79" t="str">
            <v>Činnosti v oblasti nemovitostí</v>
          </cell>
          <cell r="W79" t="str">
            <v>Činnosti v oblasti nemovitostí</v>
          </cell>
          <cell r="Z79" t="str">
            <v>Činnosti v oblasti nemovitostí</v>
          </cell>
        </row>
        <row r="80">
          <cell r="H80" t="str">
            <v>ÚSTÍ NAD LABEM</v>
          </cell>
          <cell r="J80" t="str">
            <v>Guyanská kooperativní republika</v>
          </cell>
          <cell r="Q80" t="str">
            <v>Právní a účetnické činnosti</v>
          </cell>
          <cell r="T80" t="str">
            <v>Právní a účetnické činnosti</v>
          </cell>
          <cell r="W80" t="str">
            <v>Právní a účetnické činnosti</v>
          </cell>
          <cell r="Z80" t="str">
            <v>Právní a účetnické činnosti</v>
          </cell>
        </row>
        <row r="81">
          <cell r="H81" t="str">
            <v>BÍLINA</v>
          </cell>
          <cell r="J81" t="str">
            <v>Republika Haiti</v>
          </cell>
          <cell r="Q81" t="str">
            <v>Činnosti vedení podniků; poradenství v oblasti řízení</v>
          </cell>
          <cell r="T81" t="str">
            <v>Činnosti vedení podniků; poradenství v oblasti řízení</v>
          </cell>
          <cell r="W81" t="str">
            <v>Činnosti vedení podniků; poradenství v oblasti řízení</v>
          </cell>
          <cell r="Z81" t="str">
            <v>Činnosti vedení podniků; poradenství v oblasti řízení</v>
          </cell>
        </row>
        <row r="82">
          <cell r="H82" t="str">
            <v>DĚČÍN</v>
          </cell>
          <cell r="J82" t="str">
            <v>Heardův ostrov a MacDonaldovy ostrovy</v>
          </cell>
          <cell r="Q82" t="str">
            <v>Architektonické a inženýrské činnosti; technické zkoušky a analýzy</v>
          </cell>
          <cell r="T82" t="str">
            <v>Architektonické a inženýrské činnosti; technické zkoušky a analýzy</v>
          </cell>
          <cell r="W82" t="str">
            <v>Architektonické a inženýrské činnosti; technické zkoušky a analýzy</v>
          </cell>
          <cell r="Z82" t="str">
            <v>Architektonické a inženýrské činnosti; technické zkoušky a analýzy</v>
          </cell>
        </row>
        <row r="83">
          <cell r="H83" t="str">
            <v>CHOMUTOV</v>
          </cell>
          <cell r="J83" t="str">
            <v>Honduraská republika</v>
          </cell>
          <cell r="Q83" t="str">
            <v>Těžba a úprava železných rud</v>
          </cell>
          <cell r="T83" t="str">
            <v>Těžba a úprava železných rud</v>
          </cell>
          <cell r="W83" t="str">
            <v>Těžba a úprava železných rud</v>
          </cell>
          <cell r="Z83" t="str">
            <v>Těžba a úprava železných rud</v>
          </cell>
        </row>
        <row r="84">
          <cell r="H84" t="str">
            <v>KADAŇ</v>
          </cell>
          <cell r="J84" t="str">
            <v>Zvláštní administrativní oblast Čínské lidové republiky Hongkong</v>
          </cell>
          <cell r="Q84" t="str">
            <v>Výzkum a vývoj</v>
          </cell>
          <cell r="T84" t="str">
            <v>Výzkum a vývoj</v>
          </cell>
          <cell r="W84" t="str">
            <v>Výzkum a vývoj</v>
          </cell>
          <cell r="Z84" t="str">
            <v>Výzkum a vývoj</v>
          </cell>
        </row>
        <row r="85">
          <cell r="H85" t="str">
            <v>LIBOCHOVICE</v>
          </cell>
          <cell r="J85" t="str">
            <v>Chilská republika</v>
          </cell>
          <cell r="Q85" t="str">
            <v>Těžba a úprava neželezných rud</v>
          </cell>
          <cell r="T85" t="str">
            <v>Těžba a úprava neželezných rud</v>
          </cell>
          <cell r="W85" t="str">
            <v>Těžba a úprava neželezných rud</v>
          </cell>
          <cell r="Z85" t="str">
            <v>Těžba a úprava neželezných rud</v>
          </cell>
        </row>
        <row r="86">
          <cell r="H86" t="str">
            <v>LITOMĚŘICE</v>
          </cell>
          <cell r="J86" t="str">
            <v>Chorvatská republika</v>
          </cell>
          <cell r="Q86" t="str">
            <v>Reklama a průzkum trhu</v>
          </cell>
          <cell r="T86" t="str">
            <v>Reklama a průzkum trhu</v>
          </cell>
          <cell r="W86" t="str">
            <v>Reklama a průzkum trhu</v>
          </cell>
          <cell r="Z86" t="str">
            <v>Reklama a průzkum trhu</v>
          </cell>
        </row>
        <row r="87">
          <cell r="H87" t="str">
            <v>LITVÍNOV</v>
          </cell>
          <cell r="J87" t="str">
            <v>Indická republika</v>
          </cell>
          <cell r="Q87" t="str">
            <v>Ostatní profesní, vědecké a technické činnosti</v>
          </cell>
          <cell r="T87" t="str">
            <v>Ostatní profesní, vědecké a technické činnosti</v>
          </cell>
          <cell r="W87" t="str">
            <v>Ostatní profesní, vědecké a technické činnosti</v>
          </cell>
          <cell r="Z87" t="str">
            <v>Ostatní profesní, vědecké a technické činnosti</v>
          </cell>
        </row>
        <row r="88">
          <cell r="H88" t="str">
            <v>LOUNY</v>
          </cell>
          <cell r="J88" t="str">
            <v>Indonéská republika</v>
          </cell>
          <cell r="Q88" t="str">
            <v>Veterinární činnosti</v>
          </cell>
          <cell r="T88" t="str">
            <v>Veterinární činnosti</v>
          </cell>
          <cell r="W88" t="str">
            <v>Veterinární činnosti</v>
          </cell>
          <cell r="Z88" t="str">
            <v>Veterinární činnosti</v>
          </cell>
        </row>
        <row r="89">
          <cell r="H89" t="str">
            <v>MOST</v>
          </cell>
          <cell r="J89" t="str">
            <v>Irácká republika</v>
          </cell>
          <cell r="Q89" t="str">
            <v>Činnosti v oblasti pronájmu a operativního leasingu</v>
          </cell>
          <cell r="T89" t="str">
            <v>Činnosti v oblasti pronájmu a operativního leasingu</v>
          </cell>
          <cell r="W89" t="str">
            <v>Činnosti v oblasti pronájmu a operativního leasingu</v>
          </cell>
          <cell r="Z89" t="str">
            <v>Činnosti v oblasti pronájmu a operativního leasingu</v>
          </cell>
        </row>
        <row r="90">
          <cell r="H90" t="str">
            <v>PODBOŘANY</v>
          </cell>
          <cell r="J90" t="str">
            <v>Íránská islámská republika</v>
          </cell>
          <cell r="Q90" t="str">
            <v>Činnosti související se zaměstnáním</v>
          </cell>
          <cell r="T90" t="str">
            <v>Činnosti související se zaměstnáním</v>
          </cell>
          <cell r="W90" t="str">
            <v>Činnosti související se zaměstnáním</v>
          </cell>
          <cell r="Z90" t="str">
            <v>Činnosti související se zaměstnáním</v>
          </cell>
        </row>
        <row r="91">
          <cell r="H91" t="str">
            <v>ROUDNICE NAD LABEM</v>
          </cell>
          <cell r="J91" t="str">
            <v>Irsko</v>
          </cell>
          <cell r="Q91" t="str">
            <v>Činnosti cest.agentur,kanceláří a jiné rezervační a související činnosti</v>
          </cell>
          <cell r="T91" t="str">
            <v>Činnosti cest.agentur,kanceláří a jiné rezervační a související činnosti</v>
          </cell>
          <cell r="W91" t="str">
            <v>Činnosti cest.agentur,kanceláří a jiné rezervační a související činnosti</v>
          </cell>
          <cell r="Z91" t="str">
            <v>Činnosti cest.agentur,kanceláří a jiné rezervační a související činnosti</v>
          </cell>
        </row>
        <row r="92">
          <cell r="H92" t="str">
            <v>RUMBURK</v>
          </cell>
          <cell r="J92" t="str">
            <v>Islandská republika</v>
          </cell>
          <cell r="Q92" t="str">
            <v>Bezpečnostní a pátrací činnosti</v>
          </cell>
          <cell r="T92" t="str">
            <v>Bezpečnostní a pátrací činnosti</v>
          </cell>
          <cell r="W92" t="str">
            <v>Bezpečnostní a pátrací činnosti</v>
          </cell>
          <cell r="Z92" t="str">
            <v>Bezpečnostní a pátrací činnosti</v>
          </cell>
        </row>
        <row r="93">
          <cell r="H93" t="str">
            <v>TEPLICE</v>
          </cell>
          <cell r="J93" t="str">
            <v>Italská republika</v>
          </cell>
          <cell r="Q93" t="str">
            <v>Činnosti související se stavbami a úpravou krajiny</v>
          </cell>
          <cell r="T93" t="str">
            <v>Činnosti související se stavbami a úpravou krajiny</v>
          </cell>
          <cell r="W93" t="str">
            <v>Činnosti související se stavbami a úpravou krajiny</v>
          </cell>
          <cell r="Z93" t="str">
            <v>Činnosti související se stavbami a úpravou krajiny</v>
          </cell>
        </row>
        <row r="94">
          <cell r="H94" t="str">
            <v>ŽATEC</v>
          </cell>
          <cell r="J94" t="str">
            <v>Stát Izrael</v>
          </cell>
          <cell r="Q94" t="str">
            <v>Dobývání kamene, písků a jílů</v>
          </cell>
          <cell r="T94" t="str">
            <v>Dobývání kamene, písků a jílů</v>
          </cell>
          <cell r="W94" t="str">
            <v>Dobývání kamene, písků a jílů</v>
          </cell>
          <cell r="Z94" t="str">
            <v>Dobývání kamene, písků a jílů</v>
          </cell>
        </row>
        <row r="95">
          <cell r="H95" t="str">
            <v>LIBEREC</v>
          </cell>
          <cell r="J95" t="str">
            <v>Jamajka</v>
          </cell>
          <cell r="Q95" t="str">
            <v>Administrativní, kancelářské a jiné podpůrné činnosti pro podnikání</v>
          </cell>
          <cell r="T95" t="str">
            <v>Administrativní, kancelářské a jiné podpůrné činnosti pro podnikání</v>
          </cell>
          <cell r="W95" t="str">
            <v>Administrativní, kancelářské a jiné podpůrné činnosti pro podnikání</v>
          </cell>
          <cell r="Z95" t="str">
            <v>Administrativní, kancelářské a jiné podpůrné činnosti pro podnikání</v>
          </cell>
        </row>
        <row r="96">
          <cell r="H96" t="str">
            <v>ČESKÁ LÍPA</v>
          </cell>
          <cell r="J96" t="str">
            <v>Japonsko</v>
          </cell>
          <cell r="Q96" t="str">
            <v>Veřejná správa a obrana; povinné sociální zabezpečení</v>
          </cell>
          <cell r="T96" t="str">
            <v>Veřejná správa a obrana; povinné sociální zabezpečení</v>
          </cell>
          <cell r="W96" t="str">
            <v>Veřejná správa a obrana; povinné sociální zabezpečení</v>
          </cell>
          <cell r="Z96" t="str">
            <v>Veřejná správa a obrana; povinné sociální zabezpečení</v>
          </cell>
        </row>
        <row r="97">
          <cell r="H97" t="str">
            <v>FRÝDLANT</v>
          </cell>
          <cell r="J97" t="str">
            <v>Jemenská republika</v>
          </cell>
          <cell r="Q97" t="str">
            <v>Vzdělávání</v>
          </cell>
          <cell r="T97" t="str">
            <v>Vzdělávání</v>
          </cell>
          <cell r="W97" t="str">
            <v>Vzdělávání</v>
          </cell>
          <cell r="Z97" t="str">
            <v>Vzdělávání</v>
          </cell>
        </row>
        <row r="98">
          <cell r="H98" t="str">
            <v>JABLONEC NAD NISOU</v>
          </cell>
          <cell r="J98" t="str">
            <v>Bailiwick Jersey</v>
          </cell>
          <cell r="Q98" t="str">
            <v>Zdravotní péče</v>
          </cell>
          <cell r="T98" t="str">
            <v>Zdravotní péče</v>
          </cell>
          <cell r="W98" t="str">
            <v>Zdravotní péče</v>
          </cell>
          <cell r="Z98" t="str">
            <v>Zdravotní péče</v>
          </cell>
        </row>
        <row r="99">
          <cell r="H99" t="str">
            <v>JILEMNICE</v>
          </cell>
          <cell r="J99" t="str">
            <v>Jihoafrická republika</v>
          </cell>
          <cell r="Q99" t="str">
            <v>Pobytové služby sociální péče</v>
          </cell>
          <cell r="T99" t="str">
            <v>Pobytové služby sociální péče</v>
          </cell>
          <cell r="W99" t="str">
            <v>Pobytové služby sociální péče</v>
          </cell>
          <cell r="Z99" t="str">
            <v>Pobytové služby sociální péče</v>
          </cell>
        </row>
        <row r="100">
          <cell r="H100" t="str">
            <v>NOVÝ BOR</v>
          </cell>
          <cell r="J100" t="str">
            <v>Jižní Georgie a Jižní Sandwichovy ostrovy</v>
          </cell>
          <cell r="Q100" t="str">
            <v>Ambulantní nebo terénní sociální služby</v>
          </cell>
          <cell r="T100" t="str">
            <v>Ambulantní nebo terénní sociální služby</v>
          </cell>
          <cell r="W100" t="str">
            <v>Ambulantní nebo terénní sociální služby</v>
          </cell>
          <cell r="Z100" t="str">
            <v>Ambulantní nebo terénní sociální služby</v>
          </cell>
        </row>
        <row r="101">
          <cell r="H101" t="str">
            <v>SEMILY</v>
          </cell>
          <cell r="J101" t="str">
            <v>Jihosúdánská republika</v>
          </cell>
          <cell r="Q101" t="str">
            <v>Těžba a dobývání j. n.</v>
          </cell>
          <cell r="T101" t="str">
            <v>Těžba a dobývání j. n.</v>
          </cell>
          <cell r="W101" t="str">
            <v>Těžba a dobývání j. n.</v>
          </cell>
          <cell r="Z101" t="str">
            <v>Těžba a dobývání j. n.</v>
          </cell>
        </row>
        <row r="102">
          <cell r="H102" t="str">
            <v>TANVALD</v>
          </cell>
          <cell r="J102" t="str">
            <v>Jordánské hášimovské království</v>
          </cell>
          <cell r="Q102" t="str">
            <v>Tvůrčí, umělecké a zábavní činnosti</v>
          </cell>
          <cell r="T102" t="str">
            <v>Tvůrčí, umělecké a zábavní činnosti</v>
          </cell>
          <cell r="W102" t="str">
            <v>Tvůrčí, umělecké a zábavní činnosti</v>
          </cell>
          <cell r="Z102" t="str">
            <v>Tvůrčí, umělecké a zábavní činnosti</v>
          </cell>
        </row>
        <row r="103">
          <cell r="H103" t="str">
            <v>TURNOV</v>
          </cell>
          <cell r="J103" t="str">
            <v>Kajmanské ostrovy</v>
          </cell>
          <cell r="Q103" t="str">
            <v>Činnosti knihoven, archivů, muzeí a jiných kulturních zařízení</v>
          </cell>
          <cell r="T103" t="str">
            <v>Činnosti knihoven, archivů, muzeí a jiných kulturních zařízení</v>
          </cell>
          <cell r="W103" t="str">
            <v>Činnosti knihoven, archivů, muzeí a jiných kulturních zařízení</v>
          </cell>
          <cell r="Z103" t="str">
            <v>Činnosti knihoven, archivů, muzeí a jiných kulturních zařízení</v>
          </cell>
        </row>
        <row r="104">
          <cell r="H104" t="str">
            <v>ŽELEZNÝ BROD</v>
          </cell>
          <cell r="J104" t="str">
            <v>Kambodžské království</v>
          </cell>
          <cell r="Q104" t="str">
            <v>Podpůrné činnosti při těžbě ropy a zemního plynu</v>
          </cell>
          <cell r="T104" t="str">
            <v>Podpůrné činnosti při těžbě ropy a zemního plynu</v>
          </cell>
          <cell r="W104" t="str">
            <v>Podpůrné činnosti při těžbě ropy a zemního plynu</v>
          </cell>
          <cell r="Z104" t="str">
            <v>Podpůrné činnosti při těžbě ropy a zemního plynu</v>
          </cell>
        </row>
        <row r="105">
          <cell r="H105" t="str">
            <v>HRADEC KRÁLOVÉ</v>
          </cell>
          <cell r="J105" t="str">
            <v>Kamerunská republika</v>
          </cell>
          <cell r="Q105" t="str">
            <v>Činnosti heren, kasin a sázkových kanceláří</v>
          </cell>
          <cell r="T105" t="str">
            <v>Činnosti heren, kasin a sázkových kanceláří</v>
          </cell>
          <cell r="W105" t="str">
            <v>Činnosti heren, kasin a sázkových kanceláří</v>
          </cell>
          <cell r="Z105" t="str">
            <v>Činnosti heren, kasin a sázkových kanceláří</v>
          </cell>
        </row>
        <row r="106">
          <cell r="H106" t="str">
            <v>BROUMOV</v>
          </cell>
          <cell r="J106" t="str">
            <v>Kanada</v>
          </cell>
          <cell r="Q106" t="str">
            <v>Sportovní, zábavní a rekreační činnosti</v>
          </cell>
          <cell r="T106" t="str">
            <v>Sportovní, zábavní a rekreační činnosti</v>
          </cell>
          <cell r="W106" t="str">
            <v>Sportovní, zábavní a rekreační činnosti</v>
          </cell>
          <cell r="Z106" t="str">
            <v>Sportovní, zábavní a rekreační činnosti</v>
          </cell>
        </row>
        <row r="107">
          <cell r="H107" t="str">
            <v>DOBRUŠKA</v>
          </cell>
          <cell r="J107" t="str">
            <v>Kapverdská republika</v>
          </cell>
          <cell r="Q107" t="str">
            <v>Činnosti organizací sdružujících osoby za účelem prosazování spol.zájmů</v>
          </cell>
          <cell r="T107" t="str">
            <v>Činnosti organizací sdružujících osoby za účelem prosazování spol.zájmů</v>
          </cell>
          <cell r="W107" t="str">
            <v>Činnosti organizací sdružujících osoby za účelem prosazování spol.zájmů</v>
          </cell>
          <cell r="Z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cell r="T108" t="str">
            <v>Opravy počítačů a výrobků pro osobní potřebu a převážně pro domácnost</v>
          </cell>
          <cell r="W108" t="str">
            <v>Opravy počítačů a výrobků pro osobní potřebu a převážně pro domácnost</v>
          </cell>
          <cell r="Z108" t="str">
            <v>Opravy počítačů a výrobků pro osobní potřebu a převážně pro domácnost</v>
          </cell>
        </row>
        <row r="109">
          <cell r="H109" t="str">
            <v>HOŘICE</v>
          </cell>
          <cell r="J109" t="str">
            <v>Republika Kazachstán</v>
          </cell>
          <cell r="Q109" t="str">
            <v>Poskytování ostatních osobních služeb</v>
          </cell>
          <cell r="T109" t="str">
            <v>Poskytování ostatních osobních služeb</v>
          </cell>
          <cell r="W109" t="str">
            <v>Poskytování ostatních osobních služeb</v>
          </cell>
          <cell r="Z109" t="str">
            <v>Poskytování ostatních osobních služeb</v>
          </cell>
        </row>
        <row r="110">
          <cell r="H110" t="str">
            <v>JAROMĚŘ</v>
          </cell>
          <cell r="J110" t="str">
            <v>Keňská republika</v>
          </cell>
          <cell r="Q110" t="str">
            <v>Činnosti domácností jako zaměstnavatelů domácího personálu</v>
          </cell>
          <cell r="T110" t="str">
            <v>Činnosti domácností jako zaměstnavatelů domácího personálu</v>
          </cell>
          <cell r="W110" t="str">
            <v>Činnosti domácností jako zaměstnavatelů domácího personálu</v>
          </cell>
          <cell r="Z110" t="str">
            <v>Činnosti domácností jako zaměstnavatelů domácího personálu</v>
          </cell>
        </row>
        <row r="111">
          <cell r="H111" t="str">
            <v>JIČÍN</v>
          </cell>
          <cell r="J111" t="str">
            <v>Republika Kiribati</v>
          </cell>
          <cell r="Q111" t="str">
            <v>Činnosti domác.produk.blíže neurčené výrobky a služby pro vlast.potřebu</v>
          </cell>
          <cell r="T111" t="str">
            <v>Činnosti domác.produk.blíže neurčené výrobky a služby pro vlast.potřebu</v>
          </cell>
          <cell r="W111" t="str">
            <v>Činnosti domác.produk.blíže neurčené výrobky a služby pro vlast.potřebu</v>
          </cell>
          <cell r="Z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cell r="T112" t="str">
            <v>Činnosti exteritoriálních organizací a orgánů</v>
          </cell>
          <cell r="W112" t="str">
            <v>Činnosti exteritoriálních organizací a orgánů</v>
          </cell>
          <cell r="Z112" t="str">
            <v>Činnosti exteritoriálních organizací a orgánů</v>
          </cell>
        </row>
        <row r="113">
          <cell r="H113" t="str">
            <v>NÁCHOD</v>
          </cell>
          <cell r="J113" t="str">
            <v>Kolumbijská republika</v>
          </cell>
          <cell r="Q113" t="str">
            <v>Podpůrné činnosti při ostatní těžbě a dobývání</v>
          </cell>
          <cell r="T113" t="str">
            <v>Podpůrné činnosti při ostatní těžbě a dobývání</v>
          </cell>
          <cell r="W113" t="str">
            <v>Podpůrné činnosti při ostatní těžbě a dobývání</v>
          </cell>
          <cell r="Z113" t="str">
            <v>Podpůrné činnosti při ostatní těžbě a dobývání</v>
          </cell>
        </row>
        <row r="114">
          <cell r="H114" t="str">
            <v>NOVÁ PAKA</v>
          </cell>
          <cell r="J114" t="str">
            <v>Komorský svaz</v>
          </cell>
          <cell r="Q114" t="str">
            <v>Zpracování a konzervování masa a výroba masných výrobků</v>
          </cell>
          <cell r="T114" t="str">
            <v>Zpracování a konzervování masa a výroba masných výrobků</v>
          </cell>
          <cell r="W114" t="str">
            <v>Zpracování a konzervování masa a výroba masných výrobků</v>
          </cell>
          <cell r="Z114" t="str">
            <v>Zpracování a konzervování masa a výroba masných výrobků</v>
          </cell>
        </row>
        <row r="115">
          <cell r="H115" t="str">
            <v>NOVÝ BYDŽOV</v>
          </cell>
          <cell r="J115" t="str">
            <v>Konžská republika</v>
          </cell>
          <cell r="Q115" t="str">
            <v>Zpracování a konzervování ryb, korýšů a měkkýšů</v>
          </cell>
          <cell r="T115" t="str">
            <v>Zpracování a konzervování ryb, korýšů a měkkýšů</v>
          </cell>
          <cell r="W115" t="str">
            <v>Zpracování a konzervování ryb, korýšů a měkkýšů</v>
          </cell>
          <cell r="Z115" t="str">
            <v>Zpracování a konzervování ryb, korýšů a měkkýšů</v>
          </cell>
        </row>
        <row r="116">
          <cell r="H116" t="str">
            <v>RYCHNOV NAD KNĚŽ.</v>
          </cell>
          <cell r="J116" t="str">
            <v>Korejská lidově demokratická republika</v>
          </cell>
          <cell r="Q116" t="str">
            <v>Zpracování a konzervování ovoce a zeleniny</v>
          </cell>
          <cell r="T116" t="str">
            <v>Zpracování a konzervování ovoce a zeleniny</v>
          </cell>
          <cell r="W116" t="str">
            <v>Zpracování a konzervování ovoce a zeleniny</v>
          </cell>
          <cell r="Z116" t="str">
            <v>Zpracování a konzervování ovoce a zeleniny</v>
          </cell>
        </row>
        <row r="117">
          <cell r="H117" t="str">
            <v>TRUTNOV</v>
          </cell>
          <cell r="J117" t="str">
            <v>Korejská republika</v>
          </cell>
          <cell r="Q117" t="str">
            <v>Výroba rostlinných a živočišných olejů a tuků</v>
          </cell>
          <cell r="T117" t="str">
            <v>Výroba rostlinných a živočišných olejů a tuků</v>
          </cell>
          <cell r="W117" t="str">
            <v>Výroba rostlinných a živočišných olejů a tuků</v>
          </cell>
          <cell r="Z117" t="str">
            <v>Výroba rostlinných a živočišných olejů a tuků</v>
          </cell>
        </row>
        <row r="118">
          <cell r="H118" t="str">
            <v>VRCHLABÍ</v>
          </cell>
          <cell r="J118" t="str">
            <v>Kosovská republika</v>
          </cell>
          <cell r="Q118" t="str">
            <v>Výroba mléčných výrobků</v>
          </cell>
          <cell r="T118" t="str">
            <v>Výroba mléčných výrobků</v>
          </cell>
          <cell r="W118" t="str">
            <v>Výroba mléčných výrobků</v>
          </cell>
          <cell r="Z118" t="str">
            <v>Výroba mléčných výrobků</v>
          </cell>
        </row>
        <row r="119">
          <cell r="H119" t="str">
            <v>PARDUBICE</v>
          </cell>
          <cell r="J119" t="str">
            <v>Kostarická republika</v>
          </cell>
          <cell r="Q119" t="str">
            <v>Výroba mlýnských a škrobárenských výrobků</v>
          </cell>
          <cell r="T119" t="str">
            <v>Výroba mlýnských a škrobárenských výrobků</v>
          </cell>
          <cell r="W119" t="str">
            <v>Výroba mlýnských a škrobárenských výrobků</v>
          </cell>
          <cell r="Z119" t="str">
            <v>Výroba mlýnských a škrobárenských výrobků</v>
          </cell>
        </row>
        <row r="120">
          <cell r="H120" t="str">
            <v>HLINSKO</v>
          </cell>
          <cell r="J120" t="str">
            <v>Kubánská republika</v>
          </cell>
          <cell r="Q120" t="str">
            <v>Výroba pekařských, cukrářských a jiných moučných výrobků</v>
          </cell>
          <cell r="T120" t="str">
            <v>Výroba pekařských, cukrářských a jiných moučných výrobků</v>
          </cell>
          <cell r="W120" t="str">
            <v>Výroba pekařských, cukrářských a jiných moučných výrobků</v>
          </cell>
          <cell r="Z120" t="str">
            <v>Výroba pekařských, cukrářských a jiných moučných výrobků</v>
          </cell>
        </row>
        <row r="121">
          <cell r="H121" t="str">
            <v>HOLICE</v>
          </cell>
          <cell r="J121" t="str">
            <v>Kuvajtský stát</v>
          </cell>
          <cell r="Q121" t="str">
            <v>Výroba ostatních potravinářských výrobků</v>
          </cell>
          <cell r="T121" t="str">
            <v>Výroba ostatních potravinářských výrobků</v>
          </cell>
          <cell r="W121" t="str">
            <v>Výroba ostatních potravinářských výrobků</v>
          </cell>
          <cell r="Z121" t="str">
            <v>Výroba ostatních potravinářských výrobků</v>
          </cell>
        </row>
        <row r="122">
          <cell r="H122" t="str">
            <v>CHRUDIM</v>
          </cell>
          <cell r="J122" t="str">
            <v>Kyperská republika</v>
          </cell>
          <cell r="Q122" t="str">
            <v>Výroba průmyslových krmiv</v>
          </cell>
          <cell r="T122" t="str">
            <v>Výroba průmyslových krmiv</v>
          </cell>
          <cell r="W122" t="str">
            <v>Výroba průmyslových krmiv</v>
          </cell>
          <cell r="Z122" t="str">
            <v>Výroba průmyslových krmiv</v>
          </cell>
        </row>
        <row r="123">
          <cell r="H123" t="str">
            <v>LITOMYŠL</v>
          </cell>
          <cell r="J123" t="str">
            <v>Kyrgyzská republika</v>
          </cell>
          <cell r="Q123" t="str">
            <v>Pěstování obilovin (kromě rýže), luštěnin a olejnatých semen</v>
          </cell>
          <cell r="T123" t="str">
            <v>Pěstování obilovin (kromě rýže), luštěnin a olejnatých semen</v>
          </cell>
          <cell r="W123" t="str">
            <v>Pěstování obilovin (kromě rýže), luštěnin a olejnatých semen</v>
          </cell>
          <cell r="Z123" t="str">
            <v>Pěstování obilovin (kromě rýže), luštěnin a olejnatých semen</v>
          </cell>
        </row>
        <row r="124">
          <cell r="H124" t="str">
            <v>MORAVSKÁ TŘEBOVÁ</v>
          </cell>
          <cell r="J124" t="str">
            <v>Laoská lidově demokratická republika</v>
          </cell>
          <cell r="Q124" t="str">
            <v>Pěstování rýže</v>
          </cell>
          <cell r="T124" t="str">
            <v>Pěstování rýže</v>
          </cell>
          <cell r="W124" t="str">
            <v>Pěstování rýže</v>
          </cell>
          <cell r="Z124" t="str">
            <v>Pěstování rýže</v>
          </cell>
        </row>
        <row r="125">
          <cell r="H125" t="str">
            <v>PŘELOUČ</v>
          </cell>
          <cell r="J125" t="str">
            <v>Lesothské království</v>
          </cell>
          <cell r="Q125" t="str">
            <v>Pěstování zeleniny a melounů, kořenů a hlíz</v>
          </cell>
          <cell r="T125" t="str">
            <v>Pěstování zeleniny a melounů, kořenů a hlíz</v>
          </cell>
          <cell r="W125" t="str">
            <v>Pěstování zeleniny a melounů, kořenů a hlíz</v>
          </cell>
          <cell r="Z125" t="str">
            <v>Pěstování zeleniny a melounů, kořenů a hlíz</v>
          </cell>
        </row>
        <row r="126">
          <cell r="H126" t="str">
            <v>SVITAVY</v>
          </cell>
          <cell r="J126" t="str">
            <v>Libanonská republika</v>
          </cell>
          <cell r="Q126" t="str">
            <v>Pěstování tabáku</v>
          </cell>
          <cell r="T126" t="str">
            <v>Pěstování tabáku</v>
          </cell>
          <cell r="W126" t="str">
            <v>Pěstování tabáku</v>
          </cell>
          <cell r="Z126" t="str">
            <v>Pěstování tabáku</v>
          </cell>
        </row>
        <row r="127">
          <cell r="H127" t="str">
            <v>ÚSTÍ NAD ORLICÍ</v>
          </cell>
          <cell r="J127" t="str">
            <v>Liberijská republika</v>
          </cell>
          <cell r="Q127" t="str">
            <v>Pěstování přadných rostlin</v>
          </cell>
          <cell r="T127" t="str">
            <v>Pěstování přadných rostlin</v>
          </cell>
          <cell r="W127" t="str">
            <v>Pěstování přadných rostlin</v>
          </cell>
          <cell r="Z127" t="str">
            <v>Pěstování přadných rostlin</v>
          </cell>
        </row>
        <row r="128">
          <cell r="H128" t="str">
            <v>VYSOKÉ MÝTO</v>
          </cell>
          <cell r="J128" t="str">
            <v>Libyjský stát</v>
          </cell>
          <cell r="Q128" t="str">
            <v>Pěstování ostatních plodin jiných než trvalých</v>
          </cell>
          <cell r="T128" t="str">
            <v>Pěstování ostatních plodin jiných než trvalých</v>
          </cell>
          <cell r="W128" t="str">
            <v>Pěstování ostatních plodin jiných než trvalých</v>
          </cell>
          <cell r="Z128" t="str">
            <v>Pěstování ostatních plodin jiných než trvalých</v>
          </cell>
        </row>
        <row r="129">
          <cell r="H129" t="str">
            <v>ŽAMBERK</v>
          </cell>
          <cell r="J129" t="str">
            <v>Lichtenštejnské knížectví</v>
          </cell>
          <cell r="Q129" t="str">
            <v>Pěstování vinných hroznů</v>
          </cell>
          <cell r="T129" t="str">
            <v>Pěstování vinných hroznů</v>
          </cell>
          <cell r="W129" t="str">
            <v>Pěstování vinných hroznů</v>
          </cell>
          <cell r="Z129" t="str">
            <v>Pěstování vinných hroznů</v>
          </cell>
        </row>
        <row r="130">
          <cell r="H130" t="str">
            <v>JIHLAVA</v>
          </cell>
          <cell r="J130" t="str">
            <v>Litevská republika</v>
          </cell>
          <cell r="Q130" t="str">
            <v>Pěstování tropického a subtropického ovoce</v>
          </cell>
          <cell r="T130" t="str">
            <v>Pěstování tropického a subtropického ovoce</v>
          </cell>
          <cell r="W130" t="str">
            <v>Pěstování tropického a subtropického ovoce</v>
          </cell>
          <cell r="Z130" t="str">
            <v>Pěstování tropického a subtropického ovoce</v>
          </cell>
        </row>
        <row r="131">
          <cell r="H131" t="str">
            <v>BYSTŘICE NAD PERN.</v>
          </cell>
          <cell r="J131" t="str">
            <v>Lotyšská republika</v>
          </cell>
          <cell r="Q131" t="str">
            <v>Pěstování citrusových plodů</v>
          </cell>
          <cell r="T131" t="str">
            <v>Pěstování citrusových plodů</v>
          </cell>
          <cell r="W131" t="str">
            <v>Pěstování citrusových plodů</v>
          </cell>
          <cell r="Z131" t="str">
            <v>Pěstování citrusových plodů</v>
          </cell>
        </row>
        <row r="132">
          <cell r="H132" t="str">
            <v>HAVLÍČKŮV BROD</v>
          </cell>
          <cell r="J132" t="str">
            <v>Lucemburské velkovévodství</v>
          </cell>
          <cell r="Q132" t="str">
            <v>Pěstování jádrového a peckového ovoce</v>
          </cell>
          <cell r="T132" t="str">
            <v>Pěstování jádrového a peckového ovoce</v>
          </cell>
          <cell r="W132" t="str">
            <v>Pěstování jádrového a peckového ovoce</v>
          </cell>
          <cell r="Z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cell r="T133" t="str">
            <v>Pěstování ostatního stromového a keřového ovoce a ořechů</v>
          </cell>
          <cell r="W133" t="str">
            <v>Pěstování ostatního stromového a keřového ovoce a ořechů</v>
          </cell>
          <cell r="Z133" t="str">
            <v>Pěstování ostatního stromového a keřového ovoce a ořechů</v>
          </cell>
        </row>
        <row r="134">
          <cell r="H134" t="str">
            <v>CHOTĚBOŘ</v>
          </cell>
          <cell r="J134" t="str">
            <v>Madagaskarská republika</v>
          </cell>
          <cell r="Q134" t="str">
            <v>Pěstování olejnatých plodů</v>
          </cell>
          <cell r="T134" t="str">
            <v>Pěstování olejnatých plodů</v>
          </cell>
          <cell r="W134" t="str">
            <v>Pěstování olejnatých plodů</v>
          </cell>
          <cell r="Z134" t="str">
            <v>Pěstování olejnatých plodů</v>
          </cell>
        </row>
        <row r="135">
          <cell r="H135" t="str">
            <v>LEDEČ NAD SÁZAVOU</v>
          </cell>
          <cell r="J135" t="str">
            <v>Maďarsko</v>
          </cell>
          <cell r="Q135" t="str">
            <v>Pěstování rostlin pro výrobu nápojů</v>
          </cell>
          <cell r="T135" t="str">
            <v>Pěstování rostlin pro výrobu nápojů</v>
          </cell>
          <cell r="W135" t="str">
            <v>Pěstování rostlin pro výrobu nápojů</v>
          </cell>
          <cell r="Z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cell r="T136" t="str">
            <v>Pěstování koření, aromatických, léčivých a farmaceutických rostlin</v>
          </cell>
          <cell r="W136" t="str">
            <v>Pěstování koření, aromatických, léčivých a farmaceutických rostlin</v>
          </cell>
          <cell r="Z136" t="str">
            <v>Pěstování koření, aromatických, léčivých a farmaceutických rostlin</v>
          </cell>
        </row>
        <row r="137">
          <cell r="H137" t="str">
            <v>NÁMĚŠŤ NAD OSLAVOU</v>
          </cell>
          <cell r="J137" t="str">
            <v>Malajsie</v>
          </cell>
          <cell r="Q137" t="str">
            <v>Pěstování ostatních trvalých plodin</v>
          </cell>
          <cell r="T137" t="str">
            <v>Pěstování ostatních trvalých plodin</v>
          </cell>
          <cell r="W137" t="str">
            <v>Pěstování ostatních trvalých plodin</v>
          </cell>
          <cell r="Z137" t="str">
            <v>Pěstování ostatních trvalých plodin</v>
          </cell>
        </row>
        <row r="138">
          <cell r="H138" t="str">
            <v>PACOV</v>
          </cell>
          <cell r="J138" t="str">
            <v>Malawiská republika</v>
          </cell>
          <cell r="Q138" t="str">
            <v>Úprava a spřádání textilních vláken a příze</v>
          </cell>
          <cell r="T138" t="str">
            <v>Úprava a spřádání textilních vláken a příze</v>
          </cell>
          <cell r="W138" t="str">
            <v>Úprava a spřádání textilních vláken a příze</v>
          </cell>
          <cell r="Z138" t="str">
            <v>Úprava a spřádání textilních vláken a příze</v>
          </cell>
        </row>
        <row r="139">
          <cell r="H139" t="str">
            <v>PELHŘIMOV</v>
          </cell>
          <cell r="J139" t="str">
            <v>Maledivská republika</v>
          </cell>
          <cell r="Q139" t="str">
            <v>Tkaní textilií</v>
          </cell>
          <cell r="T139" t="str">
            <v>Tkaní textilií</v>
          </cell>
          <cell r="W139" t="str">
            <v>Tkaní textilií</v>
          </cell>
          <cell r="Z139" t="str">
            <v>Tkaní textilií</v>
          </cell>
        </row>
        <row r="140">
          <cell r="H140" t="str">
            <v>TELČ</v>
          </cell>
          <cell r="J140" t="str">
            <v>Republika Mali</v>
          </cell>
          <cell r="Q140" t="str">
            <v>Konečná úprava textilií</v>
          </cell>
          <cell r="T140" t="str">
            <v>Konečná úprava textilií</v>
          </cell>
          <cell r="W140" t="str">
            <v>Konečná úprava textilií</v>
          </cell>
          <cell r="Z140" t="str">
            <v>Konečná úprava textilií</v>
          </cell>
        </row>
        <row r="141">
          <cell r="H141" t="str">
            <v>TŘEBÍČ</v>
          </cell>
          <cell r="J141" t="str">
            <v>Maltská republika</v>
          </cell>
          <cell r="Q141" t="str">
            <v>Výroba ostatních textilií</v>
          </cell>
          <cell r="T141" t="str">
            <v>Výroba ostatních textilií</v>
          </cell>
          <cell r="W141" t="str">
            <v>Výroba ostatních textilií</v>
          </cell>
          <cell r="Z141" t="str">
            <v>Výroba ostatních textilií</v>
          </cell>
        </row>
        <row r="142">
          <cell r="H142" t="str">
            <v>VELKÉ MEZIŘÍČÍ</v>
          </cell>
          <cell r="J142" t="str">
            <v>Ostrov Man</v>
          </cell>
          <cell r="Q142" t="str">
            <v>Pěstování cukrové třtiny</v>
          </cell>
          <cell r="T142" t="str">
            <v>Pěstování cukrové třtiny</v>
          </cell>
          <cell r="W142" t="str">
            <v>Pěstování cukrové třtiny</v>
          </cell>
          <cell r="Z142" t="str">
            <v>Pěstování cukrové třtiny</v>
          </cell>
        </row>
        <row r="143">
          <cell r="H143" t="str">
            <v>ŽĎÁR NAD SÁZAVOU</v>
          </cell>
          <cell r="J143" t="str">
            <v>Marocké království</v>
          </cell>
          <cell r="Q143" t="str">
            <v>Výroba oděvů, kromě kožešinových výrobků</v>
          </cell>
          <cell r="T143" t="str">
            <v>Výroba oděvů, kromě kožešinových výrobků</v>
          </cell>
          <cell r="W143" t="str">
            <v>Výroba oděvů, kromě kožešinových výrobků</v>
          </cell>
          <cell r="Z143" t="str">
            <v>Výroba oděvů, kromě kožešinových výrobků</v>
          </cell>
        </row>
        <row r="144">
          <cell r="H144" t="str">
            <v>BRNO I</v>
          </cell>
          <cell r="J144" t="str">
            <v>Republika Marshallovy ostrovy</v>
          </cell>
          <cell r="Q144" t="str">
            <v>Chov mléčného skotu</v>
          </cell>
          <cell r="T144" t="str">
            <v>Chov mléčného skotu</v>
          </cell>
          <cell r="W144" t="str">
            <v>Chov mléčného skotu</v>
          </cell>
          <cell r="Z144" t="str">
            <v>Chov mléčného skotu</v>
          </cell>
        </row>
        <row r="145">
          <cell r="H145" t="str">
            <v>BRNO II</v>
          </cell>
          <cell r="J145" t="str">
            <v>Region Martinik</v>
          </cell>
          <cell r="Q145" t="str">
            <v>Výroba kožešinových výrobků</v>
          </cell>
          <cell r="T145" t="str">
            <v>Výroba kožešinových výrobků</v>
          </cell>
          <cell r="W145" t="str">
            <v>Výroba kožešinových výrobků</v>
          </cell>
          <cell r="Z145" t="str">
            <v>Výroba kožešinových výrobků</v>
          </cell>
        </row>
        <row r="146">
          <cell r="H146" t="str">
            <v>BRNO III</v>
          </cell>
          <cell r="J146" t="str">
            <v>Mauricijská republika</v>
          </cell>
          <cell r="Q146" t="str">
            <v>Chov jiného skotu</v>
          </cell>
          <cell r="T146" t="str">
            <v>Chov jiného skotu</v>
          </cell>
          <cell r="W146" t="str">
            <v>Chov jiného skotu</v>
          </cell>
          <cell r="Z146" t="str">
            <v>Chov jiného skotu</v>
          </cell>
        </row>
        <row r="147">
          <cell r="H147" t="str">
            <v>BRNO IV</v>
          </cell>
          <cell r="J147" t="str">
            <v>Mauritánská islámská republika</v>
          </cell>
          <cell r="Q147" t="str">
            <v>Výroba pletených a háčkovaných oděvů</v>
          </cell>
          <cell r="T147" t="str">
            <v>Výroba pletených a háčkovaných oděvů</v>
          </cell>
          <cell r="W147" t="str">
            <v>Výroba pletených a háčkovaných oděvů</v>
          </cell>
          <cell r="Z147" t="str">
            <v>Výroba pletených a háčkovaných oděvů</v>
          </cell>
        </row>
        <row r="148">
          <cell r="H148" t="str">
            <v>BRNO VENKOV</v>
          </cell>
          <cell r="J148" t="str">
            <v>Departementní společenství Mayotte</v>
          </cell>
          <cell r="Q148" t="str">
            <v>Chov koní a jiných koňovitých</v>
          </cell>
          <cell r="T148" t="str">
            <v>Chov koní a jiných koňovitých</v>
          </cell>
          <cell r="W148" t="str">
            <v>Chov koní a jiných koňovitých</v>
          </cell>
          <cell r="Z148" t="str">
            <v>Chov koní a jiných koňovitých</v>
          </cell>
        </row>
        <row r="149">
          <cell r="H149" t="str">
            <v>BLANSKO</v>
          </cell>
          <cell r="J149" t="str">
            <v>Menší odlehlé ostrovy USA</v>
          </cell>
          <cell r="Q149" t="str">
            <v>Chov velbloudů a velbloudovitých</v>
          </cell>
          <cell r="T149" t="str">
            <v>Chov velbloudů a velbloudovitých</v>
          </cell>
          <cell r="W149" t="str">
            <v>Chov velbloudů a velbloudovitých</v>
          </cell>
          <cell r="Z149" t="str">
            <v>Chov velbloudů a velbloudovitých</v>
          </cell>
        </row>
        <row r="150">
          <cell r="H150" t="str">
            <v>BOSKOVICE</v>
          </cell>
          <cell r="J150" t="str">
            <v>Spojené státy mexické</v>
          </cell>
          <cell r="Q150" t="str">
            <v>Chov ovcí a koz</v>
          </cell>
          <cell r="T150" t="str">
            <v>Chov ovcí a koz</v>
          </cell>
          <cell r="W150" t="str">
            <v>Chov ovcí a koz</v>
          </cell>
          <cell r="Z150" t="str">
            <v>Chov ovcí a koz</v>
          </cell>
        </row>
        <row r="151">
          <cell r="H151" t="str">
            <v>BŘECLAV</v>
          </cell>
          <cell r="J151" t="str">
            <v>Federativní státy Mikronésie</v>
          </cell>
          <cell r="Q151" t="str">
            <v>Chov prasat</v>
          </cell>
          <cell r="T151" t="str">
            <v>Chov prasat</v>
          </cell>
          <cell r="W151" t="str">
            <v>Chov prasat</v>
          </cell>
          <cell r="Z151" t="str">
            <v>Chov prasat</v>
          </cell>
        </row>
        <row r="152">
          <cell r="H152" t="str">
            <v>BUČOVICE</v>
          </cell>
          <cell r="J152" t="str">
            <v>Moldavská republika</v>
          </cell>
          <cell r="Q152" t="str">
            <v>Chov drůbeže</v>
          </cell>
          <cell r="T152" t="str">
            <v>Chov drůbeže</v>
          </cell>
          <cell r="W152" t="str">
            <v>Chov drůbeže</v>
          </cell>
          <cell r="Z152" t="str">
            <v>Chov drůbeže</v>
          </cell>
        </row>
        <row r="153">
          <cell r="H153" t="str">
            <v>HODONÍN</v>
          </cell>
          <cell r="J153" t="str">
            <v>Monacké knížectví</v>
          </cell>
          <cell r="Q153" t="str">
            <v>Chov ostatních zvířat</v>
          </cell>
          <cell r="T153" t="str">
            <v>Chov ostatních zvířat</v>
          </cell>
          <cell r="W153" t="str">
            <v>Chov ostatních zvířat</v>
          </cell>
          <cell r="Z153" t="str">
            <v>Chov ostatních zvířat</v>
          </cell>
        </row>
        <row r="154">
          <cell r="H154" t="str">
            <v>HUSTOPEČE</v>
          </cell>
          <cell r="J154" t="str">
            <v>Mongolsko</v>
          </cell>
          <cell r="Q154" t="str">
            <v>Činění a úprava usní (vyčiněných kůží); zpracování a barvení kožešin; výrob</v>
          </cell>
          <cell r="T154" t="str">
            <v>Činění a úprava usní (vyčiněných kůží); zpracování a barvení kožešin; výrob</v>
          </cell>
          <cell r="W154" t="str">
            <v>Činění a úprava usní (vyčiněných kůží); zpracování a barvení kožešin; výrob</v>
          </cell>
          <cell r="Z154" t="str">
            <v>Činění a úprava usní (vyčiněných kůží); zpracování a barvení kožešin; výrob</v>
          </cell>
        </row>
        <row r="155">
          <cell r="H155" t="str">
            <v>IVANČICE</v>
          </cell>
          <cell r="J155" t="str">
            <v>Montserrat</v>
          </cell>
          <cell r="Q155" t="str">
            <v>Výroba obuvi</v>
          </cell>
          <cell r="T155" t="str">
            <v>Výroba obuvi</v>
          </cell>
          <cell r="W155" t="str">
            <v>Výroba obuvi</v>
          </cell>
          <cell r="Z155" t="str">
            <v>Výroba obuvi</v>
          </cell>
        </row>
        <row r="156">
          <cell r="H156" t="str">
            <v>KYJOV</v>
          </cell>
          <cell r="J156" t="str">
            <v>Mosambická republika</v>
          </cell>
          <cell r="Q156" t="str">
            <v>Výroba pilařská a impregnace dřeva</v>
          </cell>
          <cell r="T156" t="str">
            <v>Výroba pilařská a impregnace dřeva</v>
          </cell>
          <cell r="W156" t="str">
            <v>Výroba pilařská a impregnace dřeva</v>
          </cell>
          <cell r="Z156" t="str">
            <v>Výroba pilařská a impregnace dřeva</v>
          </cell>
        </row>
        <row r="157">
          <cell r="H157" t="str">
            <v>MIKULOV</v>
          </cell>
          <cell r="J157" t="str">
            <v>Republika Myanmarský svaz</v>
          </cell>
          <cell r="Q157" t="str">
            <v>Podpůrné činnosti pro rostlinnou výrobu</v>
          </cell>
          <cell r="T157" t="str">
            <v>Podpůrné činnosti pro rostlinnou výrobu</v>
          </cell>
          <cell r="W157" t="str">
            <v>Podpůrné činnosti pro rostlinnou výrobu</v>
          </cell>
          <cell r="Z157" t="str">
            <v>Podpůrné činnosti pro rostlinnou výrobu</v>
          </cell>
        </row>
        <row r="158">
          <cell r="H158" t="str">
            <v>MORAVSKÝ KRUMLOV</v>
          </cell>
          <cell r="J158" t="str">
            <v>Namibijská republika</v>
          </cell>
          <cell r="Q158" t="str">
            <v>Výroba dřevěných,korkových,proutěných a slaměných výrobků,kromě nábytku</v>
          </cell>
          <cell r="T158" t="str">
            <v>Výroba dřevěných,korkových,proutěných a slaměných výrobků,kromě nábytku</v>
          </cell>
          <cell r="W158" t="str">
            <v>Výroba dřevěných,korkových,proutěných a slaměných výrobků,kromě nábytku</v>
          </cell>
          <cell r="Z158" t="str">
            <v>Výroba dřevěných,korkových,proutěných a slaměných výrobků,kromě nábytku</v>
          </cell>
        </row>
        <row r="159">
          <cell r="H159" t="str">
            <v>SLAVKOV U BRNA</v>
          </cell>
          <cell r="J159" t="str">
            <v>Republika Nauru</v>
          </cell>
          <cell r="Q159" t="str">
            <v>Podpůrné činnosti pro živočišnou výrobu</v>
          </cell>
          <cell r="T159" t="str">
            <v>Podpůrné činnosti pro živočišnou výrobu</v>
          </cell>
          <cell r="W159" t="str">
            <v>Podpůrné činnosti pro živočišnou výrobu</v>
          </cell>
          <cell r="Z159" t="str">
            <v>Podpůrné činnosti pro živočišnou výrobu</v>
          </cell>
        </row>
        <row r="160">
          <cell r="H160" t="str">
            <v>TIŠNOV</v>
          </cell>
          <cell r="J160" t="str">
            <v>Spolková republika Německo</v>
          </cell>
          <cell r="Q160" t="str">
            <v>Posklizňové činnosti</v>
          </cell>
          <cell r="T160" t="str">
            <v>Posklizňové činnosti</v>
          </cell>
          <cell r="W160" t="str">
            <v>Posklizňové činnosti</v>
          </cell>
          <cell r="Z160" t="str">
            <v>Posklizňové činnosti</v>
          </cell>
        </row>
        <row r="161">
          <cell r="H161" t="str">
            <v>VESELÍ NAD MORAVOU</v>
          </cell>
          <cell r="J161" t="str">
            <v>Nepálská federativní demokratická republika</v>
          </cell>
          <cell r="Q161" t="str">
            <v>Zpracování osiva pro účely množení</v>
          </cell>
          <cell r="T161" t="str">
            <v>Zpracování osiva pro účely množení</v>
          </cell>
          <cell r="W161" t="str">
            <v>Zpracování osiva pro účely množení</v>
          </cell>
          <cell r="Z161" t="str">
            <v>Zpracování osiva pro účely množení</v>
          </cell>
        </row>
        <row r="162">
          <cell r="H162" t="str">
            <v>VYŠKOV</v>
          </cell>
          <cell r="J162" t="str">
            <v>Nigerská republika</v>
          </cell>
          <cell r="Q162" t="str">
            <v>Výroba buničiny, papíru a lepenky</v>
          </cell>
          <cell r="T162" t="str">
            <v>Výroba buničiny, papíru a lepenky</v>
          </cell>
          <cell r="W162" t="str">
            <v>Výroba buničiny, papíru a lepenky</v>
          </cell>
          <cell r="Z162" t="str">
            <v>Výroba buničiny, papíru a lepenky</v>
          </cell>
        </row>
        <row r="163">
          <cell r="H163" t="str">
            <v>ZNOJMO</v>
          </cell>
          <cell r="J163" t="str">
            <v>Nigerijská federativní republika</v>
          </cell>
          <cell r="Q163" t="str">
            <v>Výroba výrobků z papíru a lepenky</v>
          </cell>
          <cell r="T163" t="str">
            <v>Výroba výrobků z papíru a lepenky</v>
          </cell>
          <cell r="W163" t="str">
            <v>Výroba výrobků z papíru a lepenky</v>
          </cell>
          <cell r="Z163" t="str">
            <v>Výroba výrobků z papíru a lepenky</v>
          </cell>
        </row>
        <row r="164">
          <cell r="H164" t="str">
            <v>OLOMOUC</v>
          </cell>
          <cell r="J164" t="str">
            <v>Nikaragujská republika</v>
          </cell>
          <cell r="Q164" t="str">
            <v>Tisk a činnosti související s tiskem</v>
          </cell>
          <cell r="T164" t="str">
            <v>Tisk a činnosti související s tiskem</v>
          </cell>
          <cell r="W164" t="str">
            <v>Tisk a činnosti související s tiskem</v>
          </cell>
          <cell r="Z164" t="str">
            <v>Tisk a činnosti související s tiskem</v>
          </cell>
        </row>
        <row r="165">
          <cell r="H165" t="str">
            <v>HRANICE</v>
          </cell>
          <cell r="J165" t="str">
            <v>Niue</v>
          </cell>
          <cell r="Q165" t="str">
            <v>Rozmnožování nahraných nosičů</v>
          </cell>
          <cell r="T165" t="str">
            <v>Rozmnožování nahraných nosičů</v>
          </cell>
          <cell r="W165" t="str">
            <v>Rozmnožování nahraných nosičů</v>
          </cell>
          <cell r="Z165" t="str">
            <v>Rozmnožování nahraných nosičů</v>
          </cell>
        </row>
        <row r="166">
          <cell r="H166" t="str">
            <v>JESENÍK</v>
          </cell>
          <cell r="J166" t="str">
            <v>Nizozemsko</v>
          </cell>
          <cell r="Q166" t="str">
            <v>Výroba koksárenských produktů</v>
          </cell>
          <cell r="T166" t="str">
            <v>Výroba koksárenských produktů</v>
          </cell>
          <cell r="W166" t="str">
            <v>Výroba koksárenských produktů</v>
          </cell>
          <cell r="Z166" t="str">
            <v>Výroba koksárenských produktů</v>
          </cell>
        </row>
        <row r="167">
          <cell r="H167" t="str">
            <v>KONICE</v>
          </cell>
          <cell r="J167" t="str">
            <v>Území Norfolk</v>
          </cell>
          <cell r="Q167" t="str">
            <v>Výroba rafinovaných ropných produktů</v>
          </cell>
          <cell r="T167" t="str">
            <v>Výroba rafinovaných ropných produktů</v>
          </cell>
          <cell r="W167" t="str">
            <v>Výroba rafinovaných ropných produktů</v>
          </cell>
          <cell r="Z167" t="str">
            <v>Výroba rafinovaných ropných produktů</v>
          </cell>
        </row>
        <row r="168">
          <cell r="H168" t="str">
            <v>LITOVEL</v>
          </cell>
          <cell r="J168" t="str">
            <v>Norské království</v>
          </cell>
          <cell r="Q168" t="str">
            <v>Výroba zákl.chem.látek,hnojiv a dusík.sl.,plastů a synt.kaučuku v prim.f.</v>
          </cell>
          <cell r="T168" t="str">
            <v>Výroba zákl.chem.látek,hnojiv a dusík.sl.,plastů a synt.kaučuku v prim.f.</v>
          </cell>
          <cell r="W168" t="str">
            <v>Výroba zákl.chem.látek,hnojiv a dusík.sl.,plastů a synt.kaučuku v prim.f.</v>
          </cell>
          <cell r="Z168" t="str">
            <v>Výroba zákl.chem.látek,hnojiv a dusík.sl.,plastů a synt.kaučuku v prim.f.</v>
          </cell>
        </row>
        <row r="169">
          <cell r="H169" t="str">
            <v>PROSTĚJOV</v>
          </cell>
          <cell r="J169" t="str">
            <v>Nová Kaledonie</v>
          </cell>
          <cell r="Q169" t="str">
            <v>Výroba pesticidů a jiných agrochemických přípravků</v>
          </cell>
          <cell r="T169" t="str">
            <v>Výroba pesticidů a jiných agrochemických přípravků</v>
          </cell>
          <cell r="W169" t="str">
            <v>Výroba pesticidů a jiných agrochemických přípravků</v>
          </cell>
          <cell r="Z169" t="str">
            <v>Výroba pesticidů a jiných agrochemických přípravků</v>
          </cell>
        </row>
        <row r="170">
          <cell r="H170" t="str">
            <v>PŘEROV</v>
          </cell>
          <cell r="J170" t="str">
            <v>Nový Zéland</v>
          </cell>
          <cell r="Q170" t="str">
            <v>Výroba nátěr.barev,laků a jiných nátěrových mater.,tisk.barev a tmelů</v>
          </cell>
          <cell r="T170" t="str">
            <v>Výroba nátěr.barev,laků a jiných nátěrových mater.,tisk.barev a tmelů</v>
          </cell>
          <cell r="W170" t="str">
            <v>Výroba nátěr.barev,laků a jiných nátěrových mater.,tisk.barev a tmelů</v>
          </cell>
          <cell r="Z170" t="str">
            <v>Výroba nátěr.barev,laků a jiných nátěrových mater.,tisk.barev a tmelů</v>
          </cell>
        </row>
        <row r="171">
          <cell r="H171" t="str">
            <v>ŠTERNBERK</v>
          </cell>
          <cell r="J171" t="str">
            <v>Sultanát Omán</v>
          </cell>
          <cell r="Q171" t="str">
            <v>Výroba mýdel a detergentů,čist.a lešticích prostř.,parfémů a toal. přípr.</v>
          </cell>
          <cell r="T171" t="str">
            <v>Výroba mýdel a detergentů,čist.a lešticích prostř.,parfémů a toal. přípr.</v>
          </cell>
          <cell r="W171" t="str">
            <v>Výroba mýdel a detergentů,čist.a lešticích prostř.,parfémů a toal. přípr.</v>
          </cell>
          <cell r="Z171" t="str">
            <v>Výroba mýdel a detergentů,čist.a lešticích prostř.,parfémů a toal. přípr.</v>
          </cell>
        </row>
        <row r="172">
          <cell r="H172" t="str">
            <v>ŠUMPERK</v>
          </cell>
          <cell r="J172" t="str">
            <v>Pákistánská islámská republika</v>
          </cell>
          <cell r="Q172" t="str">
            <v>Výroba ostatních chemických výrobků</v>
          </cell>
          <cell r="T172" t="str">
            <v>Výroba ostatních chemických výrobků</v>
          </cell>
          <cell r="W172" t="str">
            <v>Výroba ostatních chemických výrobků</v>
          </cell>
          <cell r="Z172" t="str">
            <v>Výroba ostatních chemických výrobků</v>
          </cell>
        </row>
        <row r="173">
          <cell r="H173" t="str">
            <v>ZÁBŘEH</v>
          </cell>
          <cell r="J173" t="str">
            <v>Republika Palau</v>
          </cell>
          <cell r="Q173" t="str">
            <v>Výroba chemických vláken</v>
          </cell>
          <cell r="T173" t="str">
            <v>Výroba chemických vláken</v>
          </cell>
          <cell r="W173" t="str">
            <v>Výroba chemických vláken</v>
          </cell>
          <cell r="Z173" t="str">
            <v>Výroba chemických vláken</v>
          </cell>
        </row>
        <row r="174">
          <cell r="H174" t="str">
            <v>OSTRAVA I</v>
          </cell>
          <cell r="J174" t="str">
            <v>Palestinská autonomní území</v>
          </cell>
          <cell r="Q174" t="str">
            <v>Výroba základních farmaceutických výrobků</v>
          </cell>
          <cell r="T174" t="str">
            <v>Výroba základních farmaceutických výrobků</v>
          </cell>
          <cell r="W174" t="str">
            <v>Výroba základních farmaceutických výrobků</v>
          </cell>
          <cell r="Z174" t="str">
            <v>Výroba základních farmaceutických výrobků</v>
          </cell>
        </row>
        <row r="175">
          <cell r="H175" t="str">
            <v>OSTRAVA II</v>
          </cell>
          <cell r="J175" t="str">
            <v>Panamská republika</v>
          </cell>
          <cell r="Q175" t="str">
            <v>Výroba farmaceutických přípravků</v>
          </cell>
          <cell r="T175" t="str">
            <v>Výroba farmaceutických přípravků</v>
          </cell>
          <cell r="W175" t="str">
            <v>Výroba farmaceutických přípravků</v>
          </cell>
          <cell r="Z175" t="str">
            <v>Výroba farmaceutických přípravků</v>
          </cell>
        </row>
        <row r="176">
          <cell r="H176" t="str">
            <v>OSTRAVA III</v>
          </cell>
          <cell r="J176" t="str">
            <v>Nezávislý stát Papua Nová Guinea</v>
          </cell>
          <cell r="Q176" t="str">
            <v>Výroba pryžových výrobků</v>
          </cell>
          <cell r="T176" t="str">
            <v>Výroba pryžových výrobků</v>
          </cell>
          <cell r="W176" t="str">
            <v>Výroba pryžových výrobků</v>
          </cell>
          <cell r="Z176" t="str">
            <v>Výroba pryžových výrobků</v>
          </cell>
        </row>
        <row r="177">
          <cell r="H177" t="str">
            <v>BOHUMÍN</v>
          </cell>
          <cell r="J177" t="str">
            <v>Paraguayská republika</v>
          </cell>
          <cell r="Q177" t="str">
            <v>Výroba plastových výrobků</v>
          </cell>
          <cell r="T177" t="str">
            <v>Výroba plastových výrobků</v>
          </cell>
          <cell r="W177" t="str">
            <v>Výroba plastových výrobků</v>
          </cell>
          <cell r="Z177" t="str">
            <v>Výroba plastových výrobků</v>
          </cell>
        </row>
        <row r="178">
          <cell r="H178" t="str">
            <v>BRUNTÁL</v>
          </cell>
          <cell r="J178" t="str">
            <v>Peruánská republika</v>
          </cell>
          <cell r="Q178" t="str">
            <v>Výroba skla a skleněných výrobků</v>
          </cell>
          <cell r="T178" t="str">
            <v>Výroba skla a skleněných výrobků</v>
          </cell>
          <cell r="W178" t="str">
            <v>Výroba skla a skleněných výrobků</v>
          </cell>
          <cell r="Z178" t="str">
            <v>Výroba skla a skleněných výrobků</v>
          </cell>
        </row>
        <row r="179">
          <cell r="H179" t="str">
            <v>ČESKÝ TĚŠÍN</v>
          </cell>
          <cell r="J179" t="str">
            <v>Pitcairnovy ostrovy</v>
          </cell>
          <cell r="Q179" t="str">
            <v>Výroba žáruvzdorných výrobků</v>
          </cell>
          <cell r="T179" t="str">
            <v>Výroba žáruvzdorných výrobků</v>
          </cell>
          <cell r="W179" t="str">
            <v>Výroba žáruvzdorných výrobků</v>
          </cell>
          <cell r="Z179" t="str">
            <v>Výroba žáruvzdorných výrobků</v>
          </cell>
        </row>
        <row r="180">
          <cell r="H180" t="str">
            <v>FRÝDEK-MÍSTEK</v>
          </cell>
          <cell r="J180" t="str">
            <v>Republika Pobřeží slonoviny</v>
          </cell>
          <cell r="Q180" t="str">
            <v>Výroba stavebních výrobků z jílovitých materiálů</v>
          </cell>
          <cell r="T180" t="str">
            <v>Výroba stavebních výrobků z jílovitých materiálů</v>
          </cell>
          <cell r="W180" t="str">
            <v>Výroba stavebních výrobků z jílovitých materiálů</v>
          </cell>
          <cell r="Z180" t="str">
            <v>Výroba stavebních výrobků z jílovitých materiálů</v>
          </cell>
        </row>
        <row r="181">
          <cell r="H181" t="str">
            <v>FRÝDLANT NAD OSTRAV.</v>
          </cell>
          <cell r="J181" t="str">
            <v>Polská republika</v>
          </cell>
          <cell r="Q181" t="str">
            <v>Výroba ostatních porcelánových a keramických výrobků</v>
          </cell>
          <cell r="T181" t="str">
            <v>Výroba ostatních porcelánových a keramických výrobků</v>
          </cell>
          <cell r="W181" t="str">
            <v>Výroba ostatních porcelánových a keramických výrobků</v>
          </cell>
          <cell r="Z181" t="str">
            <v>Výroba ostatních porcelánových a keramických výrobků</v>
          </cell>
        </row>
        <row r="182">
          <cell r="H182" t="str">
            <v>FULNEK</v>
          </cell>
          <cell r="J182" t="str">
            <v>Portorické společenství</v>
          </cell>
          <cell r="Q182" t="str">
            <v>Výroba cementu, vápna a sádry</v>
          </cell>
          <cell r="T182" t="str">
            <v>Výroba cementu, vápna a sádry</v>
          </cell>
          <cell r="W182" t="str">
            <v>Výroba cementu, vápna a sádry</v>
          </cell>
          <cell r="Z182" t="str">
            <v>Výroba cementu, vápna a sádry</v>
          </cell>
        </row>
        <row r="183">
          <cell r="H183" t="str">
            <v>HAVÍŘOV</v>
          </cell>
          <cell r="J183" t="str">
            <v>Portugalská republika</v>
          </cell>
          <cell r="Q183" t="str">
            <v>Výroba betonových, cementových a sádrových výrobků</v>
          </cell>
          <cell r="T183" t="str">
            <v>Výroba betonových, cementových a sádrových výrobků</v>
          </cell>
          <cell r="W183" t="str">
            <v>Výroba betonových, cementových a sádrových výrobků</v>
          </cell>
          <cell r="Z183" t="str">
            <v>Výroba betonových, cementových a sádrových výrobků</v>
          </cell>
        </row>
        <row r="184">
          <cell r="H184" t="str">
            <v>HLUČÍN</v>
          </cell>
          <cell r="J184" t="str">
            <v>Rakouská republika</v>
          </cell>
          <cell r="Q184" t="str">
            <v>Řezání, tvarování a konečná úprava kamenů</v>
          </cell>
          <cell r="T184" t="str">
            <v>Řezání, tvarování a konečná úprava kamenů</v>
          </cell>
          <cell r="W184" t="str">
            <v>Řezání, tvarování a konečná úprava kamenů</v>
          </cell>
          <cell r="Z184" t="str">
            <v>Řezání, tvarování a konečná úprava kamenů</v>
          </cell>
        </row>
        <row r="185">
          <cell r="H185" t="str">
            <v>KARVINÁ</v>
          </cell>
          <cell r="J185" t="str">
            <v>Region Réunion</v>
          </cell>
          <cell r="Q185" t="str">
            <v>Výroba brusiv a ostatních nekovových minerálních výrobků j. n.</v>
          </cell>
          <cell r="T185" t="str">
            <v>Výroba brusiv a ostatních nekovových minerálních výrobků j. n.</v>
          </cell>
          <cell r="W185" t="str">
            <v>Výroba brusiv a ostatních nekovových minerálních výrobků j. n.</v>
          </cell>
          <cell r="Z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cell r="T186" t="str">
            <v>Výroba sur.železa,oceli a feroslitin,ploch.výr.,tváření výrobků za tepla</v>
          </cell>
          <cell r="W186" t="str">
            <v>Výroba sur.železa,oceli a feroslitin,ploch.výr.,tváření výrobků za tepla</v>
          </cell>
          <cell r="Z186" t="str">
            <v>Výroba sur.železa,oceli a feroslitin,ploch.výr.,tváření výrobků za tepla</v>
          </cell>
        </row>
        <row r="187">
          <cell r="H187" t="str">
            <v>KRNOV</v>
          </cell>
          <cell r="J187" t="str">
            <v>Rumunsko</v>
          </cell>
          <cell r="Q187" t="str">
            <v>Výroba ocelových trub,trubek,dutých profilů a souvis.potrubních tvarovek</v>
          </cell>
          <cell r="T187" t="str">
            <v>Výroba ocelových trub,trubek,dutých profilů a souvis.potrubních tvarovek</v>
          </cell>
          <cell r="W187" t="str">
            <v>Výroba ocelových trub,trubek,dutých profilů a souvis.potrubních tvarovek</v>
          </cell>
          <cell r="Z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cell r="T188" t="str">
            <v>Výroba ostatních výrobků získaných jednostupňovým zpracováním oceli</v>
          </cell>
          <cell r="W188" t="str">
            <v>Výroba ostatních výrobků získaných jednostupňovým zpracováním oceli</v>
          </cell>
          <cell r="Z188" t="str">
            <v>Výroba ostatních výrobků získaných jednostupňovým zpracováním oceli</v>
          </cell>
        </row>
        <row r="189">
          <cell r="H189" t="str">
            <v>OPAVA</v>
          </cell>
          <cell r="J189" t="str">
            <v>Rwandská republika</v>
          </cell>
          <cell r="Q189" t="str">
            <v>Výroba a hutní zpracování drahých a neželezných kovů</v>
          </cell>
          <cell r="T189" t="str">
            <v>Výroba a hutní zpracování drahých a neželezných kovů</v>
          </cell>
          <cell r="W189" t="str">
            <v>Výroba a hutní zpracování drahých a neželezných kovů</v>
          </cell>
          <cell r="Z189" t="str">
            <v>Výroba a hutní zpracování drahých a neželezných kovů</v>
          </cell>
        </row>
        <row r="190">
          <cell r="H190" t="str">
            <v>ORLOVÁ</v>
          </cell>
          <cell r="J190" t="str">
            <v>Řecká republika</v>
          </cell>
          <cell r="Q190" t="str">
            <v>Slévárenství</v>
          </cell>
          <cell r="T190" t="str">
            <v>Slévárenství</v>
          </cell>
          <cell r="W190" t="str">
            <v>Slévárenství</v>
          </cell>
          <cell r="Z190" t="str">
            <v>Slévárenství</v>
          </cell>
        </row>
        <row r="191">
          <cell r="H191" t="str">
            <v>TŘINEC</v>
          </cell>
          <cell r="J191" t="str">
            <v>Územní společenství Saint Pierre a Miquelon</v>
          </cell>
          <cell r="Q191" t="str">
            <v>Výroba konstrukčních kovových výrobků</v>
          </cell>
          <cell r="T191" t="str">
            <v>Výroba konstrukčních kovových výrobků</v>
          </cell>
          <cell r="W191" t="str">
            <v>Výroba konstrukčních kovových výrobků</v>
          </cell>
          <cell r="Z191" t="str">
            <v>Výroba konstrukčních kovových výrobků</v>
          </cell>
        </row>
        <row r="192">
          <cell r="H192" t="str">
            <v>ZLÍN</v>
          </cell>
          <cell r="J192" t="str">
            <v>Salvadorská republika</v>
          </cell>
          <cell r="Q192" t="str">
            <v>Výroba radiátorů a kotlů k ústřednímu topení, kovových nádrží a zásobníků</v>
          </cell>
          <cell r="T192" t="str">
            <v>Výroba radiátorů a kotlů k ústřednímu topení, kovových nádrží a zásobníků</v>
          </cell>
          <cell r="W192" t="str">
            <v>Výroba radiátorů a kotlů k ústřednímu topení, kovových nádrží a zásobníků</v>
          </cell>
          <cell r="Z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cell r="T193" t="str">
            <v>Výroba parních kotlů, kromě kotlů pro ústřední topení</v>
          </cell>
          <cell r="W193" t="str">
            <v>Výroba parních kotlů, kromě kotlů pro ústřední topení</v>
          </cell>
          <cell r="Z193" t="str">
            <v>Výroba parních kotlů, kromě kotlů pro ústřední topení</v>
          </cell>
        </row>
        <row r="194">
          <cell r="H194" t="str">
            <v>HOLEŠOV</v>
          </cell>
          <cell r="J194" t="str">
            <v>Republika San Marino</v>
          </cell>
          <cell r="Q194" t="str">
            <v>Výroba zbraní a střeliva</v>
          </cell>
          <cell r="T194" t="str">
            <v>Výroba zbraní a střeliva</v>
          </cell>
          <cell r="W194" t="str">
            <v>Výroba zbraní a střeliva</v>
          </cell>
          <cell r="Z194" t="str">
            <v>Výroba zbraní a střeliva</v>
          </cell>
        </row>
        <row r="195">
          <cell r="H195" t="str">
            <v>KROMĚŘÍŽ</v>
          </cell>
          <cell r="J195" t="str">
            <v>Království Saúdská Arábie</v>
          </cell>
          <cell r="Q195" t="str">
            <v>Kování,lisování,ražení,válcování a protlačování kovů;prášková metalurgie</v>
          </cell>
          <cell r="T195" t="str">
            <v>Kování,lisování,ražení,válcování a protlačování kovů;prášková metalurgie</v>
          </cell>
          <cell r="W195" t="str">
            <v>Kování,lisování,ražení,válcování a protlačování kovů;prášková metalurgie</v>
          </cell>
          <cell r="Z195" t="str">
            <v>Kování,lisování,ražení,válcování a protlačování kovů;prášková metalurgie</v>
          </cell>
        </row>
        <row r="196">
          <cell r="H196" t="str">
            <v>LUHAČOVICE</v>
          </cell>
          <cell r="J196" t="str">
            <v>Senegalská republika</v>
          </cell>
          <cell r="Q196" t="str">
            <v>Povrchová úprava a zušlechťování kovů; obrábění</v>
          </cell>
          <cell r="T196" t="str">
            <v>Povrchová úprava a zušlechťování kovů; obrábění</v>
          </cell>
          <cell r="W196" t="str">
            <v>Povrchová úprava a zušlechťování kovů; obrábění</v>
          </cell>
          <cell r="Z196" t="str">
            <v>Povrchová úprava a zušlechťování kovů; obrábění</v>
          </cell>
        </row>
        <row r="197">
          <cell r="H197" t="str">
            <v>OTROKOVICE</v>
          </cell>
          <cell r="J197" t="str">
            <v>Společenství Severní Mariany</v>
          </cell>
          <cell r="Q197" t="str">
            <v>Výroba nožířských výrobků, nástrojů a železářských výrobků</v>
          </cell>
          <cell r="T197" t="str">
            <v>Výroba nožířských výrobků, nástrojů a železářských výrobků</v>
          </cell>
          <cell r="W197" t="str">
            <v>Výroba nožířských výrobků, nástrojů a železářských výrobků</v>
          </cell>
          <cell r="Z197" t="str">
            <v>Výroba nožířských výrobků, nástrojů a železářských výrobků</v>
          </cell>
        </row>
        <row r="198">
          <cell r="H198" t="str">
            <v>ROŽNOV POD RADH.</v>
          </cell>
          <cell r="J198" t="str">
            <v>Seychelská republika</v>
          </cell>
          <cell r="Q198" t="str">
            <v>Výroba ostatních kovodělných výrobků</v>
          </cell>
          <cell r="T198" t="str">
            <v>Výroba ostatních kovodělných výrobků</v>
          </cell>
          <cell r="W198" t="str">
            <v>Výroba ostatních kovodělných výrobků</v>
          </cell>
          <cell r="Z198" t="str">
            <v>Výroba ostatních kovodělných výrobků</v>
          </cell>
        </row>
        <row r="199">
          <cell r="H199" t="str">
            <v>UHERSKÝ BROD</v>
          </cell>
          <cell r="J199" t="str">
            <v>Republika Sierra Leone</v>
          </cell>
          <cell r="Q199" t="str">
            <v>Výroba elektronických součástek a desek</v>
          </cell>
          <cell r="T199" t="str">
            <v>Výroba elektronických součástek a desek</v>
          </cell>
          <cell r="W199" t="str">
            <v>Výroba elektronických součástek a desek</v>
          </cell>
          <cell r="Z199" t="str">
            <v>Výroba elektronických součástek a desek</v>
          </cell>
        </row>
        <row r="200">
          <cell r="H200" t="str">
            <v>UHERSKÉ HRADIŠTĚ</v>
          </cell>
          <cell r="J200" t="str">
            <v>Singapurská republika</v>
          </cell>
          <cell r="Q200" t="str">
            <v>Výroba počítačů a periferních zařízení</v>
          </cell>
          <cell r="T200" t="str">
            <v>Výroba počítačů a periferních zařízení</v>
          </cell>
          <cell r="W200" t="str">
            <v>Výroba počítačů a periferních zařízení</v>
          </cell>
          <cell r="Z200" t="str">
            <v>Výroba počítačů a periferních zařízení</v>
          </cell>
        </row>
        <row r="201">
          <cell r="H201" t="str">
            <v>VALAŠSKÉ MEZIŘÍČÍ</v>
          </cell>
          <cell r="J201" t="str">
            <v>Slovenská republika</v>
          </cell>
          <cell r="Q201" t="str">
            <v>Výroba komunikačních zařízení</v>
          </cell>
          <cell r="T201" t="str">
            <v>Výroba komunikačních zařízení</v>
          </cell>
          <cell r="W201" t="str">
            <v>Výroba komunikačních zařízení</v>
          </cell>
          <cell r="Z201" t="str">
            <v>Výroba komunikačních zařízení</v>
          </cell>
        </row>
        <row r="202">
          <cell r="H202" t="str">
            <v>VALAŠSKÉ KLOBOUKY</v>
          </cell>
          <cell r="J202" t="str">
            <v>Slovinská republika</v>
          </cell>
          <cell r="Q202" t="str">
            <v>Výroba spotřební elektroniky</v>
          </cell>
          <cell r="T202" t="str">
            <v>Výroba spotřební elektroniky</v>
          </cell>
          <cell r="W202" t="str">
            <v>Výroba spotřební elektroniky</v>
          </cell>
          <cell r="Z202" t="str">
            <v>Výroba spotřební elektroniky</v>
          </cell>
        </row>
        <row r="203">
          <cell r="H203" t="str">
            <v>VSETÍN</v>
          </cell>
          <cell r="J203" t="str">
            <v>Somálská federativní republika</v>
          </cell>
          <cell r="Q203" t="str">
            <v>Výroba měřicích,zkušebních a navigačních přístrojů;výroba časoměr.přístrojů</v>
          </cell>
          <cell r="T203" t="str">
            <v>Výroba měřicích,zkušebních a navigačních přístrojů;výroba časoměr.přístrojů</v>
          </cell>
          <cell r="W203" t="str">
            <v>Výroba měřicích,zkušebních a navigačních přístrojů;výroba časoměr.přístrojů</v>
          </cell>
          <cell r="Z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cell r="T204" t="str">
            <v>Výroba ozařovacích, elektroléčebných a elektroterapeutických přístrojů</v>
          </cell>
          <cell r="W204" t="str">
            <v>Výroba ozařovacích, elektroléčebných a elektroterapeutických přístrojů</v>
          </cell>
          <cell r="Z204" t="str">
            <v>Výroba ozařovacích, elektroléčebných a elektroterapeutických přístrojů</v>
          </cell>
        </row>
        <row r="205">
          <cell r="J205" t="str">
            <v>Spojené státy americké</v>
          </cell>
          <cell r="Q205" t="str">
            <v>Výroba optických a fotografických přístrojů a zařízení</v>
          </cell>
          <cell r="T205" t="str">
            <v>Výroba optických a fotografických přístrojů a zařízení</v>
          </cell>
          <cell r="W205" t="str">
            <v>Výroba optických a fotografických přístrojů a zařízení</v>
          </cell>
          <cell r="Z205" t="str">
            <v>Výroba optických a fotografických přístrojů a zařízení</v>
          </cell>
        </row>
        <row r="206">
          <cell r="J206" t="str">
            <v>Srbská republika</v>
          </cell>
          <cell r="Q206" t="str">
            <v>Výroba magnetických a optických médií</v>
          </cell>
          <cell r="T206" t="str">
            <v>Výroba magnetických a optických médií</v>
          </cell>
          <cell r="W206" t="str">
            <v>Výroba magnetických a optických médií</v>
          </cell>
          <cell r="Z206" t="str">
            <v>Výroba magnetických a optických médií</v>
          </cell>
        </row>
        <row r="207">
          <cell r="J207" t="str">
            <v>Středoafrická republika</v>
          </cell>
          <cell r="Q207" t="str">
            <v>Výroba elektr.motorů,generátorů,transformátorů a elektr.rozvod.a kontrol.z.</v>
          </cell>
          <cell r="T207" t="str">
            <v>Výroba elektr.motorů,generátorů,transformátorů a elektr.rozvod.a kontrol.z.</v>
          </cell>
          <cell r="W207" t="str">
            <v>Výroba elektr.motorů,generátorů,transformátorů a elektr.rozvod.a kontrol.z.</v>
          </cell>
          <cell r="Z207" t="str">
            <v>Výroba elektr.motorů,generátorů,transformátorů a elektr.rozvod.a kontrol.z.</v>
          </cell>
        </row>
        <row r="208">
          <cell r="J208" t="str">
            <v>Súdánská republika</v>
          </cell>
          <cell r="Q208" t="str">
            <v>Výroba baterií a akumulátorů</v>
          </cell>
          <cell r="T208" t="str">
            <v>Výroba baterií a akumulátorů</v>
          </cell>
          <cell r="W208" t="str">
            <v>Výroba baterií a akumulátorů</v>
          </cell>
          <cell r="Z208" t="str">
            <v>Výroba baterií a akumulátorů</v>
          </cell>
        </row>
        <row r="209">
          <cell r="J209" t="str">
            <v>Surinamská republika</v>
          </cell>
          <cell r="Q209" t="str">
            <v>Výroba optických a elektr.kabelů,elektr.vodičů a elektroinstal.zařízení</v>
          </cell>
          <cell r="T209" t="str">
            <v>Výroba optických a elektr.kabelů,elektr.vodičů a elektroinstal.zařízení</v>
          </cell>
          <cell r="W209" t="str">
            <v>Výroba optických a elektr.kabelů,elektr.vodičů a elektroinstal.zařízení</v>
          </cell>
          <cell r="Z209" t="str">
            <v>Výroba optických a elektr.kabelů,elektr.vodičů a elektroinstal.zařízení</v>
          </cell>
        </row>
        <row r="210">
          <cell r="J210" t="str">
            <v>Svatá Helena, Ascension a Tristan da Cunha</v>
          </cell>
          <cell r="Q210" t="str">
            <v>Výroba elektrických osvětlovacích zařízení</v>
          </cell>
          <cell r="T210" t="str">
            <v>Výroba elektrických osvětlovacích zařízení</v>
          </cell>
          <cell r="W210" t="str">
            <v>Výroba elektrických osvětlovacích zařízení</v>
          </cell>
          <cell r="Z210" t="str">
            <v>Výroba elektrických osvětlovacích zařízení</v>
          </cell>
        </row>
        <row r="211">
          <cell r="J211" t="str">
            <v>Svatá Lucie</v>
          </cell>
          <cell r="Q211" t="str">
            <v>Výroba spotřebičů převážně pro domácnost</v>
          </cell>
          <cell r="T211" t="str">
            <v>Výroba spotřebičů převážně pro domácnost</v>
          </cell>
          <cell r="W211" t="str">
            <v>Výroba spotřebičů převážně pro domácnost</v>
          </cell>
          <cell r="Z211" t="str">
            <v>Výroba spotřebičů převážně pro domácnost</v>
          </cell>
        </row>
        <row r="212">
          <cell r="J212" t="str">
            <v>Společenství Svatý Bartoloměj</v>
          </cell>
          <cell r="Q212" t="str">
            <v>Výroba ostatních elektrických zařízení</v>
          </cell>
          <cell r="T212" t="str">
            <v>Výroba ostatních elektrických zařízení</v>
          </cell>
          <cell r="W212" t="str">
            <v>Výroba ostatních elektrických zařízení</v>
          </cell>
          <cell r="Z212" t="str">
            <v>Výroba ostatních elektrických zařízení</v>
          </cell>
        </row>
        <row r="213">
          <cell r="J213" t="str">
            <v>Federace Svatý Kryštof a Nevis</v>
          </cell>
          <cell r="Q213" t="str">
            <v>Výroba strojů a zařízení pro všeobecné účely</v>
          </cell>
          <cell r="T213" t="str">
            <v>Výroba strojů a zařízení pro všeobecné účely</v>
          </cell>
          <cell r="W213" t="str">
            <v>Výroba strojů a zařízení pro všeobecné účely</v>
          </cell>
          <cell r="Z213" t="str">
            <v>Výroba strojů a zařízení pro všeobecné účely</v>
          </cell>
        </row>
        <row r="214">
          <cell r="J214" t="str">
            <v>Společenství Svatý Martin</v>
          </cell>
          <cell r="Q214" t="str">
            <v>Výroba ostatních strojů a zařízení pro všeobecné účely</v>
          </cell>
          <cell r="T214" t="str">
            <v>Výroba ostatních strojů a zařízení pro všeobecné účely</v>
          </cell>
          <cell r="W214" t="str">
            <v>Výroba ostatních strojů a zařízení pro všeobecné účely</v>
          </cell>
          <cell r="Z214" t="str">
            <v>Výroba ostatních strojů a zařízení pro všeobecné účely</v>
          </cell>
        </row>
        <row r="215">
          <cell r="J215" t="str">
            <v>Svatý Martin (NL)</v>
          </cell>
          <cell r="Q215" t="str">
            <v>Výroba zemědělských a lesnických strojů</v>
          </cell>
          <cell r="T215" t="str">
            <v>Výroba zemědělských a lesnických strojů</v>
          </cell>
          <cell r="W215" t="str">
            <v>Výroba zemědělských a lesnických strojů</v>
          </cell>
          <cell r="Z215" t="str">
            <v>Výroba zemědělských a lesnických strojů</v>
          </cell>
        </row>
        <row r="216">
          <cell r="J216" t="str">
            <v>Demokratická republika Svatý Tomáš a Princův ostrov</v>
          </cell>
          <cell r="Q216" t="str">
            <v>Výroba kovoobráběcích a ostatních obráběcích strojů</v>
          </cell>
          <cell r="T216" t="str">
            <v>Výroba kovoobráběcích a ostatních obráběcích strojů</v>
          </cell>
          <cell r="W216" t="str">
            <v>Výroba kovoobráběcích a ostatních obráběcích strojů</v>
          </cell>
          <cell r="Z216" t="str">
            <v>Výroba kovoobráběcích a ostatních obráběcích strojů</v>
          </cell>
        </row>
        <row r="217">
          <cell r="J217" t="str">
            <v>Svatý Vincenc a Grenadiny</v>
          </cell>
          <cell r="Q217" t="str">
            <v>Výroba ostatních strojů pro speciální účely</v>
          </cell>
          <cell r="T217" t="str">
            <v>Výroba ostatních strojů pro speciální účely</v>
          </cell>
          <cell r="W217" t="str">
            <v>Výroba ostatních strojů pro speciální účely</v>
          </cell>
          <cell r="Z217" t="str">
            <v>Výroba ostatních strojů pro speciální účely</v>
          </cell>
        </row>
        <row r="218">
          <cell r="J218" t="str">
            <v>Svazijské království</v>
          </cell>
          <cell r="Q218" t="str">
            <v>Výroba motorových vozidel a jejich motorů</v>
          </cell>
          <cell r="T218" t="str">
            <v>Výroba motorových vozidel a jejich motorů</v>
          </cell>
          <cell r="W218" t="str">
            <v>Výroba motorových vozidel a jejich motorů</v>
          </cell>
          <cell r="Z218" t="str">
            <v>Výroba motorových vozidel a jejich motorů</v>
          </cell>
        </row>
        <row r="219">
          <cell r="J219" t="str">
            <v>Syrská arabská republika</v>
          </cell>
          <cell r="Q219" t="str">
            <v>Výroba karoserií motorových vozidel; výroba přívěsů a návěsů</v>
          </cell>
          <cell r="T219" t="str">
            <v>Výroba karoserií motorových vozidel; výroba přívěsů a návěsů</v>
          </cell>
          <cell r="W219" t="str">
            <v>Výroba karoserií motorových vozidel; výroba přívěsů a návěsů</v>
          </cell>
          <cell r="Z219" t="str">
            <v>Výroba karoserií motorových vozidel; výroba přívěsů a návěsů</v>
          </cell>
        </row>
        <row r="220">
          <cell r="J220" t="str">
            <v>Šalomounovy ostrovy</v>
          </cell>
          <cell r="Q220" t="str">
            <v>Výroba dílů a příslušenství pro motorová vozidla a jejich motory</v>
          </cell>
          <cell r="T220" t="str">
            <v>Výroba dílů a příslušenství pro motorová vozidla a jejich motory</v>
          </cell>
          <cell r="W220" t="str">
            <v>Výroba dílů a příslušenství pro motorová vozidla a jejich motory</v>
          </cell>
          <cell r="Z220" t="str">
            <v>Výroba dílů a příslušenství pro motorová vozidla a jejich motory</v>
          </cell>
        </row>
        <row r="221">
          <cell r="J221" t="str">
            <v>Španělské království</v>
          </cell>
          <cell r="Q221" t="str">
            <v>Stavba lodí a člunů</v>
          </cell>
          <cell r="T221" t="str">
            <v>Stavba lodí a člunů</v>
          </cell>
          <cell r="W221" t="str">
            <v>Stavba lodí a člunů</v>
          </cell>
          <cell r="Z221" t="str">
            <v>Stavba lodí a člunů</v>
          </cell>
        </row>
        <row r="222">
          <cell r="J222" t="str">
            <v>Špicberky a Jan Mayen</v>
          </cell>
          <cell r="Q222" t="str">
            <v>Výroba železničních lokomotiv a vozového parku</v>
          </cell>
          <cell r="T222" t="str">
            <v>Výroba železničních lokomotiv a vozového parku</v>
          </cell>
          <cell r="W222" t="str">
            <v>Výroba železničních lokomotiv a vozového parku</v>
          </cell>
          <cell r="Z222" t="str">
            <v>Výroba železničních lokomotiv a vozového parku</v>
          </cell>
        </row>
        <row r="223">
          <cell r="J223" t="str">
            <v>Šrílanská demokratická socialistická republika</v>
          </cell>
          <cell r="Q223" t="str">
            <v>Výroba letadel a jejich motorů,kosmických lodí a souvisejících zařízení</v>
          </cell>
          <cell r="T223" t="str">
            <v>Výroba letadel a jejich motorů,kosmických lodí a souvisejících zařízení</v>
          </cell>
          <cell r="W223" t="str">
            <v>Výroba letadel a jejich motorů,kosmických lodí a souvisejících zařízení</v>
          </cell>
          <cell r="Z223" t="str">
            <v>Výroba letadel a jejich motorů,kosmických lodí a souvisejících zařízení</v>
          </cell>
        </row>
        <row r="224">
          <cell r="J224" t="str">
            <v>Švédské království</v>
          </cell>
          <cell r="Q224" t="str">
            <v>Výroba vojenských bojových vozidel</v>
          </cell>
          <cell r="T224" t="str">
            <v>Výroba vojenských bojových vozidel</v>
          </cell>
          <cell r="W224" t="str">
            <v>Výroba vojenských bojových vozidel</v>
          </cell>
          <cell r="Z224" t="str">
            <v>Výroba vojenských bojových vozidel</v>
          </cell>
        </row>
        <row r="225">
          <cell r="J225" t="str">
            <v>Švýcarská konfederace</v>
          </cell>
          <cell r="Q225" t="str">
            <v>Výroba dopravních prostředků a zařízení j. n.</v>
          </cell>
          <cell r="T225" t="str">
            <v>Výroba dopravních prostředků a zařízení j. n.</v>
          </cell>
          <cell r="W225" t="str">
            <v>Výroba dopravních prostředků a zařízení j. n.</v>
          </cell>
          <cell r="Z225" t="str">
            <v>Výroba dopravních prostředků a zařízení j. n.</v>
          </cell>
        </row>
        <row r="226">
          <cell r="J226" t="str">
            <v>Republika Tádžikistán</v>
          </cell>
          <cell r="Q226" t="str">
            <v>Mořský rybolov</v>
          </cell>
          <cell r="T226" t="str">
            <v>Mořský rybolov</v>
          </cell>
          <cell r="W226" t="str">
            <v>Mořský rybolov</v>
          </cell>
          <cell r="Z226" t="str">
            <v>Mořský rybolov</v>
          </cell>
        </row>
        <row r="227">
          <cell r="J227" t="str">
            <v>Tanzanská sjednocená republika</v>
          </cell>
          <cell r="Q227" t="str">
            <v>Sladkovodní rybolov</v>
          </cell>
          <cell r="T227" t="str">
            <v>Sladkovodní rybolov</v>
          </cell>
          <cell r="W227" t="str">
            <v>Sladkovodní rybolov</v>
          </cell>
          <cell r="Z227" t="str">
            <v>Sladkovodní rybolov</v>
          </cell>
        </row>
        <row r="228">
          <cell r="J228" t="str">
            <v>Thajské království</v>
          </cell>
          <cell r="Q228" t="str">
            <v>Výroba klenotů, bižuterie a příbuzných výrobků</v>
          </cell>
          <cell r="T228" t="str">
            <v>Výroba klenotů, bižuterie a příbuzných výrobků</v>
          </cell>
          <cell r="W228" t="str">
            <v>Výroba klenotů, bižuterie a příbuzných výrobků</v>
          </cell>
          <cell r="Z228" t="str">
            <v>Výroba klenotů, bižuterie a příbuzných výrobků</v>
          </cell>
        </row>
        <row r="229">
          <cell r="J229" t="str">
            <v>Čínská republika (Tchaj-wan)</v>
          </cell>
          <cell r="Q229" t="str">
            <v>Mořská akvakultura</v>
          </cell>
          <cell r="T229" t="str">
            <v>Mořská akvakultura</v>
          </cell>
          <cell r="W229" t="str">
            <v>Mořská akvakultura</v>
          </cell>
          <cell r="Z229" t="str">
            <v>Mořská akvakultura</v>
          </cell>
        </row>
        <row r="230">
          <cell r="J230" t="str">
            <v>Tožská republika</v>
          </cell>
          <cell r="Q230" t="str">
            <v>Výroba hudebních nástrojů</v>
          </cell>
          <cell r="T230" t="str">
            <v>Výroba hudebních nástrojů</v>
          </cell>
          <cell r="W230" t="str">
            <v>Výroba hudebních nástrojů</v>
          </cell>
          <cell r="Z230" t="str">
            <v>Výroba hudebních nástrojů</v>
          </cell>
        </row>
        <row r="231">
          <cell r="J231" t="str">
            <v>Tokelau</v>
          </cell>
          <cell r="Q231" t="str">
            <v>Sladkovodní akvakultura</v>
          </cell>
          <cell r="T231" t="str">
            <v>Sladkovodní akvakultura</v>
          </cell>
          <cell r="W231" t="str">
            <v>Sladkovodní akvakultura</v>
          </cell>
          <cell r="Z231" t="str">
            <v>Sladkovodní akvakultura</v>
          </cell>
        </row>
        <row r="232">
          <cell r="J232" t="str">
            <v>Království Tonga</v>
          </cell>
          <cell r="Q232" t="str">
            <v>Výroba sportovních potřeb</v>
          </cell>
          <cell r="T232" t="str">
            <v>Výroba sportovních potřeb</v>
          </cell>
          <cell r="W232" t="str">
            <v>Výroba sportovních potřeb</v>
          </cell>
          <cell r="Z232" t="str">
            <v>Výroba sportovních potřeb</v>
          </cell>
        </row>
        <row r="233">
          <cell r="J233" t="str">
            <v>Republika Trinidad a Tobago</v>
          </cell>
          <cell r="Q233" t="str">
            <v>Výroba her a hraček</v>
          </cell>
          <cell r="T233" t="str">
            <v>Výroba her a hraček</v>
          </cell>
          <cell r="W233" t="str">
            <v>Výroba her a hraček</v>
          </cell>
          <cell r="Z233" t="str">
            <v>Výroba her a hraček</v>
          </cell>
        </row>
        <row r="234">
          <cell r="J234" t="str">
            <v>Tuniská republika</v>
          </cell>
          <cell r="Q234" t="str">
            <v>Výroba lékařských a dentálních nástrojů a potřeb</v>
          </cell>
          <cell r="T234" t="str">
            <v>Výroba lékařských a dentálních nástrojů a potřeb</v>
          </cell>
          <cell r="W234" t="str">
            <v>Výroba lékařských a dentálních nástrojů a potřeb</v>
          </cell>
          <cell r="Z234" t="str">
            <v>Výroba lékařských a dentálních nástrojů a potřeb</v>
          </cell>
        </row>
        <row r="235">
          <cell r="J235" t="str">
            <v>Turecká republika</v>
          </cell>
          <cell r="Q235" t="str">
            <v>Zpracovatelský průmysl j. n.</v>
          </cell>
          <cell r="T235" t="str">
            <v>Zpracovatelský průmysl j. n.</v>
          </cell>
          <cell r="W235" t="str">
            <v>Zpracovatelský průmysl j. n.</v>
          </cell>
          <cell r="Z235" t="str">
            <v>Zpracovatelský průmysl j. n.</v>
          </cell>
        </row>
        <row r="236">
          <cell r="J236" t="str">
            <v>Turkmenistán</v>
          </cell>
          <cell r="Q236" t="str">
            <v>Opravy kovodělných výrobků, strojů a zařízení</v>
          </cell>
          <cell r="T236" t="str">
            <v>Opravy kovodělných výrobků, strojů a zařízení</v>
          </cell>
          <cell r="W236" t="str">
            <v>Opravy kovodělných výrobků, strojů a zařízení</v>
          </cell>
          <cell r="Z236" t="str">
            <v>Opravy kovodělných výrobků, strojů a zařízení</v>
          </cell>
        </row>
        <row r="237">
          <cell r="J237" t="str">
            <v>Ostrovy Turks a Caicos</v>
          </cell>
          <cell r="Q237" t="str">
            <v>Instalace průmyslových strojů a zařízení</v>
          </cell>
          <cell r="T237" t="str">
            <v>Instalace průmyslových strojů a zařízení</v>
          </cell>
          <cell r="W237" t="str">
            <v>Instalace průmyslových strojů a zařízení</v>
          </cell>
          <cell r="Z237" t="str">
            <v>Instalace průmyslových strojů a zařízení</v>
          </cell>
        </row>
        <row r="238">
          <cell r="J238" t="str">
            <v>Tuvalu</v>
          </cell>
          <cell r="Q238" t="str">
            <v>Výroba, přenos a rozvod elektřiny</v>
          </cell>
          <cell r="T238" t="str">
            <v>Výroba, přenos a rozvod elektřiny</v>
          </cell>
          <cell r="W238" t="str">
            <v>Výroba, přenos a rozvod elektřiny</v>
          </cell>
          <cell r="Z238" t="str">
            <v>Výroba, přenos a rozvod elektřiny</v>
          </cell>
        </row>
        <row r="239">
          <cell r="J239" t="str">
            <v>Ugandská republika</v>
          </cell>
          <cell r="Q239" t="str">
            <v>Výroba plynu; rozvod plynných paliv prostřednictvím sítí</v>
          </cell>
          <cell r="T239" t="str">
            <v>Výroba plynu; rozvod plynných paliv prostřednictvím sítí</v>
          </cell>
          <cell r="W239" t="str">
            <v>Výroba plynu; rozvod plynných paliv prostřednictvím sítí</v>
          </cell>
          <cell r="Z239" t="str">
            <v>Výroba plynu; rozvod plynných paliv prostřednictvím sítí</v>
          </cell>
        </row>
        <row r="240">
          <cell r="J240" t="str">
            <v>Ukrajina</v>
          </cell>
          <cell r="Q240" t="str">
            <v>Výroba a rozvod tepla a klimatizovaného vzduchu, výroba ledu</v>
          </cell>
          <cell r="T240" t="str">
            <v>Výroba a rozvod tepla a klimatizovaného vzduchu, výroba ledu</v>
          </cell>
          <cell r="W240" t="str">
            <v>Výroba a rozvod tepla a klimatizovaného vzduchu, výroba ledu</v>
          </cell>
          <cell r="Z240" t="str">
            <v>Výroba a rozvod tepla a klimatizovaného vzduchu, výroba ledu</v>
          </cell>
        </row>
        <row r="241">
          <cell r="J241" t="str">
            <v>Uruguayská východní republika</v>
          </cell>
          <cell r="Q241" t="str">
            <v>Shromažďování a sběr odpadů</v>
          </cell>
          <cell r="T241" t="str">
            <v>Shromažďování a sběr odpadů</v>
          </cell>
          <cell r="W241" t="str">
            <v>Shromažďování a sběr odpadů</v>
          </cell>
          <cell r="Z241" t="str">
            <v>Shromažďování a sběr odpadů</v>
          </cell>
        </row>
        <row r="242">
          <cell r="J242" t="str">
            <v>Republika Uzbekistán</v>
          </cell>
          <cell r="Q242" t="str">
            <v>Odstraňování odpadů</v>
          </cell>
          <cell r="T242" t="str">
            <v>Odstraňování odpadů</v>
          </cell>
          <cell r="W242" t="str">
            <v>Odstraňování odpadů</v>
          </cell>
          <cell r="Z242" t="str">
            <v>Odstraňování odpadů</v>
          </cell>
        </row>
        <row r="243">
          <cell r="J243" t="str">
            <v>Území Vánoční ostrov</v>
          </cell>
          <cell r="Q243" t="str">
            <v>Úprava odpadů k dalšímu využití</v>
          </cell>
          <cell r="T243" t="str">
            <v>Úprava odpadů k dalšímu využití</v>
          </cell>
          <cell r="W243" t="str">
            <v>Úprava odpadů k dalšímu využití</v>
          </cell>
          <cell r="Z243" t="str">
            <v>Úprava odpadů k dalšímu využití</v>
          </cell>
        </row>
        <row r="244">
          <cell r="J244" t="str">
            <v>Republika Vanuatu</v>
          </cell>
          <cell r="Q244" t="str">
            <v>Developerská činnost</v>
          </cell>
          <cell r="T244" t="str">
            <v>Developerská činnost</v>
          </cell>
          <cell r="W244" t="str">
            <v>Developerská činnost</v>
          </cell>
          <cell r="Z244" t="str">
            <v>Developerská činnost</v>
          </cell>
        </row>
        <row r="245">
          <cell r="J245" t="str">
            <v>Vatikánský městský stát</v>
          </cell>
          <cell r="Q245" t="str">
            <v>Výstavba bytových a nebytových budov</v>
          </cell>
          <cell r="T245" t="str">
            <v>Výstavba bytových a nebytových budov</v>
          </cell>
          <cell r="W245" t="str">
            <v>Výstavba bytových a nebytových budov</v>
          </cell>
          <cell r="Z245" t="str">
            <v>Výstavba bytových a nebytových budov</v>
          </cell>
        </row>
        <row r="246">
          <cell r="J246" t="str">
            <v>Spojené království Velké Británie a Severního Irska</v>
          </cell>
          <cell r="Q246" t="str">
            <v>Výstavba silnic a železnic</v>
          </cell>
          <cell r="T246" t="str">
            <v>Výstavba silnic a železnic</v>
          </cell>
          <cell r="W246" t="str">
            <v>Výstavba silnic a železnic</v>
          </cell>
          <cell r="Z246" t="str">
            <v>Výstavba silnic a železnic</v>
          </cell>
        </row>
        <row r="247">
          <cell r="J247" t="str">
            <v>Bolívarovská republika Venezuela</v>
          </cell>
          <cell r="Q247" t="str">
            <v>Výstavba inženýrských sítí</v>
          </cell>
          <cell r="T247" t="str">
            <v>Výstavba inženýrských sítí</v>
          </cell>
          <cell r="W247" t="str">
            <v>Výstavba inženýrských sítí</v>
          </cell>
          <cell r="Z247" t="str">
            <v>Výstavba inženýrských sítí</v>
          </cell>
        </row>
        <row r="248">
          <cell r="J248" t="str">
            <v>Vietnamská socialistická republika</v>
          </cell>
          <cell r="Q248" t="str">
            <v>Výstavba ostatních staveb</v>
          </cell>
          <cell r="T248" t="str">
            <v>Výstavba ostatních staveb</v>
          </cell>
          <cell r="W248" t="str">
            <v>Výstavba ostatních staveb</v>
          </cell>
          <cell r="Z248" t="str">
            <v>Výstavba ostatních staveb</v>
          </cell>
        </row>
        <row r="249">
          <cell r="J249" t="str">
            <v>Demokratická republika Východní Timor</v>
          </cell>
          <cell r="Q249" t="str">
            <v>Demolice a příprava staveniště</v>
          </cell>
          <cell r="T249" t="str">
            <v>Demolice a příprava staveniště</v>
          </cell>
          <cell r="W249" t="str">
            <v>Demolice a příprava staveniště</v>
          </cell>
          <cell r="Z249" t="str">
            <v>Demolice a příprava staveniště</v>
          </cell>
        </row>
        <row r="250">
          <cell r="J250" t="str">
            <v>Teritorium Wallisovy ostrovy a Futuna</v>
          </cell>
          <cell r="Q250" t="str">
            <v>Elektroinstalační, instalatérské a ostatní stavebně instalační práce</v>
          </cell>
          <cell r="T250" t="str">
            <v>Elektroinstalační, instalatérské a ostatní stavebně instalační práce</v>
          </cell>
          <cell r="W250" t="str">
            <v>Elektroinstalační, instalatérské a ostatní stavebně instalační práce</v>
          </cell>
          <cell r="Z250" t="str">
            <v>Elektroinstalační, instalatérské a ostatní stavebně instalační práce</v>
          </cell>
        </row>
        <row r="251">
          <cell r="J251" t="str">
            <v>Zambijská republika</v>
          </cell>
          <cell r="Q251" t="str">
            <v>Kompletační a dokončovací práce</v>
          </cell>
          <cell r="T251" t="str">
            <v>Kompletační a dokončovací práce</v>
          </cell>
          <cell r="W251" t="str">
            <v>Kompletační a dokončovací práce</v>
          </cell>
          <cell r="Z251" t="str">
            <v>Kompletační a dokončovací práce</v>
          </cell>
        </row>
        <row r="252">
          <cell r="J252" t="str">
            <v>Saharská arabská demokratická republika</v>
          </cell>
          <cell r="Q252" t="str">
            <v>Ostatní specializované stavební činnosti</v>
          </cell>
          <cell r="T252" t="str">
            <v>Ostatní specializované stavební činnosti</v>
          </cell>
          <cell r="W252" t="str">
            <v>Ostatní specializované stavební činnosti</v>
          </cell>
          <cell r="Z252" t="str">
            <v>Ostatní specializované stavební činnosti</v>
          </cell>
        </row>
        <row r="253">
          <cell r="J253" t="str">
            <v>Zimbabwská republika</v>
          </cell>
          <cell r="Q253" t="str">
            <v>Obchod s motorovými vozidly, kromě motocyklů</v>
          </cell>
          <cell r="T253" t="str">
            <v>Obchod s motorovými vozidly, kromě motocyklů</v>
          </cell>
          <cell r="W253" t="str">
            <v>Obchod s motorovými vozidly, kromě motocyklů</v>
          </cell>
          <cell r="Z253" t="str">
            <v>Obchod s motorovými vozidly, kromě motocyklů</v>
          </cell>
        </row>
        <row r="254">
          <cell r="Q254" t="str">
            <v>Opravy a údržba motorových vozidel, kromě motocyklů</v>
          </cell>
          <cell r="T254" t="str">
            <v>Opravy a údržba motorových vozidel, kromě motocyklů</v>
          </cell>
          <cell r="W254" t="str">
            <v>Opravy a údržba motorových vozidel, kromě motocyklů</v>
          </cell>
          <cell r="Z254" t="str">
            <v>Opravy a údržba motorových vozidel, kromě motocyklů</v>
          </cell>
        </row>
        <row r="255">
          <cell r="Q255" t="str">
            <v>Obchod s díly a příslušenstvím pro motorová vozidla, kromě motocyklů</v>
          </cell>
          <cell r="T255" t="str">
            <v>Obchod s díly a příslušenstvím pro motorová vozidla, kromě motocyklů</v>
          </cell>
          <cell r="W255" t="str">
            <v>Obchod s díly a příslušenstvím pro motorová vozidla, kromě motocyklů</v>
          </cell>
          <cell r="Z255" t="str">
            <v>Obchod s díly a příslušenstvím pro motorová vozidla, kromě motocyklů</v>
          </cell>
        </row>
        <row r="256">
          <cell r="Q256" t="str">
            <v>Obchod, opravy a údržba motocyklů, jejich dílů a příslušenství</v>
          </cell>
          <cell r="T256" t="str">
            <v>Obchod, opravy a údržba motocyklů, jejich dílů a příslušenství</v>
          </cell>
          <cell r="W256" t="str">
            <v>Obchod, opravy a údržba motocyklů, jejich dílů a příslušenství</v>
          </cell>
          <cell r="Z256" t="str">
            <v>Obchod, opravy a údržba motocyklů, jejich dílů a příslušenství</v>
          </cell>
        </row>
        <row r="257">
          <cell r="Q257" t="str">
            <v>Zprostředkování velkoobchodu a velkoobchod v zastoupení</v>
          </cell>
          <cell r="T257" t="str">
            <v>Zprostředkování velkoobchodu a velkoobchod v zastoupení</v>
          </cell>
          <cell r="W257" t="str">
            <v>Zprostředkování velkoobchodu a velkoobchod v zastoupení</v>
          </cell>
          <cell r="Z257" t="str">
            <v>Zprostředkování velkoobchodu a velkoobchod v zastoupení</v>
          </cell>
        </row>
        <row r="258">
          <cell r="Q258" t="str">
            <v>Velkoobchod se základními zemědělskými produkty a živými zvířaty</v>
          </cell>
          <cell r="T258" t="str">
            <v>Velkoobchod se základními zemědělskými produkty a živými zvířaty</v>
          </cell>
          <cell r="W258" t="str">
            <v>Velkoobchod se základními zemědělskými produkty a živými zvířaty</v>
          </cell>
          <cell r="Z258" t="str">
            <v>Velkoobchod se základními zemědělskými produkty a živými zvířaty</v>
          </cell>
        </row>
        <row r="259">
          <cell r="Q259" t="str">
            <v>Velkoobchod s potravinami, nápoji a tabákovými výrobky</v>
          </cell>
          <cell r="T259" t="str">
            <v>Velkoobchod s potravinami, nápoji a tabákovými výrobky</v>
          </cell>
          <cell r="W259" t="str">
            <v>Velkoobchod s potravinami, nápoji a tabákovými výrobky</v>
          </cell>
          <cell r="Z259" t="str">
            <v>Velkoobchod s potravinami, nápoji a tabákovými výrobky</v>
          </cell>
        </row>
        <row r="260">
          <cell r="Q260" t="str">
            <v>Velkoobchod s výrobky převážně pro domácnost</v>
          </cell>
          <cell r="T260" t="str">
            <v>Velkoobchod s výrobky převážně pro domácnost</v>
          </cell>
          <cell r="W260" t="str">
            <v>Velkoobchod s výrobky převážně pro domácnost</v>
          </cell>
          <cell r="Z260" t="str">
            <v>Velkoobchod s výrobky převážně pro domácnost</v>
          </cell>
        </row>
        <row r="261">
          <cell r="Q261" t="str">
            <v>Velkoobchod s počítačovým a komunikačním zařízením</v>
          </cell>
          <cell r="T261" t="str">
            <v>Velkoobchod s počítačovým a komunikačním zařízením</v>
          </cell>
          <cell r="W261" t="str">
            <v>Velkoobchod s počítačovým a komunikačním zařízením</v>
          </cell>
          <cell r="Z261" t="str">
            <v>Velkoobchod s počítačovým a komunikačním zařízením</v>
          </cell>
        </row>
        <row r="262">
          <cell r="Q262" t="str">
            <v>Velkoobchod s ostatními stroji, strojním zařízením a příslušenstvím</v>
          </cell>
          <cell r="T262" t="str">
            <v>Velkoobchod s ostatními stroji, strojním zařízením a příslušenstvím</v>
          </cell>
          <cell r="W262" t="str">
            <v>Velkoobchod s ostatními stroji, strojním zařízením a příslušenstvím</v>
          </cell>
          <cell r="Z262" t="str">
            <v>Velkoobchod s ostatními stroji, strojním zařízením a příslušenstvím</v>
          </cell>
        </row>
        <row r="263">
          <cell r="Q263" t="str">
            <v>Ostatní specializovaný velkoobchod</v>
          </cell>
          <cell r="T263" t="str">
            <v>Ostatní specializovaný velkoobchod</v>
          </cell>
          <cell r="W263" t="str">
            <v>Ostatní specializovaný velkoobchod</v>
          </cell>
          <cell r="Z263" t="str">
            <v>Ostatní specializovaný velkoobchod</v>
          </cell>
        </row>
        <row r="264">
          <cell r="Q264" t="str">
            <v>Nespecializovaný velkoobchod</v>
          </cell>
          <cell r="T264" t="str">
            <v>Nespecializovaný velkoobchod</v>
          </cell>
          <cell r="W264" t="str">
            <v>Nespecializovaný velkoobchod</v>
          </cell>
          <cell r="Z264" t="str">
            <v>Nespecializovaný velkoobchod</v>
          </cell>
        </row>
        <row r="265">
          <cell r="Q265" t="str">
            <v>Maloobchod v nespecializovaných prodejnách</v>
          </cell>
          <cell r="T265" t="str">
            <v>Maloobchod v nespecializovaných prodejnách</v>
          </cell>
          <cell r="W265" t="str">
            <v>Maloobchod v nespecializovaných prodejnách</v>
          </cell>
          <cell r="Z265" t="str">
            <v>Maloobchod v nespecializovaných prodejnách</v>
          </cell>
        </row>
        <row r="266">
          <cell r="Q266" t="str">
            <v>Maloobchod s potravinami,nápoji a tabák.výrobky ve specializ.prodejnách</v>
          </cell>
          <cell r="T266" t="str">
            <v>Maloobchod s potravinami,nápoji a tabák.výrobky ve specializ.prodejnách</v>
          </cell>
          <cell r="W266" t="str">
            <v>Maloobchod s potravinami,nápoji a tabák.výrobky ve specializ.prodejnách</v>
          </cell>
          <cell r="Z266" t="str">
            <v>Maloobchod s potravinami,nápoji a tabák.výrobky ve specializ.prodejnách</v>
          </cell>
        </row>
        <row r="267">
          <cell r="Q267" t="str">
            <v>Maloobchod s pohonnými hmotami ve specializovaných prodejnách</v>
          </cell>
          <cell r="T267" t="str">
            <v>Maloobchod s pohonnými hmotami ve specializovaných prodejnách</v>
          </cell>
          <cell r="W267" t="str">
            <v>Maloobchod s pohonnými hmotami ve specializovaných prodejnách</v>
          </cell>
          <cell r="Z267" t="str">
            <v>Maloobchod s pohonnými hmotami ve specializovaných prodejnách</v>
          </cell>
        </row>
        <row r="268">
          <cell r="Q268" t="str">
            <v>Maloobchod s počítačovým a komunikačním zařízením ve specializ.prodejnách</v>
          </cell>
          <cell r="T268" t="str">
            <v>Maloobchod s počítačovým a komunikačním zařízením ve specializ.prodejnách</v>
          </cell>
          <cell r="W268" t="str">
            <v>Maloobchod s počítačovým a komunikačním zařízením ve specializ.prodejnách</v>
          </cell>
          <cell r="Z268" t="str">
            <v>Maloobchod s počítačovým a komunikačním zařízením ve specializ.prodejnách</v>
          </cell>
        </row>
        <row r="269">
          <cell r="Q269" t="str">
            <v>Maloobchod s ost.výrobky převážně pro domácnost ve specializ.prodejnách</v>
          </cell>
          <cell r="T269" t="str">
            <v>Maloobchod s ost.výrobky převážně pro domácnost ve specializ.prodejnách</v>
          </cell>
          <cell r="W269" t="str">
            <v>Maloobchod s ost.výrobky převážně pro domácnost ve specializ.prodejnách</v>
          </cell>
          <cell r="Z269" t="str">
            <v>Maloobchod s ost.výrobky převážně pro domácnost ve specializ.prodejnách</v>
          </cell>
        </row>
        <row r="270">
          <cell r="Q270" t="str">
            <v>Maloobchod s výrobky pro kulturní rozhled a rekreaci ve specializ.prod.</v>
          </cell>
          <cell r="T270" t="str">
            <v>Maloobchod s výrobky pro kulturní rozhled a rekreaci ve specializ.prod.</v>
          </cell>
          <cell r="W270" t="str">
            <v>Maloobchod s výrobky pro kulturní rozhled a rekreaci ve specializ.prod.</v>
          </cell>
          <cell r="Z270" t="str">
            <v>Maloobchod s výrobky pro kulturní rozhled a rekreaci ve specializ.prod.</v>
          </cell>
        </row>
        <row r="271">
          <cell r="Q271" t="str">
            <v>Maloobchod s ostatním zbožím ve specializovaných prodejnách</v>
          </cell>
          <cell r="T271" t="str">
            <v>Maloobchod s ostatním zbožím ve specializovaných prodejnách</v>
          </cell>
          <cell r="W271" t="str">
            <v>Maloobchod s ostatním zbožím ve specializovaných prodejnách</v>
          </cell>
          <cell r="Z271" t="str">
            <v>Maloobchod s ostatním zbožím ve specializovaných prodejnách</v>
          </cell>
        </row>
        <row r="272">
          <cell r="Q272" t="str">
            <v>Maloobchod ve stáncích a na trzích</v>
          </cell>
          <cell r="T272" t="str">
            <v>Maloobchod ve stáncích a na trzích</v>
          </cell>
          <cell r="W272" t="str">
            <v>Maloobchod ve stáncích a na trzích</v>
          </cell>
          <cell r="Z272" t="str">
            <v>Maloobchod ve stáncích a na trzích</v>
          </cell>
        </row>
        <row r="273">
          <cell r="Q273" t="str">
            <v>Maloobchod mimo prodejny, stánky a trhy</v>
          </cell>
          <cell r="T273" t="str">
            <v>Maloobchod mimo prodejny, stánky a trhy</v>
          </cell>
          <cell r="W273" t="str">
            <v>Maloobchod mimo prodejny, stánky a trhy</v>
          </cell>
          <cell r="Z273" t="str">
            <v>Maloobchod mimo prodejny, stánky a trhy</v>
          </cell>
        </row>
        <row r="274">
          <cell r="Q274" t="str">
            <v>železniční osobní doprava meziměstská</v>
          </cell>
          <cell r="T274" t="str">
            <v>železniční osobní doprava meziměstská</v>
          </cell>
          <cell r="W274" t="str">
            <v>železniční osobní doprava meziměstská</v>
          </cell>
          <cell r="Z274" t="str">
            <v>železniční osobní doprava meziměstská</v>
          </cell>
        </row>
        <row r="275">
          <cell r="Q275" t="str">
            <v>železniční nákladní doprava</v>
          </cell>
          <cell r="T275" t="str">
            <v>železniční nákladní doprava</v>
          </cell>
          <cell r="W275" t="str">
            <v>železniční nákladní doprava</v>
          </cell>
          <cell r="Z275" t="str">
            <v>železniční nákladní doprava</v>
          </cell>
        </row>
        <row r="276">
          <cell r="Q276" t="str">
            <v>Ostatní pozemní osobní doprava</v>
          </cell>
          <cell r="T276" t="str">
            <v>Ostatní pozemní osobní doprava</v>
          </cell>
          <cell r="W276" t="str">
            <v>Ostatní pozemní osobní doprava</v>
          </cell>
          <cell r="Z276" t="str">
            <v>Ostatní pozemní osobní doprava</v>
          </cell>
        </row>
        <row r="277">
          <cell r="Q277" t="str">
            <v>Silniční nákladní doprava a stěhovací služby</v>
          </cell>
          <cell r="T277" t="str">
            <v>Silniční nákladní doprava a stěhovací služby</v>
          </cell>
          <cell r="W277" t="str">
            <v>Silniční nákladní doprava a stěhovací služby</v>
          </cell>
          <cell r="Z277" t="str">
            <v>Silniční nákladní doprava a stěhovací služby</v>
          </cell>
        </row>
        <row r="278">
          <cell r="Q278" t="str">
            <v>Potrubní doprava</v>
          </cell>
          <cell r="T278" t="str">
            <v>Potrubní doprava</v>
          </cell>
          <cell r="W278" t="str">
            <v>Potrubní doprava</v>
          </cell>
          <cell r="Z278" t="str">
            <v>Potrubní doprava</v>
          </cell>
        </row>
        <row r="279">
          <cell r="Q279" t="str">
            <v>Námořní a pobřežní osobní doprava</v>
          </cell>
          <cell r="T279" t="str">
            <v>Námořní a pobřežní osobní doprava</v>
          </cell>
          <cell r="W279" t="str">
            <v>Námořní a pobřežní osobní doprava</v>
          </cell>
          <cell r="Z279" t="str">
            <v>Námořní a pobřežní osobní doprava</v>
          </cell>
        </row>
        <row r="280">
          <cell r="Q280" t="str">
            <v>Námořní a pobřežní nákladní doprava</v>
          </cell>
          <cell r="T280" t="str">
            <v>Námořní a pobřežní nákladní doprava</v>
          </cell>
          <cell r="W280" t="str">
            <v>Námořní a pobřežní nákladní doprava</v>
          </cell>
          <cell r="Z280" t="str">
            <v>Námořní a pobřežní nákladní doprava</v>
          </cell>
        </row>
        <row r="281">
          <cell r="Q281" t="str">
            <v>Vnitrozemská vodní osobní doprava</v>
          </cell>
          <cell r="T281" t="str">
            <v>Vnitrozemská vodní osobní doprava</v>
          </cell>
          <cell r="W281" t="str">
            <v>Vnitrozemská vodní osobní doprava</v>
          </cell>
          <cell r="Z281" t="str">
            <v>Vnitrozemská vodní osobní doprava</v>
          </cell>
        </row>
        <row r="282">
          <cell r="Q282" t="str">
            <v>Vnitrozemská vodní nákladní doprava</v>
          </cell>
          <cell r="T282" t="str">
            <v>Vnitrozemská vodní nákladní doprava</v>
          </cell>
          <cell r="W282" t="str">
            <v>Vnitrozemská vodní nákladní doprava</v>
          </cell>
          <cell r="Z282" t="str">
            <v>Vnitrozemská vodní nákladní doprava</v>
          </cell>
        </row>
        <row r="283">
          <cell r="Q283" t="str">
            <v>Letecká osobní doprava</v>
          </cell>
          <cell r="T283" t="str">
            <v>Letecká osobní doprava</v>
          </cell>
          <cell r="W283" t="str">
            <v>Letecká osobní doprava</v>
          </cell>
          <cell r="Z283" t="str">
            <v>Letecká osobní doprava</v>
          </cell>
        </row>
        <row r="284">
          <cell r="Q284" t="str">
            <v>Letecká nákladní doprava a kosmická doprava</v>
          </cell>
          <cell r="T284" t="str">
            <v>Letecká nákladní doprava a kosmická doprava</v>
          </cell>
          <cell r="W284" t="str">
            <v>Letecká nákladní doprava a kosmická doprava</v>
          </cell>
          <cell r="Z284" t="str">
            <v>Letecká nákladní doprava a kosmická doprava</v>
          </cell>
        </row>
        <row r="285">
          <cell r="Q285" t="str">
            <v>Skladování</v>
          </cell>
          <cell r="T285" t="str">
            <v>Skladování</v>
          </cell>
          <cell r="W285" t="str">
            <v>Skladování</v>
          </cell>
          <cell r="Z285" t="str">
            <v>Skladování</v>
          </cell>
        </row>
        <row r="286">
          <cell r="Q286" t="str">
            <v>Vedlejší činnosti v dopravě</v>
          </cell>
          <cell r="T286" t="str">
            <v>Vedlejší činnosti v dopravě</v>
          </cell>
          <cell r="W286" t="str">
            <v>Vedlejší činnosti v dopravě</v>
          </cell>
          <cell r="Z286" t="str">
            <v>Vedlejší činnosti v dopravě</v>
          </cell>
        </row>
        <row r="287">
          <cell r="Q287" t="str">
            <v>Základní poštovní služby poskytované na základě poštovní licence</v>
          </cell>
          <cell r="T287" t="str">
            <v>Základní poštovní služby poskytované na základě poštovní licence</v>
          </cell>
          <cell r="W287" t="str">
            <v>Základní poštovní služby poskytované na základě poštovní licence</v>
          </cell>
          <cell r="Z287" t="str">
            <v>Základní poštovní služby poskytované na základě poštovní licence</v>
          </cell>
        </row>
        <row r="288">
          <cell r="Q288" t="str">
            <v>Ostatní poštovní a kurýrní činnosti</v>
          </cell>
          <cell r="T288" t="str">
            <v>Ostatní poštovní a kurýrní činnosti</v>
          </cell>
          <cell r="W288" t="str">
            <v>Ostatní poštovní a kurýrní činnosti</v>
          </cell>
          <cell r="Z288" t="str">
            <v>Ostatní poštovní a kurýrní činnosti</v>
          </cell>
        </row>
        <row r="289">
          <cell r="Q289" t="str">
            <v>Ubytování v hotelích a podobných ubytovacích zařízeních</v>
          </cell>
          <cell r="T289" t="str">
            <v>Ubytování v hotelích a podobných ubytovacích zařízeních</v>
          </cell>
          <cell r="W289" t="str">
            <v>Ubytování v hotelích a podobných ubytovacích zařízeních</v>
          </cell>
          <cell r="Z289" t="str">
            <v>Ubytování v hotelích a podobných ubytovacích zařízeních</v>
          </cell>
        </row>
        <row r="290">
          <cell r="Q290" t="str">
            <v>Rekreační a ostatní krátkodobé ubytování</v>
          </cell>
          <cell r="T290" t="str">
            <v>Rekreační a ostatní krátkodobé ubytování</v>
          </cell>
          <cell r="W290" t="str">
            <v>Rekreační a ostatní krátkodobé ubytování</v>
          </cell>
          <cell r="Z290" t="str">
            <v>Rekreační a ostatní krátkodobé ubytování</v>
          </cell>
        </row>
        <row r="291">
          <cell r="Q291" t="str">
            <v>Kempy a tábořiště</v>
          </cell>
          <cell r="T291" t="str">
            <v>Kempy a tábořiště</v>
          </cell>
          <cell r="W291" t="str">
            <v>Kempy a tábořiště</v>
          </cell>
          <cell r="Z291" t="str">
            <v>Kempy a tábořiště</v>
          </cell>
        </row>
        <row r="292">
          <cell r="Q292" t="str">
            <v>Ostatní ubytování</v>
          </cell>
          <cell r="T292" t="str">
            <v>Ostatní ubytování</v>
          </cell>
          <cell r="W292" t="str">
            <v>Ostatní ubytování</v>
          </cell>
          <cell r="Z292" t="str">
            <v>Ostatní ubytování</v>
          </cell>
        </row>
        <row r="293">
          <cell r="Q293" t="str">
            <v>Stravování v restauracích, u stánků a v mobilních zařízeních</v>
          </cell>
          <cell r="T293" t="str">
            <v>Stravování v restauracích, u stánků a v mobilních zařízeních</v>
          </cell>
          <cell r="W293" t="str">
            <v>Stravování v restauracích, u stánků a v mobilních zařízeních</v>
          </cell>
          <cell r="Z293" t="str">
            <v>Stravování v restauracích, u stánků a v mobilních zařízeních</v>
          </cell>
        </row>
        <row r="294">
          <cell r="Q294" t="str">
            <v>Poskytování cateringových a ostatních stravovacích služeb</v>
          </cell>
          <cell r="T294" t="str">
            <v>Poskytování cateringových a ostatních stravovacích služeb</v>
          </cell>
          <cell r="W294" t="str">
            <v>Poskytování cateringových a ostatních stravovacích služeb</v>
          </cell>
          <cell r="Z294" t="str">
            <v>Poskytování cateringových a ostatních stravovacích služeb</v>
          </cell>
        </row>
        <row r="295">
          <cell r="Q295" t="str">
            <v>Pohostinství</v>
          </cell>
          <cell r="T295" t="str">
            <v>Pohostinství</v>
          </cell>
          <cell r="W295" t="str">
            <v>Pohostinství</v>
          </cell>
          <cell r="Z295" t="str">
            <v>Pohostinství</v>
          </cell>
        </row>
        <row r="296">
          <cell r="Q296" t="str">
            <v>Vydávání knih, periodických publikací a ostatní vydavatelské činnosti</v>
          </cell>
          <cell r="T296" t="str">
            <v>Vydávání knih, periodických publikací a ostatní vydavatelské činnosti</v>
          </cell>
          <cell r="W296" t="str">
            <v>Vydávání knih, periodických publikací a ostatní vydavatelské činnosti</v>
          </cell>
          <cell r="Z296" t="str">
            <v>Vydávání knih, periodických publikací a ostatní vydavatelské činnosti</v>
          </cell>
        </row>
        <row r="297">
          <cell r="Q297" t="str">
            <v>Vydávání softwaru</v>
          </cell>
          <cell r="T297" t="str">
            <v>Vydávání softwaru</v>
          </cell>
          <cell r="W297" t="str">
            <v>Vydávání softwaru</v>
          </cell>
          <cell r="Z297" t="str">
            <v>Vydávání softwaru</v>
          </cell>
        </row>
        <row r="298">
          <cell r="Q298" t="str">
            <v>Činnosti v oblasti filmů, videozáznamů a televizních programů</v>
          </cell>
          <cell r="T298" t="str">
            <v>Činnosti v oblasti filmů, videozáznamů a televizních programů</v>
          </cell>
          <cell r="W298" t="str">
            <v>Činnosti v oblasti filmů, videozáznamů a televizních programů</v>
          </cell>
          <cell r="Z298" t="str">
            <v>Činnosti v oblasti filmů, videozáznamů a televizních programů</v>
          </cell>
        </row>
        <row r="299">
          <cell r="Q299" t="str">
            <v>Pořizování zvukových nahrávek a hudební vydavatelské činnosti</v>
          </cell>
          <cell r="T299" t="str">
            <v>Pořizování zvukových nahrávek a hudební vydavatelské činnosti</v>
          </cell>
          <cell r="W299" t="str">
            <v>Pořizování zvukových nahrávek a hudební vydavatelské činnosti</v>
          </cell>
          <cell r="Z299" t="str">
            <v>Pořizování zvukových nahrávek a hudební vydavatelské činnosti</v>
          </cell>
        </row>
        <row r="300">
          <cell r="Q300" t="str">
            <v>Rozhlasové vysílání</v>
          </cell>
          <cell r="T300" t="str">
            <v>Rozhlasové vysílání</v>
          </cell>
          <cell r="W300" t="str">
            <v>Rozhlasové vysílání</v>
          </cell>
          <cell r="Z300" t="str">
            <v>Rozhlasové vysílání</v>
          </cell>
        </row>
        <row r="301">
          <cell r="Q301" t="str">
            <v>Tvorba televizních programů a televizní vysílání</v>
          </cell>
          <cell r="T301" t="str">
            <v>Tvorba televizních programů a televizní vysílání</v>
          </cell>
          <cell r="W301" t="str">
            <v>Tvorba televizních programů a televizní vysílání</v>
          </cell>
          <cell r="Z301" t="str">
            <v>Tvorba televizních programů a televizní vysílání</v>
          </cell>
        </row>
        <row r="302">
          <cell r="Q302" t="str">
            <v>Činnosti související s pevnou telekomunikační sítí</v>
          </cell>
          <cell r="T302" t="str">
            <v>Činnosti související s pevnou telekomunikační sítí</v>
          </cell>
          <cell r="W302" t="str">
            <v>Činnosti související s pevnou telekomunikační sítí</v>
          </cell>
          <cell r="Z302" t="str">
            <v>Činnosti související s pevnou telekomunikační sítí</v>
          </cell>
        </row>
        <row r="303">
          <cell r="Q303" t="str">
            <v>Činnosti související s bezdrátovou telekomunikační sítí</v>
          </cell>
          <cell r="T303" t="str">
            <v>Činnosti související s bezdrátovou telekomunikační sítí</v>
          </cell>
          <cell r="W303" t="str">
            <v>Činnosti související s bezdrátovou telekomunikační sítí</v>
          </cell>
          <cell r="Z303" t="str">
            <v>Činnosti související s bezdrátovou telekomunikační sítí</v>
          </cell>
        </row>
        <row r="304">
          <cell r="Q304" t="str">
            <v>Činnosti související se satelitní telekomunikační sítí</v>
          </cell>
          <cell r="T304" t="str">
            <v>Činnosti související se satelitní telekomunikační sítí</v>
          </cell>
          <cell r="W304" t="str">
            <v>Činnosti související se satelitní telekomunikační sítí</v>
          </cell>
          <cell r="Z304" t="str">
            <v>Činnosti související se satelitní telekomunikační sítí</v>
          </cell>
        </row>
        <row r="305">
          <cell r="Q305" t="str">
            <v>Ostatní telekomunikační činnosti</v>
          </cell>
          <cell r="T305" t="str">
            <v>Ostatní telekomunikační činnosti</v>
          </cell>
          <cell r="W305" t="str">
            <v>Ostatní telekomunikační činnosti</v>
          </cell>
          <cell r="Z305" t="str">
            <v>Ostatní telekomunikační činnosti</v>
          </cell>
        </row>
        <row r="306">
          <cell r="Q306" t="str">
            <v>Činnosti souvis.se zprac.dat a hostingem;činnosti souvis.s web.portály</v>
          </cell>
          <cell r="T306" t="str">
            <v>Činnosti souvis.se zprac.dat a hostingem;činnosti souvis.s web.portály</v>
          </cell>
          <cell r="W306" t="str">
            <v>Činnosti souvis.se zprac.dat a hostingem;činnosti souvis.s web.portály</v>
          </cell>
          <cell r="Z306" t="str">
            <v>Činnosti souvis.se zprac.dat a hostingem;činnosti souvis.s web.portály</v>
          </cell>
        </row>
        <row r="307">
          <cell r="Q307" t="str">
            <v>Ostatní informační činnosti</v>
          </cell>
          <cell r="T307" t="str">
            <v>Ostatní informační činnosti</v>
          </cell>
          <cell r="W307" t="str">
            <v>Ostatní informační činnosti</v>
          </cell>
          <cell r="Z307" t="str">
            <v>Ostatní informační činnosti</v>
          </cell>
        </row>
        <row r="308">
          <cell r="Q308" t="str">
            <v>Peněžní zprostředkování</v>
          </cell>
          <cell r="T308" t="str">
            <v>Peněžní zprostředkování</v>
          </cell>
          <cell r="W308" t="str">
            <v>Peněžní zprostředkování</v>
          </cell>
          <cell r="Z308" t="str">
            <v>Peněžní zprostředkování</v>
          </cell>
        </row>
        <row r="309">
          <cell r="Q309" t="str">
            <v>Činnosti holdingových společností</v>
          </cell>
          <cell r="T309" t="str">
            <v>Činnosti holdingových společností</v>
          </cell>
          <cell r="W309" t="str">
            <v>Činnosti holdingových společností</v>
          </cell>
          <cell r="Z309" t="str">
            <v>Činnosti holdingových společností</v>
          </cell>
        </row>
        <row r="310">
          <cell r="Q310" t="str">
            <v>Činnosti trustů, fondů a podobných finančních subjektů</v>
          </cell>
          <cell r="T310" t="str">
            <v>Činnosti trustů, fondů a podobných finančních subjektů</v>
          </cell>
          <cell r="W310" t="str">
            <v>Činnosti trustů, fondů a podobných finančních subjektů</v>
          </cell>
          <cell r="Z310" t="str">
            <v>Činnosti trustů, fondů a podobných finančních subjektů</v>
          </cell>
        </row>
        <row r="311">
          <cell r="Q311" t="str">
            <v>Ostatní finanční zprostředkování</v>
          </cell>
          <cell r="T311" t="str">
            <v>Ostatní finanční zprostředkování</v>
          </cell>
          <cell r="W311" t="str">
            <v>Ostatní finanční zprostředkování</v>
          </cell>
          <cell r="Z311" t="str">
            <v>Ostatní finanční zprostředkování</v>
          </cell>
        </row>
        <row r="312">
          <cell r="Q312" t="str">
            <v>Pojištění</v>
          </cell>
          <cell r="T312" t="str">
            <v>Pojištění</v>
          </cell>
          <cell r="W312" t="str">
            <v>Pojištění</v>
          </cell>
          <cell r="Z312" t="str">
            <v>Pojištění</v>
          </cell>
        </row>
        <row r="313">
          <cell r="Q313" t="str">
            <v>Zajištění</v>
          </cell>
          <cell r="T313" t="str">
            <v>Zajištění</v>
          </cell>
          <cell r="W313" t="str">
            <v>Zajištění</v>
          </cell>
          <cell r="Z313" t="str">
            <v>Zajištění</v>
          </cell>
        </row>
        <row r="314">
          <cell r="Q314" t="str">
            <v>Penzijní financování</v>
          </cell>
          <cell r="T314" t="str">
            <v>Penzijní financování</v>
          </cell>
          <cell r="W314" t="str">
            <v>Penzijní financování</v>
          </cell>
          <cell r="Z314" t="str">
            <v>Penzijní financování</v>
          </cell>
        </row>
        <row r="315">
          <cell r="Q315" t="str">
            <v>Pomocné činnosti související s fin.zprostřed.,kromě pojišť.a penzij.fin.</v>
          </cell>
          <cell r="T315" t="str">
            <v>Pomocné činnosti související s fin.zprostřed.,kromě pojišť.a penzij.fin.</v>
          </cell>
          <cell r="W315" t="str">
            <v>Pomocné činnosti související s fin.zprostřed.,kromě pojišť.a penzij.fin.</v>
          </cell>
          <cell r="Z315" t="str">
            <v>Pomocné činnosti související s fin.zprostřed.,kromě pojišť.a penzij.fin.</v>
          </cell>
        </row>
        <row r="316">
          <cell r="Q316" t="str">
            <v>Pomocné činnosti související s pojišťovnictvím a penzijním financováním</v>
          </cell>
          <cell r="T316" t="str">
            <v>Pomocné činnosti související s pojišťovnictvím a penzijním financováním</v>
          </cell>
          <cell r="W316" t="str">
            <v>Pomocné činnosti související s pojišťovnictvím a penzijním financováním</v>
          </cell>
          <cell r="Z316" t="str">
            <v>Pomocné činnosti související s pojišťovnictvím a penzijním financováním</v>
          </cell>
        </row>
        <row r="317">
          <cell r="Q317" t="str">
            <v>Správa fondů</v>
          </cell>
          <cell r="T317" t="str">
            <v>Správa fondů</v>
          </cell>
          <cell r="W317" t="str">
            <v>Správa fondů</v>
          </cell>
          <cell r="Z317" t="str">
            <v>Správa fondů</v>
          </cell>
        </row>
        <row r="318">
          <cell r="Q318" t="str">
            <v>Nákup a následný prodej vlastních nemovitostí</v>
          </cell>
          <cell r="T318" t="str">
            <v>Nákup a následný prodej vlastních nemovitostí</v>
          </cell>
          <cell r="W318" t="str">
            <v>Nákup a následný prodej vlastních nemovitostí</v>
          </cell>
          <cell r="Z318" t="str">
            <v>Nákup a následný prodej vlastních nemovitostí</v>
          </cell>
        </row>
        <row r="319">
          <cell r="Q319" t="str">
            <v>Pronájem a správa vlastních nebo pronajatých nemovitostí</v>
          </cell>
          <cell r="T319" t="str">
            <v>Pronájem a správa vlastních nebo pronajatých nemovitostí</v>
          </cell>
          <cell r="W319" t="str">
            <v>Pronájem a správa vlastních nebo pronajatých nemovitostí</v>
          </cell>
          <cell r="Z319" t="str">
            <v>Pronájem a správa vlastních nebo pronajatých nemovitostí</v>
          </cell>
        </row>
        <row r="320">
          <cell r="Q320" t="str">
            <v>Činnosti v oblasti nemovitostí na základě smlouvy nebo dohody</v>
          </cell>
          <cell r="T320" t="str">
            <v>Činnosti v oblasti nemovitostí na základě smlouvy nebo dohody</v>
          </cell>
          <cell r="W320" t="str">
            <v>Činnosti v oblasti nemovitostí na základě smlouvy nebo dohody</v>
          </cell>
          <cell r="Z320" t="str">
            <v>Činnosti v oblasti nemovitostí na základě smlouvy nebo dohody</v>
          </cell>
        </row>
        <row r="321">
          <cell r="Q321" t="str">
            <v>Právní činnosti</v>
          </cell>
          <cell r="T321" t="str">
            <v>Právní činnosti</v>
          </cell>
          <cell r="W321" t="str">
            <v>Právní činnosti</v>
          </cell>
          <cell r="Z321" t="str">
            <v>Právní činnosti</v>
          </cell>
        </row>
        <row r="322">
          <cell r="Q322" t="str">
            <v>Účetnické a auditorské činnosti; daňové poradenství</v>
          </cell>
          <cell r="T322" t="str">
            <v>Účetnické a auditorské činnosti; daňové poradenství</v>
          </cell>
          <cell r="W322" t="str">
            <v>Účetnické a auditorské činnosti; daňové poradenství</v>
          </cell>
          <cell r="Z322" t="str">
            <v>Účetnické a auditorské činnosti; daňové poradenství</v>
          </cell>
        </row>
        <row r="323">
          <cell r="Q323" t="str">
            <v>Činnosti vedení podniků</v>
          </cell>
          <cell r="T323" t="str">
            <v>Činnosti vedení podniků</v>
          </cell>
          <cell r="W323" t="str">
            <v>Činnosti vedení podniků</v>
          </cell>
          <cell r="Z323" t="str">
            <v>Činnosti vedení podniků</v>
          </cell>
        </row>
        <row r="324">
          <cell r="Q324" t="str">
            <v>Poradenství v oblasti řízení</v>
          </cell>
          <cell r="T324" t="str">
            <v>Poradenství v oblasti řízení</v>
          </cell>
          <cell r="W324" t="str">
            <v>Poradenství v oblasti řízení</v>
          </cell>
          <cell r="Z324" t="str">
            <v>Poradenství v oblasti řízení</v>
          </cell>
        </row>
        <row r="325">
          <cell r="Q325" t="str">
            <v>Architektonické a inženýrské činnosti a související technické poradenství</v>
          </cell>
          <cell r="T325" t="str">
            <v>Architektonické a inženýrské činnosti a související technické poradenství</v>
          </cell>
          <cell r="W325" t="str">
            <v>Architektonické a inženýrské činnosti a související technické poradenství</v>
          </cell>
          <cell r="Z325" t="str">
            <v>Architektonické a inženýrské činnosti a související technické poradenství</v>
          </cell>
        </row>
        <row r="326">
          <cell r="Q326" t="str">
            <v>Technické zkoušky a analýzy</v>
          </cell>
          <cell r="T326" t="str">
            <v>Technické zkoušky a analýzy</v>
          </cell>
          <cell r="W326" t="str">
            <v>Technické zkoušky a analýzy</v>
          </cell>
          <cell r="Z326" t="str">
            <v>Technické zkoušky a analýzy</v>
          </cell>
        </row>
        <row r="327">
          <cell r="Q327" t="str">
            <v>Výzkum a vývoj v oblasti přírodních a technických věd</v>
          </cell>
          <cell r="T327" t="str">
            <v>Výzkum a vývoj v oblasti přírodních a technických věd</v>
          </cell>
          <cell r="W327" t="str">
            <v>Výzkum a vývoj v oblasti přírodních a technických věd</v>
          </cell>
          <cell r="Z327" t="str">
            <v>Výzkum a vývoj v oblasti přírodních a technických věd</v>
          </cell>
        </row>
        <row r="328">
          <cell r="Q328" t="str">
            <v>Těžba a úprava uranových a thoriových rud</v>
          </cell>
          <cell r="T328" t="str">
            <v>Těžba a úprava uranových a thoriových rud</v>
          </cell>
          <cell r="W328" t="str">
            <v>Těžba a úprava uranových a thoriových rud</v>
          </cell>
          <cell r="Z328" t="str">
            <v>Těžba a úprava uranových a thoriových rud</v>
          </cell>
        </row>
        <row r="329">
          <cell r="Q329" t="str">
            <v>Výzkum a vývoj v oblasti společenských a humanitních věd</v>
          </cell>
          <cell r="T329" t="str">
            <v>Výzkum a vývoj v oblasti společenských a humanitních věd</v>
          </cell>
          <cell r="W329" t="str">
            <v>Výzkum a vývoj v oblasti společenských a humanitních věd</v>
          </cell>
          <cell r="Z329" t="str">
            <v>Výzkum a vývoj v oblasti společenských a humanitních věd</v>
          </cell>
        </row>
        <row r="330">
          <cell r="Q330" t="str">
            <v>Těžba a úprava ostatních neželezných rud</v>
          </cell>
          <cell r="T330" t="str">
            <v>Těžba a úprava ostatních neželezných rud</v>
          </cell>
          <cell r="W330" t="str">
            <v>Těžba a úprava ostatních neželezných rud</v>
          </cell>
          <cell r="Z330" t="str">
            <v>Těžba a úprava ostatních neželezných rud</v>
          </cell>
        </row>
        <row r="331">
          <cell r="Q331" t="str">
            <v>Reklamní činnosti</v>
          </cell>
          <cell r="T331" t="str">
            <v>Reklamní činnosti</v>
          </cell>
          <cell r="W331" t="str">
            <v>Reklamní činnosti</v>
          </cell>
          <cell r="Z331" t="str">
            <v>Reklamní činnosti</v>
          </cell>
        </row>
        <row r="332">
          <cell r="Q332" t="str">
            <v>Průzkum trhu a veřejného mínění</v>
          </cell>
          <cell r="T332" t="str">
            <v>Průzkum trhu a veřejného mínění</v>
          </cell>
          <cell r="W332" t="str">
            <v>Průzkum trhu a veřejného mínění</v>
          </cell>
          <cell r="Z332" t="str">
            <v>Průzkum trhu a veřejného mínění</v>
          </cell>
        </row>
        <row r="333">
          <cell r="Q333" t="str">
            <v>Specializované návrhářské činnosti</v>
          </cell>
          <cell r="T333" t="str">
            <v>Specializované návrhářské činnosti</v>
          </cell>
          <cell r="W333" t="str">
            <v>Specializované návrhářské činnosti</v>
          </cell>
          <cell r="Z333" t="str">
            <v>Specializované návrhářské činnosti</v>
          </cell>
        </row>
        <row r="334">
          <cell r="Q334" t="str">
            <v>Fotografické činnosti</v>
          </cell>
          <cell r="T334" t="str">
            <v>Fotografické činnosti</v>
          </cell>
          <cell r="W334" t="str">
            <v>Fotografické činnosti</v>
          </cell>
          <cell r="Z334" t="str">
            <v>Fotografické činnosti</v>
          </cell>
        </row>
        <row r="335">
          <cell r="Q335" t="str">
            <v>Překladatelské a tlumočnické činnosti</v>
          </cell>
          <cell r="T335" t="str">
            <v>Překladatelské a tlumočnické činnosti</v>
          </cell>
          <cell r="W335" t="str">
            <v>Překladatelské a tlumočnické činnosti</v>
          </cell>
          <cell r="Z335" t="str">
            <v>Překladatelské a tlumočnické činnosti</v>
          </cell>
        </row>
        <row r="336">
          <cell r="Q336" t="str">
            <v>Ostatní profesní, vědecké a technické činnosti j. n.</v>
          </cell>
          <cell r="T336" t="str">
            <v>Ostatní profesní, vědecké a technické činnosti j. n.</v>
          </cell>
          <cell r="W336" t="str">
            <v>Ostatní profesní, vědecké a technické činnosti j. n.</v>
          </cell>
          <cell r="Z336" t="str">
            <v>Ostatní profesní, vědecké a technické činnosti j. n.</v>
          </cell>
        </row>
        <row r="337">
          <cell r="Q337" t="str">
            <v>Pronájem a leasing motorových vozidel, kromě motocyklů</v>
          </cell>
          <cell r="T337" t="str">
            <v>Pronájem a leasing motorových vozidel, kromě motocyklů</v>
          </cell>
          <cell r="W337" t="str">
            <v>Pronájem a leasing motorových vozidel, kromě motocyklů</v>
          </cell>
          <cell r="Z337" t="str">
            <v>Pronájem a leasing motorových vozidel, kromě motocyklů</v>
          </cell>
        </row>
        <row r="338">
          <cell r="Q338" t="str">
            <v>Pronájem a leasing výrobků pro osobní potřebu a převážně pro domácnost</v>
          </cell>
          <cell r="T338" t="str">
            <v>Pronájem a leasing výrobků pro osobní potřebu a převážně pro domácnost</v>
          </cell>
          <cell r="W338" t="str">
            <v>Pronájem a leasing výrobků pro osobní potřebu a převážně pro domácnost</v>
          </cell>
          <cell r="Z338" t="str">
            <v>Pronájem a leasing výrobků pro osobní potřebu a převážně pro domácnost</v>
          </cell>
        </row>
        <row r="339">
          <cell r="Q339" t="str">
            <v>Pronájem a leasing ostatních strojů, zařízení a výrobků</v>
          </cell>
          <cell r="T339" t="str">
            <v>Pronájem a leasing ostatních strojů, zařízení a výrobků</v>
          </cell>
          <cell r="W339" t="str">
            <v>Pronájem a leasing ostatních strojů, zařízení a výrobků</v>
          </cell>
          <cell r="Z339" t="str">
            <v>Pronájem a leasing ostatních strojů, zařízení a výrobků</v>
          </cell>
        </row>
        <row r="340">
          <cell r="Q340" t="str">
            <v>Leasing duševního vlast.a podobných produktů,kromě děl chrán.autor.právem</v>
          </cell>
          <cell r="T340" t="str">
            <v>Leasing duševního vlast.a podobných produktů,kromě děl chrán.autor.právem</v>
          </cell>
          <cell r="W340" t="str">
            <v>Leasing duševního vlast.a podobných produktů,kromě děl chrán.autor.právem</v>
          </cell>
          <cell r="Z340" t="str">
            <v>Leasing duševního vlast.a podobných produktů,kromě děl chrán.autor.právem</v>
          </cell>
        </row>
        <row r="341">
          <cell r="Q341" t="str">
            <v>Činnosti agentur zprostředkujících zaměstnání</v>
          </cell>
          <cell r="T341" t="str">
            <v>Činnosti agentur zprostředkujících zaměstnání</v>
          </cell>
          <cell r="W341" t="str">
            <v>Činnosti agentur zprostředkujících zaměstnání</v>
          </cell>
          <cell r="Z341" t="str">
            <v>Činnosti agentur zprostředkujících zaměstnání</v>
          </cell>
        </row>
        <row r="342">
          <cell r="Q342" t="str">
            <v>Činnosti agentur zprostředkujících práci na přechodnou dobu</v>
          </cell>
          <cell r="T342" t="str">
            <v>Činnosti agentur zprostředkujících práci na přechodnou dobu</v>
          </cell>
          <cell r="W342" t="str">
            <v>Činnosti agentur zprostředkujících práci na přechodnou dobu</v>
          </cell>
          <cell r="Z342" t="str">
            <v>Činnosti agentur zprostředkujících práci na přechodnou dobu</v>
          </cell>
        </row>
        <row r="343">
          <cell r="Q343" t="str">
            <v>Ostatní poskytování lidských zdrojů</v>
          </cell>
          <cell r="T343" t="str">
            <v>Ostatní poskytování lidských zdrojů</v>
          </cell>
          <cell r="W343" t="str">
            <v>Ostatní poskytování lidských zdrojů</v>
          </cell>
          <cell r="Z343" t="str">
            <v>Ostatní poskytování lidských zdrojů</v>
          </cell>
        </row>
        <row r="344">
          <cell r="Q344" t="str">
            <v>Činnosti cestovních agentur a cestovních kanceláří</v>
          </cell>
          <cell r="T344" t="str">
            <v>Činnosti cestovních agentur a cestovních kanceláří</v>
          </cell>
          <cell r="W344" t="str">
            <v>Činnosti cestovních agentur a cestovních kanceláří</v>
          </cell>
          <cell r="Z344" t="str">
            <v>Činnosti cestovních agentur a cestovních kanceláří</v>
          </cell>
        </row>
        <row r="345">
          <cell r="Q345" t="str">
            <v>Ostatní rezervační a související činnosti</v>
          </cell>
          <cell r="T345" t="str">
            <v>Ostatní rezervační a související činnosti</v>
          </cell>
          <cell r="W345" t="str">
            <v>Ostatní rezervační a související činnosti</v>
          </cell>
          <cell r="Z345" t="str">
            <v>Ostatní rezervační a související činnosti</v>
          </cell>
        </row>
        <row r="346">
          <cell r="Q346" t="str">
            <v>Činnosti soukromých bezpečnostních agentur</v>
          </cell>
          <cell r="T346" t="str">
            <v>Činnosti soukromých bezpečnostních agentur</v>
          </cell>
          <cell r="W346" t="str">
            <v>Činnosti soukromých bezpečnostních agentur</v>
          </cell>
          <cell r="Z346" t="str">
            <v>Činnosti soukromých bezpečnostních agentur</v>
          </cell>
        </row>
        <row r="347">
          <cell r="Q347" t="str">
            <v>Činnosti související s provozem bezpečnostních systémů</v>
          </cell>
          <cell r="T347" t="str">
            <v>Činnosti související s provozem bezpečnostních systémů</v>
          </cell>
          <cell r="W347" t="str">
            <v>Činnosti související s provozem bezpečnostních systémů</v>
          </cell>
          <cell r="Z347" t="str">
            <v>Činnosti související s provozem bezpečnostních systémů</v>
          </cell>
        </row>
        <row r="348">
          <cell r="Q348" t="str">
            <v>Pátrací činnosti</v>
          </cell>
          <cell r="T348" t="str">
            <v>Pátrací činnosti</v>
          </cell>
          <cell r="W348" t="str">
            <v>Pátrací činnosti</v>
          </cell>
          <cell r="Z348" t="str">
            <v>Pátrací činnosti</v>
          </cell>
        </row>
        <row r="349">
          <cell r="Q349" t="str">
            <v>Kombinované pomocné činnosti</v>
          </cell>
          <cell r="T349" t="str">
            <v>Kombinované pomocné činnosti</v>
          </cell>
          <cell r="W349" t="str">
            <v>Kombinované pomocné činnosti</v>
          </cell>
          <cell r="Z349" t="str">
            <v>Kombinované pomocné činnosti</v>
          </cell>
        </row>
        <row r="350">
          <cell r="Q350" t="str">
            <v>Dobývání kamene pro výtv.nebo stav.účely,vápence,sádrovce,křídy,břidl.</v>
          </cell>
          <cell r="T350" t="str">
            <v>Dobývání kamene pro výtv.nebo stav.účely,vápence,sádrovce,křídy,břidl.</v>
          </cell>
          <cell r="W350" t="str">
            <v>Dobývání kamene pro výtv.nebo stav.účely,vápence,sádrovce,křídy,břidl.</v>
          </cell>
          <cell r="Z350" t="str">
            <v>Dobývání kamene pro výtv.nebo stav.účely,vápence,sádrovce,křídy,břidl.</v>
          </cell>
        </row>
        <row r="351">
          <cell r="Q351" t="str">
            <v>Úklidové činnosti</v>
          </cell>
          <cell r="T351" t="str">
            <v>Úklidové činnosti</v>
          </cell>
          <cell r="W351" t="str">
            <v>Úklidové činnosti</v>
          </cell>
          <cell r="Z351" t="str">
            <v>Úklidové činnosti</v>
          </cell>
        </row>
        <row r="352">
          <cell r="Q352" t="str">
            <v>Provoz pískoven a štěrkopískoven; těžba jílů a kaolinu</v>
          </cell>
          <cell r="T352" t="str">
            <v>Provoz pískoven a štěrkopískoven; těžba jílů a kaolinu</v>
          </cell>
          <cell r="W352" t="str">
            <v>Provoz pískoven a štěrkopískoven; těžba jílů a kaolinu</v>
          </cell>
          <cell r="Z352" t="str">
            <v>Provoz pískoven a štěrkopískoven; těžba jílů a kaolinu</v>
          </cell>
        </row>
        <row r="353">
          <cell r="Q353" t="str">
            <v>Činnosti související s úpravou krajiny</v>
          </cell>
          <cell r="T353" t="str">
            <v>Činnosti související s úpravou krajiny</v>
          </cell>
          <cell r="W353" t="str">
            <v>Činnosti související s úpravou krajiny</v>
          </cell>
          <cell r="Z353" t="str">
            <v>Činnosti související s úpravou krajiny</v>
          </cell>
        </row>
        <row r="354">
          <cell r="Q354" t="str">
            <v>Administrativní a kancelářské činnosti</v>
          </cell>
          <cell r="T354" t="str">
            <v>Administrativní a kancelářské činnosti</v>
          </cell>
          <cell r="W354" t="str">
            <v>Administrativní a kancelářské činnosti</v>
          </cell>
          <cell r="Z354" t="str">
            <v>Administrativní a kancelářské činnosti</v>
          </cell>
        </row>
        <row r="355">
          <cell r="Q355" t="str">
            <v>Činnosti zprostředkovatelských středisek po telefonu</v>
          </cell>
          <cell r="T355" t="str">
            <v>Činnosti zprostředkovatelských středisek po telefonu</v>
          </cell>
          <cell r="W355" t="str">
            <v>Činnosti zprostředkovatelských středisek po telefonu</v>
          </cell>
          <cell r="Z355" t="str">
            <v>Činnosti zprostředkovatelských středisek po telefonu</v>
          </cell>
        </row>
        <row r="356">
          <cell r="Q356" t="str">
            <v>Pořádání konferencí a hospodářských výstav</v>
          </cell>
          <cell r="T356" t="str">
            <v>Pořádání konferencí a hospodářských výstav</v>
          </cell>
          <cell r="W356" t="str">
            <v>Pořádání konferencí a hospodářských výstav</v>
          </cell>
          <cell r="Z356" t="str">
            <v>Pořádání konferencí a hospodářských výstav</v>
          </cell>
        </row>
        <row r="357">
          <cell r="Q357" t="str">
            <v>Podpůrné činnosti pro podnikání j. n.</v>
          </cell>
          <cell r="T357" t="str">
            <v>Podpůrné činnosti pro podnikání j. n.</v>
          </cell>
          <cell r="W357" t="str">
            <v>Podpůrné činnosti pro podnikání j. n.</v>
          </cell>
          <cell r="Z357" t="str">
            <v>Podpůrné činnosti pro podnikání j. n.</v>
          </cell>
        </row>
        <row r="358">
          <cell r="Q358" t="str">
            <v>Veřejná správa a hospodářská a sociální politika</v>
          </cell>
          <cell r="T358" t="str">
            <v>Veřejná správa a hospodářská a sociální politika</v>
          </cell>
          <cell r="W358" t="str">
            <v>Veřejná správa a hospodářská a sociální politika</v>
          </cell>
          <cell r="Z358" t="str">
            <v>Veřejná správa a hospodářská a sociální politika</v>
          </cell>
        </row>
        <row r="359">
          <cell r="Q359" t="str">
            <v>Činnosti pro společnost jako celek</v>
          </cell>
          <cell r="T359" t="str">
            <v>Činnosti pro společnost jako celek</v>
          </cell>
          <cell r="W359" t="str">
            <v>Činnosti pro společnost jako celek</v>
          </cell>
          <cell r="Z359" t="str">
            <v>Činnosti pro společnost jako celek</v>
          </cell>
        </row>
        <row r="360">
          <cell r="Q360" t="str">
            <v>Činnosti v oblasti povinného sociálního zabezpečení</v>
          </cell>
          <cell r="T360" t="str">
            <v>Činnosti v oblasti povinného sociálního zabezpečení</v>
          </cell>
          <cell r="W360" t="str">
            <v>Činnosti v oblasti povinného sociálního zabezpečení</v>
          </cell>
          <cell r="Z360" t="str">
            <v>Činnosti v oblasti povinného sociálního zabezpečení</v>
          </cell>
        </row>
        <row r="361">
          <cell r="Q361" t="str">
            <v>Předškolní vzdělávání</v>
          </cell>
          <cell r="T361" t="str">
            <v>Předškolní vzdělávání</v>
          </cell>
          <cell r="W361" t="str">
            <v>Předškolní vzdělávání</v>
          </cell>
          <cell r="Z361" t="str">
            <v>Předškolní vzdělávání</v>
          </cell>
        </row>
        <row r="362">
          <cell r="Q362" t="str">
            <v>Primární vzdělávání</v>
          </cell>
          <cell r="T362" t="str">
            <v>Primární vzdělávání</v>
          </cell>
          <cell r="W362" t="str">
            <v>Primární vzdělávání</v>
          </cell>
          <cell r="Z362" t="str">
            <v>Primární vzdělávání</v>
          </cell>
        </row>
        <row r="363">
          <cell r="Q363" t="str">
            <v>Sekundární vzdělávání</v>
          </cell>
          <cell r="T363" t="str">
            <v>Sekundární vzdělávání</v>
          </cell>
          <cell r="W363" t="str">
            <v>Sekundární vzdělávání</v>
          </cell>
          <cell r="Z363" t="str">
            <v>Sekundární vzdělávání</v>
          </cell>
        </row>
        <row r="364">
          <cell r="Q364" t="str">
            <v>Postsekundární vzdělávání</v>
          </cell>
          <cell r="T364" t="str">
            <v>Postsekundární vzdělávání</v>
          </cell>
          <cell r="W364" t="str">
            <v>Postsekundární vzdělávání</v>
          </cell>
          <cell r="Z364" t="str">
            <v>Postsekundární vzdělávání</v>
          </cell>
        </row>
        <row r="365">
          <cell r="Q365" t="str">
            <v>Ostatní vzdělávání</v>
          </cell>
          <cell r="T365" t="str">
            <v>Ostatní vzdělávání</v>
          </cell>
          <cell r="W365" t="str">
            <v>Ostatní vzdělávání</v>
          </cell>
          <cell r="Z365" t="str">
            <v>Ostatní vzdělávání</v>
          </cell>
        </row>
        <row r="366">
          <cell r="Q366" t="str">
            <v>Podpůrné činnosti ve vzdělávání</v>
          </cell>
          <cell r="T366" t="str">
            <v>Podpůrné činnosti ve vzdělávání</v>
          </cell>
          <cell r="W366" t="str">
            <v>Podpůrné činnosti ve vzdělávání</v>
          </cell>
          <cell r="Z366" t="str">
            <v>Podpůrné činnosti ve vzdělávání</v>
          </cell>
        </row>
        <row r="367">
          <cell r="Q367" t="str">
            <v>Ústavní zdravotní péče</v>
          </cell>
          <cell r="T367" t="str">
            <v>Ústavní zdravotní péče</v>
          </cell>
          <cell r="W367" t="str">
            <v>Ústavní zdravotní péče</v>
          </cell>
          <cell r="Z367" t="str">
            <v>Ústavní zdravotní péče</v>
          </cell>
        </row>
        <row r="368">
          <cell r="Q368" t="str">
            <v>Ambulantní a zubní zdravotní péče</v>
          </cell>
          <cell r="T368" t="str">
            <v>Ambulantní a zubní zdravotní péče</v>
          </cell>
          <cell r="W368" t="str">
            <v>Ambulantní a zubní zdravotní péče</v>
          </cell>
          <cell r="Z368" t="str">
            <v>Ambulantní a zubní zdravotní péče</v>
          </cell>
        </row>
        <row r="369">
          <cell r="Q369" t="str">
            <v>Ostatní činnosti související se zdravotní péčí</v>
          </cell>
          <cell r="T369" t="str">
            <v>Ostatní činnosti související se zdravotní péčí</v>
          </cell>
          <cell r="W369" t="str">
            <v>Ostatní činnosti související se zdravotní péčí</v>
          </cell>
          <cell r="Z369" t="str">
            <v>Ostatní činnosti související se zdravotní péčí</v>
          </cell>
        </row>
        <row r="370">
          <cell r="Q370" t="str">
            <v>Ústavní sociální péče</v>
          </cell>
          <cell r="T370" t="str">
            <v>Ústavní sociální péče</v>
          </cell>
          <cell r="W370" t="str">
            <v>Ústavní sociální péče</v>
          </cell>
          <cell r="Z370" t="str">
            <v>Ústavní sociální péče</v>
          </cell>
        </row>
        <row r="371">
          <cell r="Q371" t="str">
            <v>Sociální péče ve zdravotnických zařízeních ústavní péče</v>
          </cell>
          <cell r="T371" t="str">
            <v>Sociální péče ve zdravotnických zařízeních ústavní péče</v>
          </cell>
          <cell r="W371" t="str">
            <v>Sociální péče ve zdravotnických zařízeních ústavní péče</v>
          </cell>
          <cell r="Z371" t="str">
            <v>Sociální péče ve zdravotnických zařízeních ústavní péče</v>
          </cell>
        </row>
        <row r="372">
          <cell r="Q372" t="str">
            <v>Soc.péče v zaříz.pro osoby s chron.duš.onemoc.a osoby závislé na návyk.l.</v>
          </cell>
          <cell r="T372" t="str">
            <v>Soc.péče v zaříz.pro osoby s chron.duš.onemoc.a osoby závislé na návyk.l.</v>
          </cell>
          <cell r="W372" t="str">
            <v>Soc.péče v zaříz.pro osoby s chron.duš.onemoc.a osoby závislé na návyk.l.</v>
          </cell>
          <cell r="Z372" t="str">
            <v>Soc.péče v zaříz.pro osoby s chron.duš.onemoc.a osoby závislé na návyk.l.</v>
          </cell>
        </row>
        <row r="373">
          <cell r="Q373" t="str">
            <v>Sociální péče v domovech pro seniory a osoby se zdravotním postižením</v>
          </cell>
          <cell r="T373" t="str">
            <v>Sociální péče v domovech pro seniory a osoby se zdravotním postižením</v>
          </cell>
          <cell r="W373" t="str">
            <v>Sociální péče v domovech pro seniory a osoby se zdravotním postižením</v>
          </cell>
          <cell r="Z373" t="str">
            <v>Sociální péče v domovech pro seniory a osoby se zdravotním postižením</v>
          </cell>
        </row>
        <row r="374">
          <cell r="Q374" t="str">
            <v>Ostatní pobytové služby sociální péče</v>
          </cell>
          <cell r="T374" t="str">
            <v>Ostatní pobytové služby sociální péče</v>
          </cell>
          <cell r="W374" t="str">
            <v>Ostatní pobytové služby sociální péče</v>
          </cell>
          <cell r="Z374" t="str">
            <v>Ostatní pobytové služby sociální péče</v>
          </cell>
        </row>
        <row r="375">
          <cell r="Q375" t="str">
            <v>Ambulantní nebo terénní soc.služby pro seniory a osoby se zdrav.postižením</v>
          </cell>
          <cell r="T375" t="str">
            <v>Ambulantní nebo terénní soc.služby pro seniory a osoby se zdrav.postižením</v>
          </cell>
          <cell r="W375" t="str">
            <v>Ambulantní nebo terénní soc.služby pro seniory a osoby se zdrav.postižením</v>
          </cell>
          <cell r="Z375" t="str">
            <v>Ambulantní nebo terénní soc.služby pro seniory a osoby se zdrav.postižením</v>
          </cell>
        </row>
        <row r="376">
          <cell r="Q376" t="str">
            <v>Ostatní ambulantní nebo terénní sociální služby</v>
          </cell>
          <cell r="T376" t="str">
            <v>Ostatní ambulantní nebo terénní sociální služby</v>
          </cell>
          <cell r="W376" t="str">
            <v>Ostatní ambulantní nebo terénní sociální služby</v>
          </cell>
          <cell r="Z376" t="str">
            <v>Ostatní ambulantní nebo terénní sociální služby</v>
          </cell>
        </row>
        <row r="377">
          <cell r="Q377" t="str">
            <v>Těžba chemických minerálů a minerálů pro výrobu hnojiv</v>
          </cell>
          <cell r="T377" t="str">
            <v>Těžba chemických minerálů a minerálů pro výrobu hnojiv</v>
          </cell>
          <cell r="W377" t="str">
            <v>Těžba chemických minerálů a minerálů pro výrobu hnojiv</v>
          </cell>
          <cell r="Z377" t="str">
            <v>Těžba chemických minerálů a minerálů pro výrobu hnojiv</v>
          </cell>
        </row>
        <row r="378">
          <cell r="Q378" t="str">
            <v>Těžba rašeliny</v>
          </cell>
          <cell r="T378" t="str">
            <v>Těžba rašeliny</v>
          </cell>
          <cell r="W378" t="str">
            <v>Těžba rašeliny</v>
          </cell>
          <cell r="Z378" t="str">
            <v>Těžba rašeliny</v>
          </cell>
        </row>
        <row r="379">
          <cell r="Q379" t="str">
            <v>Těžba soli</v>
          </cell>
          <cell r="T379" t="str">
            <v>Těžba soli</v>
          </cell>
          <cell r="W379" t="str">
            <v>Těžba soli</v>
          </cell>
          <cell r="Z379" t="str">
            <v>Těžba soli</v>
          </cell>
        </row>
        <row r="380">
          <cell r="Q380" t="str">
            <v>Ostatní těžba a dobývání j. n.</v>
          </cell>
          <cell r="T380" t="str">
            <v>Ostatní těžba a dobývání j. n.</v>
          </cell>
          <cell r="W380" t="str">
            <v>Ostatní těžba a dobývání j. n.</v>
          </cell>
          <cell r="Z380" t="str">
            <v>Ostatní těžba a dobývání j. n.</v>
          </cell>
        </row>
        <row r="381">
          <cell r="Q381" t="str">
            <v>Sportovní činnosti</v>
          </cell>
          <cell r="T381" t="str">
            <v>Sportovní činnosti</v>
          </cell>
          <cell r="W381" t="str">
            <v>Sportovní činnosti</v>
          </cell>
          <cell r="Z381" t="str">
            <v>Sportovní činnosti</v>
          </cell>
        </row>
        <row r="382">
          <cell r="Q382" t="str">
            <v>Ostatní zábavní a rekreační činnosti</v>
          </cell>
          <cell r="T382" t="str">
            <v>Ostatní zábavní a rekreační činnosti</v>
          </cell>
          <cell r="W382" t="str">
            <v>Ostatní zábavní a rekreační činnosti</v>
          </cell>
          <cell r="Z382" t="str">
            <v>Ostatní zábavní a rekreační činnosti</v>
          </cell>
        </row>
        <row r="383">
          <cell r="Q383" t="str">
            <v>Činnosti podnikatelských, zaměstnavatelských a profesních organizací</v>
          </cell>
          <cell r="T383" t="str">
            <v>Činnosti podnikatelských, zaměstnavatelských a profesních organizací</v>
          </cell>
          <cell r="W383" t="str">
            <v>Činnosti podnikatelských, zaměstnavatelských a profesních organizací</v>
          </cell>
          <cell r="Z383" t="str">
            <v>Činnosti podnikatelských, zaměstnavatelských a profesních organizací</v>
          </cell>
        </row>
        <row r="384">
          <cell r="Q384" t="str">
            <v>Činnosti odborových svazů</v>
          </cell>
          <cell r="T384" t="str">
            <v>Činnosti odborových svazů</v>
          </cell>
          <cell r="W384" t="str">
            <v>Činnosti odborových svazů</v>
          </cell>
          <cell r="Z384" t="str">
            <v>Činnosti odborových svazů</v>
          </cell>
        </row>
        <row r="385">
          <cell r="Q385" t="str">
            <v>Činnosti ost.org.sdružujících osoby za účelem prosazování společných zájmů</v>
          </cell>
          <cell r="T385" t="str">
            <v>Činnosti ost.org.sdružujících osoby za účelem prosazování společných zájmů</v>
          </cell>
          <cell r="W385" t="str">
            <v>Činnosti ost.org.sdružujících osoby za účelem prosazování společných zájmů</v>
          </cell>
          <cell r="Z385" t="str">
            <v>Činnosti ost.org.sdružujících osoby za účelem prosazování společných zájmů</v>
          </cell>
        </row>
        <row r="386">
          <cell r="Q386" t="str">
            <v>Opravy počítačů a komunikačních zařízení</v>
          </cell>
          <cell r="T386" t="str">
            <v>Opravy počítačů a komunikačních zařízení</v>
          </cell>
          <cell r="W386" t="str">
            <v>Opravy počítačů a komunikačních zařízení</v>
          </cell>
          <cell r="Z386" t="str">
            <v>Opravy počítačů a komunikačních zařízení</v>
          </cell>
        </row>
        <row r="387">
          <cell r="Q387" t="str">
            <v>Opravy výrobků pro osobní potřebu a převážně pro domácnost</v>
          </cell>
          <cell r="T387" t="str">
            <v>Opravy výrobků pro osobní potřebu a převážně pro domácnost</v>
          </cell>
          <cell r="W387" t="str">
            <v>Opravy výrobků pro osobní potřebu a převážně pro domácnost</v>
          </cell>
          <cell r="Z387" t="str">
            <v>Opravy výrobků pro osobní potřebu a převážně pro domácnost</v>
          </cell>
        </row>
        <row r="388">
          <cell r="Q388" t="str">
            <v>Činnosti domác.produk.blíže neurčené výrobky pro vlastní potřebu</v>
          </cell>
          <cell r="T388" t="str">
            <v>Činnosti domác.produk.blíže neurčené výrobky pro vlastní potřebu</v>
          </cell>
          <cell r="W388" t="str">
            <v>Činnosti domác.produk.blíže neurčené výrobky pro vlastní potřebu</v>
          </cell>
          <cell r="Z388" t="str">
            <v>Činnosti domác.produk.blíže neurčené výrobky pro vlastní potřebu</v>
          </cell>
        </row>
        <row r="389">
          <cell r="Q389" t="str">
            <v>Činnosti domácností poskyt.blíže neurčené služby pro vlastní potřebu</v>
          </cell>
          <cell r="T389" t="str">
            <v>Činnosti domácností poskyt.blíže neurčené služby pro vlastní potřebu</v>
          </cell>
          <cell r="W389" t="str">
            <v>Činnosti domácností poskyt.blíže neurčené služby pro vlastní potřebu</v>
          </cell>
          <cell r="Z389" t="str">
            <v>Činnosti domácností poskyt.blíže neurčené služby pro vlastní potřebu</v>
          </cell>
        </row>
        <row r="390">
          <cell r="Q390" t="str">
            <v>Zpracování a konzervování masa, kromě drůbežího</v>
          </cell>
          <cell r="T390" t="str">
            <v>Zpracování a konzervování masa, kromě drůbežího</v>
          </cell>
          <cell r="W390" t="str">
            <v>Zpracování a konzervování masa, kromě drůbežího</v>
          </cell>
          <cell r="Z390" t="str">
            <v>Zpracování a konzervování masa, kromě drůbežího</v>
          </cell>
        </row>
        <row r="391">
          <cell r="Q391" t="str">
            <v>Zpracování a konzervování drůbežího masa</v>
          </cell>
          <cell r="T391" t="str">
            <v>Zpracování a konzervování drůbežího masa</v>
          </cell>
          <cell r="W391" t="str">
            <v>Zpracování a konzervování drůbežího masa</v>
          </cell>
          <cell r="Z391" t="str">
            <v>Zpracování a konzervování drůbežího masa</v>
          </cell>
        </row>
        <row r="392">
          <cell r="Q392" t="str">
            <v>Výroba masných výrobků a výrobků z drůbežího masa</v>
          </cell>
          <cell r="T392" t="str">
            <v>Výroba masných výrobků a výrobků z drůbežího masa</v>
          </cell>
          <cell r="W392" t="str">
            <v>Výroba masných výrobků a výrobků z drůbežího masa</v>
          </cell>
          <cell r="Z392" t="str">
            <v>Výroba masných výrobků a výrobků z drůbežího masa</v>
          </cell>
        </row>
        <row r="393">
          <cell r="Q393" t="str">
            <v>Zpracování a konzervování brambor</v>
          </cell>
          <cell r="T393" t="str">
            <v>Zpracování a konzervování brambor</v>
          </cell>
          <cell r="W393" t="str">
            <v>Zpracování a konzervování brambor</v>
          </cell>
          <cell r="Z393" t="str">
            <v>Zpracování a konzervování brambor</v>
          </cell>
        </row>
        <row r="394">
          <cell r="Q394" t="str">
            <v>Výroba ovocných a zeleninových šťáv</v>
          </cell>
          <cell r="T394" t="str">
            <v>Výroba ovocných a zeleninových šťáv</v>
          </cell>
          <cell r="W394" t="str">
            <v>Výroba ovocných a zeleninových šťáv</v>
          </cell>
          <cell r="Z394" t="str">
            <v>Výroba ovocných a zeleninových šťáv</v>
          </cell>
        </row>
        <row r="395">
          <cell r="Q395" t="str">
            <v>Ostatní zpracování a konzervování ovoce a zeleniny</v>
          </cell>
          <cell r="T395" t="str">
            <v>Ostatní zpracování a konzervování ovoce a zeleniny</v>
          </cell>
          <cell r="W395" t="str">
            <v>Ostatní zpracování a konzervování ovoce a zeleniny</v>
          </cell>
          <cell r="Z395" t="str">
            <v>Ostatní zpracování a konzervování ovoce a zeleniny</v>
          </cell>
        </row>
        <row r="396">
          <cell r="Q396" t="str">
            <v>Výroba olejů a tuků</v>
          </cell>
          <cell r="T396" t="str">
            <v>Výroba olejů a tuků</v>
          </cell>
          <cell r="W396" t="str">
            <v>Výroba olejů a tuků</v>
          </cell>
          <cell r="Z396" t="str">
            <v>Výroba olejů a tuků</v>
          </cell>
        </row>
        <row r="397">
          <cell r="Q397" t="str">
            <v>Výroba margarínu a podobných jedlých tuků</v>
          </cell>
          <cell r="T397" t="str">
            <v>Výroba margarínu a podobných jedlých tuků</v>
          </cell>
          <cell r="W397" t="str">
            <v>Výroba margarínu a podobných jedlých tuků</v>
          </cell>
          <cell r="Z397" t="str">
            <v>Výroba margarínu a podobných jedlých tuků</v>
          </cell>
        </row>
        <row r="398">
          <cell r="Q398" t="str">
            <v>Zpracování mléka, výroba mléčných výrobků a sýrů</v>
          </cell>
          <cell r="T398" t="str">
            <v>Zpracování mléka, výroba mléčných výrobků a sýrů</v>
          </cell>
          <cell r="W398" t="str">
            <v>Zpracování mléka, výroba mléčných výrobků a sýrů</v>
          </cell>
          <cell r="Z398" t="str">
            <v>Zpracování mléka, výroba mléčných výrobků a sýrů</v>
          </cell>
        </row>
        <row r="399">
          <cell r="Q399" t="str">
            <v>Výroba zmrzliny</v>
          </cell>
          <cell r="T399" t="str">
            <v>Výroba zmrzliny</v>
          </cell>
          <cell r="W399" t="str">
            <v>Výroba zmrzliny</v>
          </cell>
          <cell r="Z399" t="str">
            <v>Výroba zmrzliny</v>
          </cell>
        </row>
        <row r="400">
          <cell r="Q400" t="str">
            <v>Výroba mlýnských výrobků</v>
          </cell>
          <cell r="T400" t="str">
            <v>Výroba mlýnských výrobků</v>
          </cell>
          <cell r="W400" t="str">
            <v>Výroba mlýnských výrobků</v>
          </cell>
          <cell r="Z400" t="str">
            <v>Výroba mlýnských výrobků</v>
          </cell>
        </row>
        <row r="401">
          <cell r="Q401" t="str">
            <v>Výroba škrobárenských výrobků</v>
          </cell>
          <cell r="T401" t="str">
            <v>Výroba škrobárenských výrobků</v>
          </cell>
          <cell r="W401" t="str">
            <v>Výroba škrobárenských výrobků</v>
          </cell>
          <cell r="Z401" t="str">
            <v>Výroba škrobárenských výrobků</v>
          </cell>
        </row>
        <row r="402">
          <cell r="Q402" t="str">
            <v>Výroba pekařských a cukrářských výrobků, kromě trvanlivých</v>
          </cell>
          <cell r="T402" t="str">
            <v>Výroba pekařských a cukrářských výrobků, kromě trvanlivých</v>
          </cell>
          <cell r="W402" t="str">
            <v>Výroba pekařských a cukrářských výrobků, kromě trvanlivých</v>
          </cell>
          <cell r="Z402" t="str">
            <v>Výroba pekařských a cukrářských výrobků, kromě trvanlivých</v>
          </cell>
        </row>
        <row r="403">
          <cell r="Q403" t="str">
            <v>Výroba sucharů a sušenek; výroba trvanlivých cukrářských výrobků</v>
          </cell>
          <cell r="T403" t="str">
            <v>Výroba sucharů a sušenek; výroba trvanlivých cukrářských výrobků</v>
          </cell>
          <cell r="W403" t="str">
            <v>Výroba sucharů a sušenek; výroba trvanlivých cukrářských výrobků</v>
          </cell>
          <cell r="Z403" t="str">
            <v>Výroba sucharů a sušenek; výroba trvanlivých cukrářských výrobků</v>
          </cell>
        </row>
        <row r="404">
          <cell r="Q404" t="str">
            <v>Výroba makaronů, nudlí, kuskusu a podobných moučných výrobků</v>
          </cell>
          <cell r="T404" t="str">
            <v>Výroba makaronů, nudlí, kuskusu a podobných moučných výrobků</v>
          </cell>
          <cell r="W404" t="str">
            <v>Výroba makaronů, nudlí, kuskusu a podobných moučných výrobků</v>
          </cell>
          <cell r="Z404" t="str">
            <v>Výroba makaronů, nudlí, kuskusu a podobných moučných výrobků</v>
          </cell>
        </row>
        <row r="405">
          <cell r="Q405" t="str">
            <v>Výroba cukru</v>
          </cell>
          <cell r="T405" t="str">
            <v>Výroba cukru</v>
          </cell>
          <cell r="W405" t="str">
            <v>Výroba cukru</v>
          </cell>
          <cell r="Z405" t="str">
            <v>Výroba cukru</v>
          </cell>
        </row>
        <row r="406">
          <cell r="Q406" t="str">
            <v>Výroba kakaa, čokolády a cukrovinek</v>
          </cell>
          <cell r="T406" t="str">
            <v>Výroba kakaa, čokolády a cukrovinek</v>
          </cell>
          <cell r="W406" t="str">
            <v>Výroba kakaa, čokolády a cukrovinek</v>
          </cell>
          <cell r="Z406" t="str">
            <v>Výroba kakaa, čokolády a cukrovinek</v>
          </cell>
        </row>
        <row r="407">
          <cell r="Q407" t="str">
            <v>Zpracování čaje a kávy</v>
          </cell>
          <cell r="T407" t="str">
            <v>Zpracování čaje a kávy</v>
          </cell>
          <cell r="W407" t="str">
            <v>Zpracování čaje a kávy</v>
          </cell>
          <cell r="Z407" t="str">
            <v>Zpracování čaje a kávy</v>
          </cell>
        </row>
        <row r="408">
          <cell r="Q408" t="str">
            <v>Výroba koření a aromatických výtažků</v>
          </cell>
          <cell r="T408" t="str">
            <v>Výroba koření a aromatických výtažků</v>
          </cell>
          <cell r="W408" t="str">
            <v>Výroba koření a aromatických výtažků</v>
          </cell>
          <cell r="Z408" t="str">
            <v>Výroba koření a aromatických výtažků</v>
          </cell>
        </row>
        <row r="409">
          <cell r="Q409" t="str">
            <v>Výroba hotových pokrmů</v>
          </cell>
          <cell r="T409" t="str">
            <v>Výroba hotových pokrmů</v>
          </cell>
          <cell r="W409" t="str">
            <v>Výroba hotových pokrmů</v>
          </cell>
          <cell r="Z409" t="str">
            <v>Výroba hotových pokrmů</v>
          </cell>
        </row>
        <row r="410">
          <cell r="Q410" t="str">
            <v>Výroba homogenizovaných potravinářských přípravků a dietních potravin</v>
          </cell>
          <cell r="T410" t="str">
            <v>Výroba homogenizovaných potravinářských přípravků a dietních potravin</v>
          </cell>
          <cell r="W410" t="str">
            <v>Výroba homogenizovaných potravinářských přípravků a dietních potravin</v>
          </cell>
          <cell r="Z410" t="str">
            <v>Výroba homogenizovaných potravinářských přípravků a dietních potravin</v>
          </cell>
        </row>
        <row r="411">
          <cell r="Q411" t="str">
            <v>Výroba ostatních potravinářských výrobků j. n.</v>
          </cell>
          <cell r="T411" t="str">
            <v>Výroba ostatních potravinářských výrobků j. n.</v>
          </cell>
          <cell r="W411" t="str">
            <v>Výroba ostatních potravinářských výrobků j. n.</v>
          </cell>
          <cell r="Z411" t="str">
            <v>Výroba ostatních potravinářských výrobků j. n.</v>
          </cell>
        </row>
        <row r="412">
          <cell r="Q412" t="str">
            <v>Výroba průmyslových krmiv pro hospodářská zvířata</v>
          </cell>
          <cell r="T412" t="str">
            <v>Výroba průmyslových krmiv pro hospodářská zvířata</v>
          </cell>
          <cell r="W412" t="str">
            <v>Výroba průmyslových krmiv pro hospodářská zvířata</v>
          </cell>
          <cell r="Z412" t="str">
            <v>Výroba průmyslových krmiv pro hospodářská zvířata</v>
          </cell>
        </row>
        <row r="413">
          <cell r="Q413" t="str">
            <v>Výroba průmyslových krmiv pro zvířata v zájmovém chovu</v>
          </cell>
          <cell r="T413" t="str">
            <v>Výroba průmyslových krmiv pro zvířata v zájmovém chovu</v>
          </cell>
          <cell r="W413" t="str">
            <v>Výroba průmyslových krmiv pro zvířata v zájmovém chovu</v>
          </cell>
          <cell r="Z413" t="str">
            <v>Výroba průmyslových krmiv pro zvířata v zájmovém chovu</v>
          </cell>
        </row>
        <row r="414">
          <cell r="Q414" t="str">
            <v>Destilace, rektifikace a míchání lihovin</v>
          </cell>
          <cell r="T414" t="str">
            <v>Destilace, rektifikace a míchání lihovin</v>
          </cell>
          <cell r="W414" t="str">
            <v>Destilace, rektifikace a míchání lihovin</v>
          </cell>
          <cell r="Z414" t="str">
            <v>Destilace, rektifikace a míchání lihovin</v>
          </cell>
        </row>
        <row r="415">
          <cell r="Q415" t="str">
            <v>Výroba vína z vinných hroznů</v>
          </cell>
          <cell r="T415" t="str">
            <v>Výroba vína z vinných hroznů</v>
          </cell>
          <cell r="W415" t="str">
            <v>Výroba vína z vinných hroznů</v>
          </cell>
          <cell r="Z415" t="str">
            <v>Výroba vína z vinných hroznů</v>
          </cell>
        </row>
        <row r="416">
          <cell r="Q416" t="str">
            <v>Výroba jablečného vína a jiných ovocných vín</v>
          </cell>
          <cell r="T416" t="str">
            <v>Výroba jablečného vína a jiných ovocných vín</v>
          </cell>
          <cell r="W416" t="str">
            <v>Výroba jablečného vína a jiných ovocných vín</v>
          </cell>
          <cell r="Z416" t="str">
            <v>Výroba jablečného vína a jiných ovocných vín</v>
          </cell>
        </row>
        <row r="417">
          <cell r="Q417" t="str">
            <v>Výroba ostatních nedestilovaných kvašených nápojů</v>
          </cell>
          <cell r="T417" t="str">
            <v>Výroba ostatních nedestilovaných kvašených nápojů</v>
          </cell>
          <cell r="W417" t="str">
            <v>Výroba ostatních nedestilovaných kvašených nápojů</v>
          </cell>
          <cell r="Z417" t="str">
            <v>Výroba ostatních nedestilovaných kvašených nápojů</v>
          </cell>
        </row>
        <row r="418">
          <cell r="Q418" t="str">
            <v>Výroba piva</v>
          </cell>
          <cell r="T418" t="str">
            <v>Výroba piva</v>
          </cell>
          <cell r="W418" t="str">
            <v>Výroba piva</v>
          </cell>
          <cell r="Z418" t="str">
            <v>Výroba piva</v>
          </cell>
        </row>
        <row r="419">
          <cell r="Q419" t="str">
            <v>Výroba sladu</v>
          </cell>
          <cell r="T419" t="str">
            <v>Výroba sladu</v>
          </cell>
          <cell r="W419" t="str">
            <v>Výroba sladu</v>
          </cell>
          <cell r="Z419" t="str">
            <v>Výroba sladu</v>
          </cell>
        </row>
        <row r="420">
          <cell r="Q420" t="str">
            <v>Výroba nealkohol.nápojů;stáčení minerálních a ostatních vod do lahví</v>
          </cell>
          <cell r="T420" t="str">
            <v>Výroba nealkohol.nápojů;stáčení minerálních a ostatních vod do lahví</v>
          </cell>
          <cell r="W420" t="str">
            <v>Výroba nealkohol.nápojů;stáčení minerálních a ostatních vod do lahví</v>
          </cell>
          <cell r="Z420" t="str">
            <v>Výroba nealkohol.nápojů;stáčení minerálních a ostatních vod do lahví</v>
          </cell>
        </row>
        <row r="421">
          <cell r="Q421" t="str">
            <v>Výroba pletených a háčkovaných materiálů</v>
          </cell>
          <cell r="T421" t="str">
            <v>Výroba pletených a háčkovaných materiálů</v>
          </cell>
          <cell r="W421" t="str">
            <v>Výroba pletených a háčkovaných materiálů</v>
          </cell>
          <cell r="Z421" t="str">
            <v>Výroba pletených a háčkovaných materiálů</v>
          </cell>
        </row>
        <row r="422">
          <cell r="Q422" t="str">
            <v>Výroba konfekčních textilních výrobků, kromě oděvů</v>
          </cell>
          <cell r="T422" t="str">
            <v>Výroba konfekčních textilních výrobků, kromě oděvů</v>
          </cell>
          <cell r="W422" t="str">
            <v>Výroba konfekčních textilních výrobků, kromě oděvů</v>
          </cell>
          <cell r="Z422" t="str">
            <v>Výroba konfekčních textilních výrobků, kromě oděvů</v>
          </cell>
        </row>
        <row r="423">
          <cell r="Q423" t="str">
            <v>Výroba koberců a kobercových předložek</v>
          </cell>
          <cell r="T423" t="str">
            <v>Výroba koberců a kobercových předložek</v>
          </cell>
          <cell r="W423" t="str">
            <v>Výroba koberců a kobercových předložek</v>
          </cell>
          <cell r="Z423" t="str">
            <v>Výroba koberců a kobercových předložek</v>
          </cell>
        </row>
        <row r="424">
          <cell r="Q424" t="str">
            <v>Výroba lan, provazů a síťovaných výrobků</v>
          </cell>
          <cell r="T424" t="str">
            <v>Výroba lan, provazů a síťovaných výrobků</v>
          </cell>
          <cell r="W424" t="str">
            <v>Výroba lan, provazů a síťovaných výrobků</v>
          </cell>
          <cell r="Z424" t="str">
            <v>Výroba lan, provazů a síťovaných výrobků</v>
          </cell>
        </row>
        <row r="425">
          <cell r="Q425" t="str">
            <v>Výroba netkaných textilií a výrobků z nich, kromě oděvů</v>
          </cell>
          <cell r="T425" t="str">
            <v>Výroba netkaných textilií a výrobků z nich, kromě oděvů</v>
          </cell>
          <cell r="W425" t="str">
            <v>Výroba netkaných textilií a výrobků z nich, kromě oděvů</v>
          </cell>
          <cell r="Z425" t="str">
            <v>Výroba netkaných textilií a výrobků z nich, kromě oděvů</v>
          </cell>
        </row>
        <row r="426">
          <cell r="Q426" t="str">
            <v>Výroba ostatních technických a průmyslových textilií</v>
          </cell>
          <cell r="T426" t="str">
            <v>Výroba ostatních technických a průmyslových textilií</v>
          </cell>
          <cell r="W426" t="str">
            <v>Výroba ostatních technických a průmyslových textilií</v>
          </cell>
          <cell r="Z426" t="str">
            <v>Výroba ostatních technických a průmyslových textilií</v>
          </cell>
        </row>
        <row r="427">
          <cell r="Q427" t="str">
            <v>Výroba ostatních textilií j. n.</v>
          </cell>
          <cell r="T427" t="str">
            <v>Výroba ostatních textilií j. n.</v>
          </cell>
          <cell r="W427" t="str">
            <v>Výroba ostatních textilií j. n.</v>
          </cell>
          <cell r="Z427" t="str">
            <v>Výroba ostatních textilií j. n.</v>
          </cell>
        </row>
        <row r="428">
          <cell r="Q428" t="str">
            <v>Výroba kožených oděvů</v>
          </cell>
          <cell r="T428" t="str">
            <v>Výroba kožených oděvů</v>
          </cell>
          <cell r="W428" t="str">
            <v>Výroba kožených oděvů</v>
          </cell>
          <cell r="Z428" t="str">
            <v>Výroba kožených oděvů</v>
          </cell>
        </row>
        <row r="429">
          <cell r="Q429" t="str">
            <v>Výroba pracovních oděvů</v>
          </cell>
          <cell r="T429" t="str">
            <v>Výroba pracovních oděvů</v>
          </cell>
          <cell r="W429" t="str">
            <v>Výroba pracovních oděvů</v>
          </cell>
          <cell r="Z429" t="str">
            <v>Výroba pracovních oděvů</v>
          </cell>
        </row>
        <row r="430">
          <cell r="Q430" t="str">
            <v>Výroba ostatních svrchních oděvů</v>
          </cell>
          <cell r="T430" t="str">
            <v>Výroba ostatních svrchních oděvů</v>
          </cell>
          <cell r="W430" t="str">
            <v>Výroba ostatních svrchních oděvů</v>
          </cell>
          <cell r="Z430" t="str">
            <v>Výroba ostatních svrchních oděvů</v>
          </cell>
        </row>
        <row r="431">
          <cell r="Q431" t="str">
            <v>Výroba osobního prádla</v>
          </cell>
          <cell r="T431" t="str">
            <v>Výroba osobního prádla</v>
          </cell>
          <cell r="W431" t="str">
            <v>Výroba osobního prádla</v>
          </cell>
          <cell r="Z431" t="str">
            <v>Výroba osobního prádla</v>
          </cell>
        </row>
        <row r="432">
          <cell r="Q432" t="str">
            <v>Výroba ostatních oděvů a oděvních doplňků</v>
          </cell>
          <cell r="T432" t="str">
            <v>Výroba ostatních oděvů a oděvních doplňků</v>
          </cell>
          <cell r="W432" t="str">
            <v>Výroba ostatních oděvů a oděvních doplňků</v>
          </cell>
          <cell r="Z432" t="str">
            <v>Výroba ostatních oděvů a oděvních doplňků</v>
          </cell>
        </row>
        <row r="433">
          <cell r="Q433" t="str">
            <v>Výroba pletených a háčkovaných punčochových výrobků</v>
          </cell>
          <cell r="T433" t="str">
            <v>Výroba pletených a háčkovaných punčochových výrobků</v>
          </cell>
          <cell r="W433" t="str">
            <v>Výroba pletených a háčkovaných punčochových výrobků</v>
          </cell>
          <cell r="Z433" t="str">
            <v>Výroba pletených a háčkovaných punčochových výrobků</v>
          </cell>
        </row>
        <row r="434">
          <cell r="Q434" t="str">
            <v>Výroba ostatních pletených a háčkovaných oděvů</v>
          </cell>
          <cell r="T434" t="str">
            <v>Výroba ostatních pletených a háčkovaných oděvů</v>
          </cell>
          <cell r="W434" t="str">
            <v>Výroba ostatních pletených a háčkovaných oděvů</v>
          </cell>
          <cell r="Z434" t="str">
            <v>Výroba ostatních pletených a háčkovaných oděvů</v>
          </cell>
        </row>
        <row r="435">
          <cell r="Q435" t="str">
            <v>Chov drobných hospodářských zvířat</v>
          </cell>
          <cell r="T435" t="str">
            <v>Chov drobných hospodářských zvířat</v>
          </cell>
          <cell r="W435" t="str">
            <v>Chov drobných hospodářských zvířat</v>
          </cell>
          <cell r="Z435" t="str">
            <v>Chov drobných hospodářských zvířat</v>
          </cell>
        </row>
        <row r="436">
          <cell r="Q436" t="str">
            <v>Chov kožešinových zvířat</v>
          </cell>
          <cell r="T436" t="str">
            <v>Chov kožešinových zvířat</v>
          </cell>
          <cell r="W436" t="str">
            <v>Chov kožešinových zvířat</v>
          </cell>
          <cell r="Z436" t="str">
            <v>Chov kožešinových zvířat</v>
          </cell>
        </row>
        <row r="437">
          <cell r="Q437" t="str">
            <v>Chov zvířat pro zájmový chov</v>
          </cell>
          <cell r="T437" t="str">
            <v>Chov zvířat pro zájmový chov</v>
          </cell>
          <cell r="W437" t="str">
            <v>Chov zvířat pro zájmový chov</v>
          </cell>
          <cell r="Z437" t="str">
            <v>Chov zvířat pro zájmový chov</v>
          </cell>
        </row>
        <row r="438">
          <cell r="Q438" t="str">
            <v>Chov ostatních zvířat j. n.</v>
          </cell>
          <cell r="T438" t="str">
            <v>Chov ostatních zvířat j. n.</v>
          </cell>
          <cell r="W438" t="str">
            <v>Chov ostatních zvířat j. n.</v>
          </cell>
          <cell r="Z438" t="str">
            <v>Chov ostatních zvířat j. n.</v>
          </cell>
        </row>
        <row r="439">
          <cell r="Q439" t="str">
            <v>Činění a úprava usní (vyčiněných kůží); zpracování a barvení kožešin</v>
          </cell>
          <cell r="T439" t="str">
            <v>Činění a úprava usní (vyčiněných kůží); zpracování a barvení kožešin</v>
          </cell>
          <cell r="W439" t="str">
            <v>Činění a úprava usní (vyčiněných kůží); zpracování a barvení kožešin</v>
          </cell>
          <cell r="Z439" t="str">
            <v>Činění a úprava usní (vyčiněných kůží); zpracování a barvení kožešin</v>
          </cell>
        </row>
        <row r="440">
          <cell r="Q440" t="str">
            <v>Výroba brašnářských, sedlářských a podobných výrobků</v>
          </cell>
          <cell r="T440" t="str">
            <v>Výroba brašnářských, sedlářských a podobných výrobků</v>
          </cell>
          <cell r="W440" t="str">
            <v>Výroba brašnářských, sedlářských a podobných výrobků</v>
          </cell>
          <cell r="Z440" t="str">
            <v>Výroba brašnářských, sedlářských a podobných výrobků</v>
          </cell>
        </row>
        <row r="441">
          <cell r="Q441" t="str">
            <v>Výroba dýh a desek na bázi dřeva</v>
          </cell>
          <cell r="T441" t="str">
            <v>Výroba dýh a desek na bázi dřeva</v>
          </cell>
          <cell r="W441" t="str">
            <v>Výroba dýh a desek na bázi dřeva</v>
          </cell>
          <cell r="Z441" t="str">
            <v>Výroba dýh a desek na bázi dřeva</v>
          </cell>
        </row>
        <row r="442">
          <cell r="Q442" t="str">
            <v>Výroba sestavených parketových podlah</v>
          </cell>
          <cell r="T442" t="str">
            <v>Výroba sestavených parketových podlah</v>
          </cell>
          <cell r="W442" t="str">
            <v>Výroba sestavených parketových podlah</v>
          </cell>
          <cell r="Z442" t="str">
            <v>Výroba sestavených parketových podlah</v>
          </cell>
        </row>
        <row r="443">
          <cell r="Q443" t="str">
            <v>Výroba ostatních výrobků stavebního truhlářství a tesařství</v>
          </cell>
          <cell r="T443" t="str">
            <v>Výroba ostatních výrobků stavebního truhlářství a tesařství</v>
          </cell>
          <cell r="W443" t="str">
            <v>Výroba ostatních výrobků stavebního truhlářství a tesařství</v>
          </cell>
          <cell r="Z443" t="str">
            <v>Výroba ostatních výrobků stavebního truhlářství a tesařství</v>
          </cell>
        </row>
        <row r="444">
          <cell r="Q444" t="str">
            <v>Výroba dřevěných obalů</v>
          </cell>
          <cell r="T444" t="str">
            <v>Výroba dřevěných obalů</v>
          </cell>
          <cell r="W444" t="str">
            <v>Výroba dřevěných obalů</v>
          </cell>
          <cell r="Z444" t="str">
            <v>Výroba dřevěných obalů</v>
          </cell>
        </row>
        <row r="445">
          <cell r="Q445" t="str">
            <v>Výroba ost.dřevěných,korkových,proutěných a slaměných výr.,kromě nábytku</v>
          </cell>
          <cell r="T445" t="str">
            <v>Výroba ost.dřevěných,korkových,proutěných a slaměných výr.,kromě nábytku</v>
          </cell>
          <cell r="W445" t="str">
            <v>Výroba ost.dřevěných,korkových,proutěných a slaměných výr.,kromě nábytku</v>
          </cell>
          <cell r="Z445" t="str">
            <v>Výroba ost.dřevěných,korkových,proutěných a slaměných výr.,kromě nábytku</v>
          </cell>
        </row>
        <row r="446">
          <cell r="Q446" t="str">
            <v>Výroba buničiny</v>
          </cell>
          <cell r="T446" t="str">
            <v>Výroba buničiny</v>
          </cell>
          <cell r="W446" t="str">
            <v>Výroba buničiny</v>
          </cell>
          <cell r="Z446" t="str">
            <v>Výroba buničiny</v>
          </cell>
        </row>
        <row r="447">
          <cell r="Q447" t="str">
            <v>Výroba papíru a lepenky</v>
          </cell>
          <cell r="T447" t="str">
            <v>Výroba papíru a lepenky</v>
          </cell>
          <cell r="W447" t="str">
            <v>Výroba papíru a lepenky</v>
          </cell>
          <cell r="Z447" t="str">
            <v>Výroba papíru a lepenky</v>
          </cell>
        </row>
        <row r="448">
          <cell r="Q448" t="str">
            <v>Výroba vlnitého papíru a lepenky, papírových a lepenkových obalů</v>
          </cell>
          <cell r="T448" t="str">
            <v>Výroba vlnitého papíru a lepenky, papírových a lepenkových obalů</v>
          </cell>
          <cell r="W448" t="str">
            <v>Výroba vlnitého papíru a lepenky, papírových a lepenkových obalů</v>
          </cell>
          <cell r="Z448" t="str">
            <v>Výroba vlnitého papíru a lepenky, papírových a lepenkových obalů</v>
          </cell>
        </row>
        <row r="449">
          <cell r="Q449" t="str">
            <v>Výroba domácích potřeb, hygienických a toaletních výrobků z papíru</v>
          </cell>
          <cell r="T449" t="str">
            <v>Výroba domácích potřeb, hygienických a toaletních výrobků z papíru</v>
          </cell>
          <cell r="W449" t="str">
            <v>Výroba domácích potřeb, hygienických a toaletních výrobků z papíru</v>
          </cell>
          <cell r="Z449" t="str">
            <v>Výroba domácích potřeb, hygienických a toaletních výrobků z papíru</v>
          </cell>
        </row>
        <row r="450">
          <cell r="Q450" t="str">
            <v>Výroba kancelářských potřeb z papíru</v>
          </cell>
          <cell r="T450" t="str">
            <v>Výroba kancelářských potřeb z papíru</v>
          </cell>
          <cell r="W450" t="str">
            <v>Výroba kancelářských potřeb z papíru</v>
          </cell>
          <cell r="Z450" t="str">
            <v>Výroba kancelářských potřeb z papíru</v>
          </cell>
        </row>
        <row r="451">
          <cell r="Q451" t="str">
            <v>Výroba tapet</v>
          </cell>
          <cell r="T451" t="str">
            <v>Výroba tapet</v>
          </cell>
          <cell r="W451" t="str">
            <v>Výroba tapet</v>
          </cell>
          <cell r="Z451" t="str">
            <v>Výroba tapet</v>
          </cell>
        </row>
        <row r="452">
          <cell r="Q452" t="str">
            <v>Výroba ostatních výrobků z papíru a lepenky</v>
          </cell>
          <cell r="T452" t="str">
            <v>Výroba ostatních výrobků z papíru a lepenky</v>
          </cell>
          <cell r="W452" t="str">
            <v>Výroba ostatních výrobků z papíru a lepenky</v>
          </cell>
          <cell r="Z452" t="str">
            <v>Výroba ostatních výrobků z papíru a lepenky</v>
          </cell>
        </row>
        <row r="453">
          <cell r="Q453" t="str">
            <v>Tisk novin</v>
          </cell>
          <cell r="T453" t="str">
            <v>Tisk novin</v>
          </cell>
          <cell r="W453" t="str">
            <v>Tisk novin</v>
          </cell>
          <cell r="Z453" t="str">
            <v>Tisk novin</v>
          </cell>
        </row>
        <row r="454">
          <cell r="Q454" t="str">
            <v>Tisk ostatní, kromě novin</v>
          </cell>
          <cell r="T454" t="str">
            <v>Tisk ostatní, kromě novin</v>
          </cell>
          <cell r="W454" t="str">
            <v>Tisk ostatní, kromě novin</v>
          </cell>
          <cell r="Z454" t="str">
            <v>Tisk ostatní, kromě novin</v>
          </cell>
        </row>
        <row r="455">
          <cell r="Q455" t="str">
            <v>Příprava tisku a digitálních dat</v>
          </cell>
          <cell r="T455" t="str">
            <v>Příprava tisku a digitálních dat</v>
          </cell>
          <cell r="W455" t="str">
            <v>Příprava tisku a digitálních dat</v>
          </cell>
          <cell r="Z455" t="str">
            <v>Příprava tisku a digitálních dat</v>
          </cell>
        </row>
        <row r="456">
          <cell r="Q456" t="str">
            <v>Vázání a související činnosti</v>
          </cell>
          <cell r="T456" t="str">
            <v>Vázání a související činnosti</v>
          </cell>
          <cell r="W456" t="str">
            <v>Vázání a související činnosti</v>
          </cell>
          <cell r="Z456" t="str">
            <v>Vázání a související činnosti</v>
          </cell>
        </row>
        <row r="457">
          <cell r="Q457" t="str">
            <v>Výroba technických plynů</v>
          </cell>
          <cell r="T457" t="str">
            <v>Výroba technických plynů</v>
          </cell>
          <cell r="W457" t="str">
            <v>Výroba technických plynů</v>
          </cell>
          <cell r="Z457" t="str">
            <v>Výroba technických plynů</v>
          </cell>
        </row>
        <row r="458">
          <cell r="Q458" t="str">
            <v>Výroba barviv a pigmentů</v>
          </cell>
          <cell r="T458" t="str">
            <v>Výroba barviv a pigmentů</v>
          </cell>
          <cell r="W458" t="str">
            <v>Výroba barviv a pigmentů</v>
          </cell>
          <cell r="Z458" t="str">
            <v>Výroba barviv a pigmentů</v>
          </cell>
        </row>
        <row r="459">
          <cell r="Q459" t="str">
            <v>Výroba jiných základních anorganických chemických látek</v>
          </cell>
          <cell r="T459" t="str">
            <v>Výroba jiných základních anorganických chemických látek</v>
          </cell>
          <cell r="W459" t="str">
            <v>Výroba jiných základních anorganických chemických látek</v>
          </cell>
          <cell r="Z459" t="str">
            <v>Výroba jiných základních anorganických chemických látek</v>
          </cell>
        </row>
        <row r="460">
          <cell r="Q460" t="str">
            <v>Výroba jiných základních organických chemických látek</v>
          </cell>
          <cell r="T460" t="str">
            <v>Výroba jiných základních organických chemických látek</v>
          </cell>
          <cell r="W460" t="str">
            <v>Výroba jiných základních organických chemických látek</v>
          </cell>
          <cell r="Z460" t="str">
            <v>Výroba jiných základních organických chemických látek</v>
          </cell>
        </row>
        <row r="461">
          <cell r="Q461" t="str">
            <v>Výroba hnojiv a dusíkatých sloučenin</v>
          </cell>
          <cell r="T461" t="str">
            <v>Výroba hnojiv a dusíkatých sloučenin</v>
          </cell>
          <cell r="W461" t="str">
            <v>Výroba hnojiv a dusíkatých sloučenin</v>
          </cell>
          <cell r="Z461" t="str">
            <v>Výroba hnojiv a dusíkatých sloučenin</v>
          </cell>
        </row>
        <row r="462">
          <cell r="Q462" t="str">
            <v>Výroba plastů v primárních formách</v>
          </cell>
          <cell r="T462" t="str">
            <v>Výroba plastů v primárních formách</v>
          </cell>
          <cell r="W462" t="str">
            <v>Výroba plastů v primárních formách</v>
          </cell>
          <cell r="Z462" t="str">
            <v>Výroba plastů v primárních formách</v>
          </cell>
        </row>
        <row r="463">
          <cell r="Q463" t="str">
            <v>Výroba syntetického kaučuku v primárních formách</v>
          </cell>
          <cell r="T463" t="str">
            <v>Výroba syntetického kaučuku v primárních formách</v>
          </cell>
          <cell r="W463" t="str">
            <v>Výroba syntetického kaučuku v primárních formách</v>
          </cell>
          <cell r="Z463" t="str">
            <v>Výroba syntetického kaučuku v primárních formách</v>
          </cell>
        </row>
        <row r="464">
          <cell r="Q464" t="str">
            <v>Výroba mýdel a detergentů, čisticích a lešticích prostředků</v>
          </cell>
          <cell r="T464" t="str">
            <v>Výroba mýdel a detergentů, čisticích a lešticích prostředků</v>
          </cell>
          <cell r="W464" t="str">
            <v>Výroba mýdel a detergentů, čisticích a lešticích prostředků</v>
          </cell>
          <cell r="Z464" t="str">
            <v>Výroba mýdel a detergentů, čisticích a lešticích prostředků</v>
          </cell>
        </row>
        <row r="465">
          <cell r="Q465" t="str">
            <v>Výroba parfémů a toaletních přípravků</v>
          </cell>
          <cell r="T465" t="str">
            <v>Výroba parfémů a toaletních přípravků</v>
          </cell>
          <cell r="W465" t="str">
            <v>Výroba parfémů a toaletních přípravků</v>
          </cell>
          <cell r="Z465" t="str">
            <v>Výroba parfémů a toaletních přípravků</v>
          </cell>
        </row>
        <row r="466">
          <cell r="Q466" t="str">
            <v>Výroba výbušnin</v>
          </cell>
          <cell r="T466" t="str">
            <v>Výroba výbušnin</v>
          </cell>
          <cell r="W466" t="str">
            <v>Výroba výbušnin</v>
          </cell>
          <cell r="Z466" t="str">
            <v>Výroba výbušnin</v>
          </cell>
        </row>
        <row r="467">
          <cell r="Q467" t="str">
            <v>Výroba klihů</v>
          </cell>
          <cell r="T467" t="str">
            <v>Výroba klihů</v>
          </cell>
          <cell r="W467" t="str">
            <v>Výroba klihů</v>
          </cell>
          <cell r="Z467" t="str">
            <v>Výroba klihů</v>
          </cell>
        </row>
        <row r="468">
          <cell r="Q468" t="str">
            <v>Výroba vonných silic</v>
          </cell>
          <cell r="T468" t="str">
            <v>Výroba vonných silic</v>
          </cell>
          <cell r="W468" t="str">
            <v>Výroba vonných silic</v>
          </cell>
          <cell r="Z468" t="str">
            <v>Výroba vonných silic</v>
          </cell>
        </row>
        <row r="469">
          <cell r="Q469" t="str">
            <v>Výroba ostatních chemických výrobků j. n.</v>
          </cell>
          <cell r="T469" t="str">
            <v>Výroba ostatních chemických výrobků j. n.</v>
          </cell>
          <cell r="W469" t="str">
            <v>Výroba ostatních chemických výrobků j. n.</v>
          </cell>
          <cell r="Z469" t="str">
            <v>Výroba ostatních chemických výrobků j. n.</v>
          </cell>
        </row>
        <row r="470">
          <cell r="Q470" t="str">
            <v>Výroba pryžových plášťů a duší; protektorování pneumatik</v>
          </cell>
          <cell r="T470" t="str">
            <v>Výroba pryžových plášťů a duší; protektorování pneumatik</v>
          </cell>
          <cell r="W470" t="str">
            <v>Výroba pryžových plášťů a duší; protektorování pneumatik</v>
          </cell>
          <cell r="Z470" t="str">
            <v>Výroba pryžových plášťů a duší; protektorování pneumatik</v>
          </cell>
        </row>
        <row r="471">
          <cell r="Q471" t="str">
            <v>Výroba ostatních pryžových výrobků</v>
          </cell>
          <cell r="T471" t="str">
            <v>Výroba ostatních pryžových výrobků</v>
          </cell>
          <cell r="W471" t="str">
            <v>Výroba ostatních pryžových výrobků</v>
          </cell>
          <cell r="Z471" t="str">
            <v>Výroba ostatních pryžových výrobků</v>
          </cell>
        </row>
        <row r="472">
          <cell r="Q472" t="str">
            <v>Výroba plastových desek, fólií, hadic, trubek a profilů</v>
          </cell>
          <cell r="T472" t="str">
            <v>Výroba plastových desek, fólií, hadic, trubek a profilů</v>
          </cell>
          <cell r="W472" t="str">
            <v>Výroba plastových desek, fólií, hadic, trubek a profilů</v>
          </cell>
          <cell r="Z472" t="str">
            <v>Výroba plastových desek, fólií, hadic, trubek a profilů</v>
          </cell>
        </row>
        <row r="473">
          <cell r="Q473" t="str">
            <v>Výroba plastových obalů</v>
          </cell>
          <cell r="T473" t="str">
            <v>Výroba plastových obalů</v>
          </cell>
          <cell r="W473" t="str">
            <v>Výroba plastových obalů</v>
          </cell>
          <cell r="Z473" t="str">
            <v>Výroba plastových obalů</v>
          </cell>
        </row>
        <row r="474">
          <cell r="Q474" t="str">
            <v>Výroba plastových výrobků pro stavebnictví</v>
          </cell>
          <cell r="T474" t="str">
            <v>Výroba plastových výrobků pro stavebnictví</v>
          </cell>
          <cell r="W474" t="str">
            <v>Výroba plastových výrobků pro stavebnictví</v>
          </cell>
          <cell r="Z474" t="str">
            <v>Výroba plastových výrobků pro stavebnictví</v>
          </cell>
        </row>
        <row r="475">
          <cell r="Q475" t="str">
            <v>Výroba ostatních plastových výrobků</v>
          </cell>
          <cell r="T475" t="str">
            <v>Výroba ostatních plastových výrobků</v>
          </cell>
          <cell r="W475" t="str">
            <v>Výroba ostatních plastových výrobků</v>
          </cell>
          <cell r="Z475" t="str">
            <v>Výroba ostatních plastových výrobků</v>
          </cell>
        </row>
        <row r="476">
          <cell r="Q476" t="str">
            <v>Výroba plochého skla</v>
          </cell>
          <cell r="T476" t="str">
            <v>Výroba plochého skla</v>
          </cell>
          <cell r="W476" t="str">
            <v>Výroba plochého skla</v>
          </cell>
          <cell r="Z476" t="str">
            <v>Výroba plochého skla</v>
          </cell>
        </row>
        <row r="477">
          <cell r="Q477" t="str">
            <v>Tvarování a zpracování plochého skla</v>
          </cell>
          <cell r="T477" t="str">
            <v>Tvarování a zpracování plochého skla</v>
          </cell>
          <cell r="W477" t="str">
            <v>Tvarování a zpracování plochého skla</v>
          </cell>
          <cell r="Z477" t="str">
            <v>Tvarování a zpracování plochého skla</v>
          </cell>
        </row>
        <row r="478">
          <cell r="Q478" t="str">
            <v>Výroba dutého skla</v>
          </cell>
          <cell r="T478" t="str">
            <v>Výroba dutého skla</v>
          </cell>
          <cell r="W478" t="str">
            <v>Výroba dutého skla</v>
          </cell>
          <cell r="Z478" t="str">
            <v>Výroba dutého skla</v>
          </cell>
        </row>
        <row r="479">
          <cell r="Q479" t="str">
            <v>Výroba skleněných vláken</v>
          </cell>
          <cell r="T479" t="str">
            <v>Výroba skleněných vláken</v>
          </cell>
          <cell r="W479" t="str">
            <v>Výroba skleněných vláken</v>
          </cell>
          <cell r="Z479" t="str">
            <v>Výroba skleněných vláken</v>
          </cell>
        </row>
        <row r="480">
          <cell r="Q480" t="str">
            <v>Výroba a zpracování ostatního skla vč. technického</v>
          </cell>
          <cell r="T480" t="str">
            <v>Výroba a zpracování ostatního skla vč. technického</v>
          </cell>
          <cell r="W480" t="str">
            <v>Výroba a zpracování ostatního skla vč. technického</v>
          </cell>
          <cell r="Z480" t="str">
            <v>Výroba a zpracování ostatního skla vč. technického</v>
          </cell>
        </row>
        <row r="481">
          <cell r="Q481" t="str">
            <v>Výroba keramických obkládaček a dlaždic</v>
          </cell>
          <cell r="T481" t="str">
            <v>Výroba keramických obkládaček a dlaždic</v>
          </cell>
          <cell r="W481" t="str">
            <v>Výroba keramických obkládaček a dlaždic</v>
          </cell>
          <cell r="Z481" t="str">
            <v>Výroba keramických obkládaček a dlaždic</v>
          </cell>
        </row>
        <row r="482">
          <cell r="Q482" t="str">
            <v>Výroba pálených zdicích materiálů, tašek, dlaždic a podobných výrobků</v>
          </cell>
          <cell r="T482" t="str">
            <v>Výroba pálených zdicích materiálů, tašek, dlaždic a podobných výrobků</v>
          </cell>
          <cell r="W482" t="str">
            <v>Výroba pálených zdicích materiálů, tašek, dlaždic a podobných výrobků</v>
          </cell>
          <cell r="Z482" t="str">
            <v>Výroba pálených zdicích materiálů, tašek, dlaždic a podobných výrobků</v>
          </cell>
        </row>
        <row r="483">
          <cell r="Q483" t="str">
            <v>Výroba keram.a porcelán.výrobků převážně pro domácnost a ozdob.předmětů</v>
          </cell>
          <cell r="T483" t="str">
            <v>Výroba keram.a porcelán.výrobků převážně pro domácnost a ozdob.předmětů</v>
          </cell>
          <cell r="W483" t="str">
            <v>Výroba keram.a porcelán.výrobků převážně pro domácnost a ozdob.předmětů</v>
          </cell>
          <cell r="Z483" t="str">
            <v>Výroba keram.a porcelán.výrobků převážně pro domácnost a ozdob.předmětů</v>
          </cell>
        </row>
        <row r="484">
          <cell r="Q484" t="str">
            <v>Výroba keramických sanitárních výrobků</v>
          </cell>
          <cell r="T484" t="str">
            <v>Výroba keramických sanitárních výrobků</v>
          </cell>
          <cell r="W484" t="str">
            <v>Výroba keramických sanitárních výrobků</v>
          </cell>
          <cell r="Z484" t="str">
            <v>Výroba keramických sanitárních výrobků</v>
          </cell>
        </row>
        <row r="485">
          <cell r="Q485" t="str">
            <v>Výroba keramických izolátorů a izolačního příslušenství</v>
          </cell>
          <cell r="T485" t="str">
            <v>Výroba keramických izolátorů a izolačního příslušenství</v>
          </cell>
          <cell r="W485" t="str">
            <v>Výroba keramických izolátorů a izolačního příslušenství</v>
          </cell>
          <cell r="Z485" t="str">
            <v>Výroba keramických izolátorů a izolačního příslušenství</v>
          </cell>
        </row>
        <row r="486">
          <cell r="Q486" t="str">
            <v>Výroba ostatních technických keramických výrobků</v>
          </cell>
          <cell r="T486" t="str">
            <v>Výroba ostatních technických keramických výrobků</v>
          </cell>
          <cell r="W486" t="str">
            <v>Výroba ostatních technických keramických výrobků</v>
          </cell>
          <cell r="Z486" t="str">
            <v>Výroba ostatních technických keramických výrobků</v>
          </cell>
        </row>
        <row r="487">
          <cell r="Q487" t="str">
            <v>Výroba ostatních keramických výrobků</v>
          </cell>
          <cell r="T487" t="str">
            <v>Výroba ostatních keramických výrobků</v>
          </cell>
          <cell r="W487" t="str">
            <v>Výroba ostatních keramických výrobků</v>
          </cell>
          <cell r="Z487" t="str">
            <v>Výroba ostatních keramických výrobků</v>
          </cell>
        </row>
        <row r="488">
          <cell r="Q488" t="str">
            <v>Výroba cementu</v>
          </cell>
          <cell r="T488" t="str">
            <v>Výroba cementu</v>
          </cell>
          <cell r="W488" t="str">
            <v>Výroba cementu</v>
          </cell>
          <cell r="Z488" t="str">
            <v>Výroba cementu</v>
          </cell>
        </row>
        <row r="489">
          <cell r="Q489" t="str">
            <v>Výroba vápna a sádry</v>
          </cell>
          <cell r="T489" t="str">
            <v>Výroba vápna a sádry</v>
          </cell>
          <cell r="W489" t="str">
            <v>Výroba vápna a sádry</v>
          </cell>
          <cell r="Z489" t="str">
            <v>Výroba vápna a sádry</v>
          </cell>
        </row>
        <row r="490">
          <cell r="Q490" t="str">
            <v>Výroba betonových výrobků pro stavební účely</v>
          </cell>
          <cell r="T490" t="str">
            <v>Výroba betonových výrobků pro stavební účely</v>
          </cell>
          <cell r="W490" t="str">
            <v>Výroba betonových výrobků pro stavební účely</v>
          </cell>
          <cell r="Z490" t="str">
            <v>Výroba betonových výrobků pro stavební účely</v>
          </cell>
        </row>
        <row r="491">
          <cell r="Q491" t="str">
            <v>Výroba sádrových výrobků pro stavební účely</v>
          </cell>
          <cell r="T491" t="str">
            <v>Výroba sádrových výrobků pro stavební účely</v>
          </cell>
          <cell r="W491" t="str">
            <v>Výroba sádrových výrobků pro stavební účely</v>
          </cell>
          <cell r="Z491" t="str">
            <v>Výroba sádrových výrobků pro stavební účely</v>
          </cell>
        </row>
        <row r="492">
          <cell r="Q492" t="str">
            <v>Výroba betonu připraveného k lití</v>
          </cell>
          <cell r="T492" t="str">
            <v>Výroba betonu připraveného k lití</v>
          </cell>
          <cell r="W492" t="str">
            <v>Výroba betonu připraveného k lití</v>
          </cell>
          <cell r="Z492" t="str">
            <v>Výroba betonu připraveného k lití</v>
          </cell>
        </row>
        <row r="493">
          <cell r="Q493" t="str">
            <v>Výroba malt</v>
          </cell>
          <cell r="T493" t="str">
            <v>Výroba malt</v>
          </cell>
          <cell r="W493" t="str">
            <v>Výroba malt</v>
          </cell>
          <cell r="Z493" t="str">
            <v>Výroba malt</v>
          </cell>
        </row>
        <row r="494">
          <cell r="Q494" t="str">
            <v>Výroba vláknitých cementů</v>
          </cell>
          <cell r="T494" t="str">
            <v>Výroba vláknitých cementů</v>
          </cell>
          <cell r="W494" t="str">
            <v>Výroba vláknitých cementů</v>
          </cell>
          <cell r="Z494" t="str">
            <v>Výroba vláknitých cementů</v>
          </cell>
        </row>
        <row r="495">
          <cell r="Q495" t="str">
            <v>Výroba ostatních betonových, cementových a sádrových výrobků</v>
          </cell>
          <cell r="T495" t="str">
            <v>Výroba ostatních betonových, cementových a sádrových výrobků</v>
          </cell>
          <cell r="W495" t="str">
            <v>Výroba ostatních betonových, cementových a sádrových výrobků</v>
          </cell>
          <cell r="Z495" t="str">
            <v>Výroba ostatních betonových, cementových a sádrových výrobků</v>
          </cell>
        </row>
        <row r="496">
          <cell r="Q496" t="str">
            <v>Výroba brusiv</v>
          </cell>
          <cell r="T496" t="str">
            <v>Výroba brusiv</v>
          </cell>
          <cell r="W496" t="str">
            <v>Výroba brusiv</v>
          </cell>
          <cell r="Z496" t="str">
            <v>Výroba brusiv</v>
          </cell>
        </row>
        <row r="497">
          <cell r="Q497" t="str">
            <v>Výroba ostatních nekovových minerálních výrobků j.n.</v>
          </cell>
          <cell r="T497" t="str">
            <v>Výroba ostatních nekovových minerálních výrobků j.n.</v>
          </cell>
          <cell r="W497" t="str">
            <v>Výroba ostatních nekovových minerálních výrobků j.n.</v>
          </cell>
          <cell r="Z497" t="str">
            <v>Výroba ostatních nekovových minerálních výrobků j.n.</v>
          </cell>
        </row>
        <row r="498">
          <cell r="Q498" t="str">
            <v>Tažení tyčí za studena</v>
          </cell>
          <cell r="T498" t="str">
            <v>Tažení tyčí za studena</v>
          </cell>
          <cell r="W498" t="str">
            <v>Tažení tyčí za studena</v>
          </cell>
          <cell r="Z498" t="str">
            <v>Tažení tyčí za studena</v>
          </cell>
        </row>
        <row r="499">
          <cell r="Q499" t="str">
            <v>Válcování ocelových úzkých pásů za studena</v>
          </cell>
          <cell r="T499" t="str">
            <v>Válcování ocelových úzkých pásů za studena</v>
          </cell>
          <cell r="W499" t="str">
            <v>Válcování ocelových úzkých pásů za studena</v>
          </cell>
          <cell r="Z499" t="str">
            <v>Válcování ocelových úzkých pásů za studena</v>
          </cell>
        </row>
        <row r="500">
          <cell r="Q500" t="str">
            <v>Tváření ocelových profilů za studena</v>
          </cell>
          <cell r="T500" t="str">
            <v>Tváření ocelových profilů za studena</v>
          </cell>
          <cell r="W500" t="str">
            <v>Tváření ocelových profilů za studena</v>
          </cell>
          <cell r="Z500" t="str">
            <v>Tváření ocelových profilů za studena</v>
          </cell>
        </row>
        <row r="501">
          <cell r="Q501" t="str">
            <v>Tažení ocelového drátu za studena</v>
          </cell>
          <cell r="T501" t="str">
            <v>Tažení ocelového drátu za studena</v>
          </cell>
          <cell r="W501" t="str">
            <v>Tažení ocelového drátu za studena</v>
          </cell>
          <cell r="Z501" t="str">
            <v>Tažení ocelového drátu za studena</v>
          </cell>
        </row>
        <row r="502">
          <cell r="Q502" t="str">
            <v>Výroba a hutní zpracování drahých kovů</v>
          </cell>
          <cell r="T502" t="str">
            <v>Výroba a hutní zpracování drahých kovů</v>
          </cell>
          <cell r="W502" t="str">
            <v>Výroba a hutní zpracování drahých kovů</v>
          </cell>
          <cell r="Z502" t="str">
            <v>Výroba a hutní zpracování drahých kovů</v>
          </cell>
        </row>
        <row r="503">
          <cell r="Q503" t="str">
            <v>Výroba a hutní zpracování hliníku</v>
          </cell>
          <cell r="T503" t="str">
            <v>Výroba a hutní zpracování hliníku</v>
          </cell>
          <cell r="W503" t="str">
            <v>Výroba a hutní zpracování hliníku</v>
          </cell>
          <cell r="Z503" t="str">
            <v>Výroba a hutní zpracování hliníku</v>
          </cell>
        </row>
        <row r="504">
          <cell r="Q504" t="str">
            <v>Výroba a hutní zpracování olova, zinku a cínu</v>
          </cell>
          <cell r="T504" t="str">
            <v>Výroba a hutní zpracování olova, zinku a cínu</v>
          </cell>
          <cell r="W504" t="str">
            <v>Výroba a hutní zpracování olova, zinku a cínu</v>
          </cell>
          <cell r="Z504" t="str">
            <v>Výroba a hutní zpracování olova, zinku a cínu</v>
          </cell>
        </row>
        <row r="505">
          <cell r="Q505" t="str">
            <v>Výroba a hutní zpracování mědi</v>
          </cell>
          <cell r="T505" t="str">
            <v>Výroba a hutní zpracování mědi</v>
          </cell>
          <cell r="W505" t="str">
            <v>Výroba a hutní zpracování mědi</v>
          </cell>
          <cell r="Z505" t="str">
            <v>Výroba a hutní zpracování mědi</v>
          </cell>
        </row>
        <row r="506">
          <cell r="Q506" t="str">
            <v>Výroba a hutní zpracování ostatních neželezných kovů</v>
          </cell>
          <cell r="T506" t="str">
            <v>Výroba a hutní zpracování ostatních neželezných kovů</v>
          </cell>
          <cell r="W506" t="str">
            <v>Výroba a hutní zpracování ostatních neželezných kovů</v>
          </cell>
          <cell r="Z506" t="str">
            <v>Výroba a hutní zpracování ostatních neželezných kovů</v>
          </cell>
        </row>
        <row r="507">
          <cell r="Q507" t="str">
            <v>Zpracování jaderného paliva</v>
          </cell>
          <cell r="T507" t="str">
            <v>Zpracování jaderného paliva</v>
          </cell>
          <cell r="W507" t="str">
            <v>Zpracování jaderného paliva</v>
          </cell>
          <cell r="Z507" t="str">
            <v>Zpracování jaderného paliva</v>
          </cell>
        </row>
        <row r="508">
          <cell r="Q508" t="str">
            <v>Výroba odlitků z litiny</v>
          </cell>
          <cell r="T508" t="str">
            <v>Výroba odlitků z litiny</v>
          </cell>
          <cell r="W508" t="str">
            <v>Výroba odlitků z litiny</v>
          </cell>
          <cell r="Z508" t="str">
            <v>Výroba odlitků z litiny</v>
          </cell>
        </row>
        <row r="509">
          <cell r="Q509" t="str">
            <v>Výroba odlitků z oceli</v>
          </cell>
          <cell r="T509" t="str">
            <v>Výroba odlitků z oceli</v>
          </cell>
          <cell r="W509" t="str">
            <v>Výroba odlitků z oceli</v>
          </cell>
          <cell r="Z509" t="str">
            <v>Výroba odlitků z oceli</v>
          </cell>
        </row>
        <row r="510">
          <cell r="Q510" t="str">
            <v>Výroba odlitků z lehkých neželezných kovů</v>
          </cell>
          <cell r="T510" t="str">
            <v>Výroba odlitků z lehkých neželezných kovů</v>
          </cell>
          <cell r="W510" t="str">
            <v>Výroba odlitků z lehkých neželezných kovů</v>
          </cell>
          <cell r="Z510" t="str">
            <v>Výroba odlitků z lehkých neželezných kovů</v>
          </cell>
        </row>
        <row r="511">
          <cell r="Q511" t="str">
            <v>Výroba odlitků z ostatních neželezných kovů</v>
          </cell>
          <cell r="T511" t="str">
            <v>Výroba odlitků z ostatních neželezných kovů</v>
          </cell>
          <cell r="W511" t="str">
            <v>Výroba odlitků z ostatních neželezných kovů</v>
          </cell>
          <cell r="Z511" t="str">
            <v>Výroba odlitků z ostatních neželezných kovů</v>
          </cell>
        </row>
        <row r="512">
          <cell r="Q512" t="str">
            <v>Výroba kovových konstrukcí a jejich dílů</v>
          </cell>
          <cell r="T512" t="str">
            <v>Výroba kovových konstrukcí a jejich dílů</v>
          </cell>
          <cell r="W512" t="str">
            <v>Výroba kovových konstrukcí a jejich dílů</v>
          </cell>
          <cell r="Z512" t="str">
            <v>Výroba kovových konstrukcí a jejich dílů</v>
          </cell>
        </row>
        <row r="513">
          <cell r="Q513" t="str">
            <v>Výroba kovových dveří a oken</v>
          </cell>
          <cell r="T513" t="str">
            <v>Výroba kovových dveří a oken</v>
          </cell>
          <cell r="W513" t="str">
            <v>Výroba kovových dveří a oken</v>
          </cell>
          <cell r="Z513" t="str">
            <v>Výroba kovových dveří a oken</v>
          </cell>
        </row>
        <row r="514">
          <cell r="Q514" t="str">
            <v>Výroba radiátorů a kotlů k ústřednímu topení</v>
          </cell>
          <cell r="T514" t="str">
            <v>Výroba radiátorů a kotlů k ústřednímu topení</v>
          </cell>
          <cell r="W514" t="str">
            <v>Výroba radiátorů a kotlů k ústřednímu topení</v>
          </cell>
          <cell r="Z514" t="str">
            <v>Výroba radiátorů a kotlů k ústřednímu topení</v>
          </cell>
        </row>
        <row r="515">
          <cell r="Q515" t="str">
            <v>Výroba kovových nádrží a zásobníků</v>
          </cell>
          <cell r="T515" t="str">
            <v>Výroba kovových nádrží a zásobníků</v>
          </cell>
          <cell r="W515" t="str">
            <v>Výroba kovových nádrží a zásobníků</v>
          </cell>
          <cell r="Z515" t="str">
            <v>Výroba kovových nádrží a zásobníků</v>
          </cell>
        </row>
        <row r="516">
          <cell r="Q516" t="str">
            <v>Povrchová úprava a zušlechťování kovů</v>
          </cell>
          <cell r="T516" t="str">
            <v>Povrchová úprava a zušlechťování kovů</v>
          </cell>
          <cell r="W516" t="str">
            <v>Povrchová úprava a zušlechťování kovů</v>
          </cell>
          <cell r="Z516" t="str">
            <v>Povrchová úprava a zušlechťování kovů</v>
          </cell>
        </row>
        <row r="517">
          <cell r="Q517" t="str">
            <v>Obrábění</v>
          </cell>
          <cell r="T517" t="str">
            <v>Obrábění</v>
          </cell>
          <cell r="W517" t="str">
            <v>Obrábění</v>
          </cell>
          <cell r="Z517" t="str">
            <v>Obrábění</v>
          </cell>
        </row>
        <row r="518">
          <cell r="Q518" t="str">
            <v>Výroba nožířských výrobků</v>
          </cell>
          <cell r="T518" t="str">
            <v>Výroba nožířských výrobků</v>
          </cell>
          <cell r="W518" t="str">
            <v>Výroba nožířských výrobků</v>
          </cell>
          <cell r="Z518" t="str">
            <v>Výroba nožířských výrobků</v>
          </cell>
        </row>
        <row r="519">
          <cell r="Q519" t="str">
            <v>Výroba zámků a kování</v>
          </cell>
          <cell r="T519" t="str">
            <v>Výroba zámků a kování</v>
          </cell>
          <cell r="W519" t="str">
            <v>Výroba zámků a kování</v>
          </cell>
          <cell r="Z519" t="str">
            <v>Výroba zámků a kování</v>
          </cell>
        </row>
        <row r="520">
          <cell r="Q520" t="str">
            <v>Výroba nástrojů a nářadí</v>
          </cell>
          <cell r="T520" t="str">
            <v>Výroba nástrojů a nářadí</v>
          </cell>
          <cell r="W520" t="str">
            <v>Výroba nástrojů a nářadí</v>
          </cell>
          <cell r="Z520" t="str">
            <v>Výroba nástrojů a nářadí</v>
          </cell>
        </row>
        <row r="521">
          <cell r="Q521" t="str">
            <v>Výroba ocelových sudů a podobných nádob</v>
          </cell>
          <cell r="T521" t="str">
            <v>Výroba ocelových sudů a podobných nádob</v>
          </cell>
          <cell r="W521" t="str">
            <v>Výroba ocelových sudů a podobných nádob</v>
          </cell>
          <cell r="Z521" t="str">
            <v>Výroba ocelových sudů a podobných nádob</v>
          </cell>
        </row>
        <row r="522">
          <cell r="Q522" t="str">
            <v>Výroba drobných kovových obalů</v>
          </cell>
          <cell r="T522" t="str">
            <v>Výroba drobných kovových obalů</v>
          </cell>
          <cell r="W522" t="str">
            <v>Výroba drobných kovových obalů</v>
          </cell>
          <cell r="Z522" t="str">
            <v>Výroba drobných kovových obalů</v>
          </cell>
        </row>
        <row r="523">
          <cell r="Q523" t="str">
            <v>Výroba drátěných výrobků, řetězů a pružin</v>
          </cell>
          <cell r="T523" t="str">
            <v>Výroba drátěných výrobků, řetězů a pružin</v>
          </cell>
          <cell r="W523" t="str">
            <v>Výroba drátěných výrobků, řetězů a pružin</v>
          </cell>
          <cell r="Z523" t="str">
            <v>Výroba drátěných výrobků, řetězů a pružin</v>
          </cell>
        </row>
        <row r="524">
          <cell r="Q524" t="str">
            <v>Výroba spojovacích materiálů a spojovacích výrobků se závity</v>
          </cell>
          <cell r="T524" t="str">
            <v>Výroba spojovacích materiálů a spojovacích výrobků se závity</v>
          </cell>
          <cell r="W524" t="str">
            <v>Výroba spojovacích materiálů a spojovacích výrobků se závity</v>
          </cell>
          <cell r="Z524" t="str">
            <v>Výroba spojovacích materiálů a spojovacích výrobků se závity</v>
          </cell>
        </row>
        <row r="525">
          <cell r="Q525" t="str">
            <v>Výroba ostatních kovodělných výrobků j. n.</v>
          </cell>
          <cell r="T525" t="str">
            <v>Výroba ostatních kovodělných výrobků j. n.</v>
          </cell>
          <cell r="W525" t="str">
            <v>Výroba ostatních kovodělných výrobků j. n.</v>
          </cell>
          <cell r="Z525" t="str">
            <v>Výroba ostatních kovodělných výrobků j. n.</v>
          </cell>
        </row>
        <row r="526">
          <cell r="Q526" t="str">
            <v>Výroba elektronických součástek</v>
          </cell>
          <cell r="T526" t="str">
            <v>Výroba elektronických součástek</v>
          </cell>
          <cell r="W526" t="str">
            <v>Výroba elektronických součástek</v>
          </cell>
          <cell r="Z526" t="str">
            <v>Výroba elektronických součástek</v>
          </cell>
        </row>
        <row r="527">
          <cell r="Q527" t="str">
            <v>Výroba osazených elektronických desek</v>
          </cell>
          <cell r="T527" t="str">
            <v>Výroba osazených elektronických desek</v>
          </cell>
          <cell r="W527" t="str">
            <v>Výroba osazených elektronických desek</v>
          </cell>
          <cell r="Z527" t="str">
            <v>Výroba osazených elektronických desek</v>
          </cell>
        </row>
        <row r="528">
          <cell r="Q528" t="str">
            <v>Výroba měřicích, zkušebních a navigačních přístrojů</v>
          </cell>
          <cell r="T528" t="str">
            <v>Výroba měřicích, zkušebních a navigačních přístrojů</v>
          </cell>
          <cell r="W528" t="str">
            <v>Výroba měřicích, zkušebních a navigačních přístrojů</v>
          </cell>
          <cell r="Z528" t="str">
            <v>Výroba měřicích, zkušebních a navigačních přístrojů</v>
          </cell>
        </row>
        <row r="529">
          <cell r="Q529" t="str">
            <v>Výroba časoměrných přístrojů</v>
          </cell>
          <cell r="T529" t="str">
            <v>Výroba časoměrných přístrojů</v>
          </cell>
          <cell r="W529" t="str">
            <v>Výroba časoměrných přístrojů</v>
          </cell>
          <cell r="Z529" t="str">
            <v>Výroba časoměrných přístrojů</v>
          </cell>
        </row>
        <row r="530">
          <cell r="Q530" t="str">
            <v>Výroba elektrických motorů, generátorů a transformátorů</v>
          </cell>
          <cell r="T530" t="str">
            <v>Výroba elektrických motorů, generátorů a transformátorů</v>
          </cell>
          <cell r="W530" t="str">
            <v>Výroba elektrických motorů, generátorů a transformátorů</v>
          </cell>
          <cell r="Z530" t="str">
            <v>Výroba elektrických motorů, generátorů a transformátorů</v>
          </cell>
        </row>
        <row r="531">
          <cell r="Q531" t="str">
            <v>Výroba elektrických rozvodných a kontrolních zařízení</v>
          </cell>
          <cell r="T531" t="str">
            <v>Výroba elektrických rozvodných a kontrolních zařízení</v>
          </cell>
          <cell r="W531" t="str">
            <v>Výroba elektrických rozvodných a kontrolních zařízení</v>
          </cell>
          <cell r="Z531" t="str">
            <v>Výroba elektrických rozvodných a kontrolních zařízení</v>
          </cell>
        </row>
        <row r="532">
          <cell r="Q532" t="str">
            <v>Výroba optických kabelů</v>
          </cell>
          <cell r="T532" t="str">
            <v>Výroba optických kabelů</v>
          </cell>
          <cell r="W532" t="str">
            <v>Výroba optických kabelů</v>
          </cell>
          <cell r="Z532" t="str">
            <v>Výroba optických kabelů</v>
          </cell>
        </row>
        <row r="533">
          <cell r="Q533" t="str">
            <v>Výroba elektrických vodičů a kabelů j. n.</v>
          </cell>
          <cell r="T533" t="str">
            <v>Výroba elektrických vodičů a kabelů j. n.</v>
          </cell>
          <cell r="W533" t="str">
            <v>Výroba elektrických vodičů a kabelů j. n.</v>
          </cell>
          <cell r="Z533" t="str">
            <v>Výroba elektrických vodičů a kabelů j. n.</v>
          </cell>
        </row>
        <row r="534">
          <cell r="Q534" t="str">
            <v>Výroba elektroinstalačních zařízení</v>
          </cell>
          <cell r="T534" t="str">
            <v>Výroba elektroinstalačních zařízení</v>
          </cell>
          <cell r="W534" t="str">
            <v>Výroba elektroinstalačních zařízení</v>
          </cell>
          <cell r="Z534" t="str">
            <v>Výroba elektroinstalačních zařízení</v>
          </cell>
        </row>
        <row r="535">
          <cell r="Q535" t="str">
            <v>Výroba elektrických spotřebičů převážně pro domácnost</v>
          </cell>
          <cell r="T535" t="str">
            <v>Výroba elektrických spotřebičů převážně pro domácnost</v>
          </cell>
          <cell r="W535" t="str">
            <v>Výroba elektrických spotřebičů převážně pro domácnost</v>
          </cell>
          <cell r="Z535" t="str">
            <v>Výroba elektrických spotřebičů převážně pro domácnost</v>
          </cell>
        </row>
        <row r="536">
          <cell r="Q536" t="str">
            <v>Výroba neelektrických spotřebičů převážně pro domácnost</v>
          </cell>
          <cell r="T536" t="str">
            <v>Výroba neelektrických spotřebičů převážně pro domácnost</v>
          </cell>
          <cell r="W536" t="str">
            <v>Výroba neelektrických spotřebičů převážně pro domácnost</v>
          </cell>
          <cell r="Z536" t="str">
            <v>Výroba neelektrických spotřebičů převážně pro domácnost</v>
          </cell>
        </row>
        <row r="537">
          <cell r="Q537" t="str">
            <v>Výroba motorů a turbín, kromě motorů pro letadla, automobily a motocykly</v>
          </cell>
          <cell r="T537" t="str">
            <v>Výroba motorů a turbín, kromě motorů pro letadla, automobily a motocykly</v>
          </cell>
          <cell r="W537" t="str">
            <v>Výroba motorů a turbín, kromě motorů pro letadla, automobily a motocykly</v>
          </cell>
          <cell r="Z537" t="str">
            <v>Výroba motorů a turbín, kromě motorů pro letadla, automobily a motocykly</v>
          </cell>
        </row>
        <row r="538">
          <cell r="Q538" t="str">
            <v>Výroba hydraulických a pneumatických zařízení</v>
          </cell>
          <cell r="T538" t="str">
            <v>Výroba hydraulických a pneumatických zařízení</v>
          </cell>
          <cell r="W538" t="str">
            <v>Výroba hydraulických a pneumatických zařízení</v>
          </cell>
          <cell r="Z538" t="str">
            <v>Výroba hydraulických a pneumatických zařízení</v>
          </cell>
        </row>
        <row r="539">
          <cell r="Q539" t="str">
            <v>Výroba ostatních čerpadel a kompresorů</v>
          </cell>
          <cell r="T539" t="str">
            <v>Výroba ostatních čerpadel a kompresorů</v>
          </cell>
          <cell r="W539" t="str">
            <v>Výroba ostatních čerpadel a kompresorů</v>
          </cell>
          <cell r="Z539" t="str">
            <v>Výroba ostatních čerpadel a kompresorů</v>
          </cell>
        </row>
        <row r="540">
          <cell r="Q540" t="str">
            <v>Výroba ostatních potrubních armatur</v>
          </cell>
          <cell r="T540" t="str">
            <v>Výroba ostatních potrubních armatur</v>
          </cell>
          <cell r="W540" t="str">
            <v>Výroba ostatních potrubních armatur</v>
          </cell>
          <cell r="Z540" t="str">
            <v>Výroba ostatních potrubních armatur</v>
          </cell>
        </row>
        <row r="541">
          <cell r="Q541" t="str">
            <v>Výroba ložisek, ozubených kol, převodů a hnacích prvků</v>
          </cell>
          <cell r="T541" t="str">
            <v>Výroba ložisek, ozubených kol, převodů a hnacích prvků</v>
          </cell>
          <cell r="W541" t="str">
            <v>Výroba ložisek, ozubených kol, převodů a hnacích prvků</v>
          </cell>
          <cell r="Z541" t="str">
            <v>Výroba ložisek, ozubených kol, převodů a hnacích prvků</v>
          </cell>
        </row>
        <row r="542">
          <cell r="Q542" t="str">
            <v>Výroba pecí a hořáků pro topeniště</v>
          </cell>
          <cell r="T542" t="str">
            <v>Výroba pecí a hořáků pro topeniště</v>
          </cell>
          <cell r="W542" t="str">
            <v>Výroba pecí a hořáků pro topeniště</v>
          </cell>
          <cell r="Z542" t="str">
            <v>Výroba pecí a hořáků pro topeniště</v>
          </cell>
        </row>
        <row r="543">
          <cell r="Q543" t="str">
            <v>Výroba zdvihacích a manipulačních zařízení</v>
          </cell>
          <cell r="T543" t="str">
            <v>Výroba zdvihacích a manipulačních zařízení</v>
          </cell>
          <cell r="W543" t="str">
            <v>Výroba zdvihacích a manipulačních zařízení</v>
          </cell>
          <cell r="Z543" t="str">
            <v>Výroba zdvihacích a manipulačních zařízení</v>
          </cell>
        </row>
        <row r="544">
          <cell r="Q544" t="str">
            <v>Výroba kancelářských strojů a zařízení,kromě počítačů a perif.zařízení</v>
          </cell>
          <cell r="T544" t="str">
            <v>Výroba kancelářských strojů a zařízení,kromě počítačů a perif.zařízení</v>
          </cell>
          <cell r="W544" t="str">
            <v>Výroba kancelářských strojů a zařízení,kromě počítačů a perif.zařízení</v>
          </cell>
          <cell r="Z544" t="str">
            <v>Výroba kancelářských strojů a zařízení,kromě počítačů a perif.zařízení</v>
          </cell>
        </row>
        <row r="545">
          <cell r="Q545" t="str">
            <v>Výroba ručních mechanizovaných nástrojů</v>
          </cell>
          <cell r="T545" t="str">
            <v>Výroba ručních mechanizovaných nástrojů</v>
          </cell>
          <cell r="W545" t="str">
            <v>Výroba ručních mechanizovaných nástrojů</v>
          </cell>
          <cell r="Z545" t="str">
            <v>Výroba ručních mechanizovaných nástrojů</v>
          </cell>
        </row>
        <row r="546">
          <cell r="Q546" t="str">
            <v>Výroba průmyslových chladicích a klimatizačních zařízení</v>
          </cell>
          <cell r="T546" t="str">
            <v>Výroba průmyslových chladicích a klimatizačních zařízení</v>
          </cell>
          <cell r="W546" t="str">
            <v>Výroba průmyslových chladicích a klimatizačních zařízení</v>
          </cell>
          <cell r="Z546" t="str">
            <v>Výroba průmyslových chladicích a klimatizačních zařízení</v>
          </cell>
        </row>
        <row r="547">
          <cell r="Q547" t="str">
            <v>Výroba ostatních strojů a zařízení pro všeobecné účely j. n.</v>
          </cell>
          <cell r="T547" t="str">
            <v>Výroba ostatních strojů a zařízení pro všeobecné účely j. n.</v>
          </cell>
          <cell r="W547" t="str">
            <v>Výroba ostatních strojů a zařízení pro všeobecné účely j. n.</v>
          </cell>
          <cell r="Z547" t="str">
            <v>Výroba ostatních strojů a zařízení pro všeobecné účely j. n.</v>
          </cell>
        </row>
        <row r="548">
          <cell r="Q548" t="str">
            <v>Výroba kovoobráběcích strojů</v>
          </cell>
          <cell r="T548" t="str">
            <v>Výroba kovoobráběcích strojů</v>
          </cell>
          <cell r="W548" t="str">
            <v>Výroba kovoobráběcích strojů</v>
          </cell>
          <cell r="Z548" t="str">
            <v>Výroba kovoobráběcích strojů</v>
          </cell>
        </row>
        <row r="549">
          <cell r="Q549" t="str">
            <v>Výroba ostatních obráběcích strojů</v>
          </cell>
          <cell r="T549" t="str">
            <v>Výroba ostatních obráběcích strojů</v>
          </cell>
          <cell r="W549" t="str">
            <v>Výroba ostatních obráběcích strojů</v>
          </cell>
          <cell r="Z549" t="str">
            <v>Výroba ostatních obráběcích strojů</v>
          </cell>
        </row>
        <row r="550">
          <cell r="Q550" t="str">
            <v>Výroba strojů pro metalurgii</v>
          </cell>
          <cell r="T550" t="str">
            <v>Výroba strojů pro metalurgii</v>
          </cell>
          <cell r="W550" t="str">
            <v>Výroba strojů pro metalurgii</v>
          </cell>
          <cell r="Z550" t="str">
            <v>Výroba strojů pro metalurgii</v>
          </cell>
        </row>
        <row r="551">
          <cell r="Q551" t="str">
            <v>Výroba strojů pro těžbu, dobývání a stavebnictví</v>
          </cell>
          <cell r="T551" t="str">
            <v>Výroba strojů pro těžbu, dobývání a stavebnictví</v>
          </cell>
          <cell r="W551" t="str">
            <v>Výroba strojů pro těžbu, dobývání a stavebnictví</v>
          </cell>
          <cell r="Z551" t="str">
            <v>Výroba strojů pro těžbu, dobývání a stavebnictví</v>
          </cell>
        </row>
        <row r="552">
          <cell r="Q552" t="str">
            <v>Výroba strojů na výrobu potravin, nápojů a zpracování tabáku</v>
          </cell>
          <cell r="T552" t="str">
            <v>Výroba strojů na výrobu potravin, nápojů a zpracování tabáku</v>
          </cell>
          <cell r="W552" t="str">
            <v>Výroba strojů na výrobu potravin, nápojů a zpracování tabáku</v>
          </cell>
          <cell r="Z552" t="str">
            <v>Výroba strojů na výrobu potravin, nápojů a zpracování tabáku</v>
          </cell>
        </row>
        <row r="553">
          <cell r="Q553" t="str">
            <v>Výroba strojů na výrobu textilu, oděvních výrobků a výrobků z usní</v>
          </cell>
          <cell r="T553" t="str">
            <v>Výroba strojů na výrobu textilu, oděvních výrobků a výrobků z usní</v>
          </cell>
          <cell r="W553" t="str">
            <v>Výroba strojů na výrobu textilu, oděvních výrobků a výrobků z usní</v>
          </cell>
          <cell r="Z553" t="str">
            <v>Výroba strojů na výrobu textilu, oděvních výrobků a výrobků z usní</v>
          </cell>
        </row>
        <row r="554">
          <cell r="Q554" t="str">
            <v>Výroba strojů a přístrojů na výrobu papíru a lepenky</v>
          </cell>
          <cell r="T554" t="str">
            <v>Výroba strojů a přístrojů na výrobu papíru a lepenky</v>
          </cell>
          <cell r="W554" t="str">
            <v>Výroba strojů a přístrojů na výrobu papíru a lepenky</v>
          </cell>
          <cell r="Z554" t="str">
            <v>Výroba strojů a přístrojů na výrobu papíru a lepenky</v>
          </cell>
        </row>
        <row r="555">
          <cell r="Q555" t="str">
            <v>Výroba strojů na výrobu plastů a pryže</v>
          </cell>
          <cell r="T555" t="str">
            <v>Výroba strojů na výrobu plastů a pryže</v>
          </cell>
          <cell r="W555" t="str">
            <v>Výroba strojů na výrobu plastů a pryže</v>
          </cell>
          <cell r="Z555" t="str">
            <v>Výroba strojů na výrobu plastů a pryže</v>
          </cell>
        </row>
        <row r="556">
          <cell r="Q556" t="str">
            <v>Výroba ostatních strojů pro speciální účely j. n.</v>
          </cell>
          <cell r="T556" t="str">
            <v>Výroba ostatních strojů pro speciální účely j. n.</v>
          </cell>
          <cell r="W556" t="str">
            <v>Výroba ostatních strojů pro speciální účely j. n.</v>
          </cell>
          <cell r="Z556" t="str">
            <v>Výroba ostatních strojů pro speciální účely j. n.</v>
          </cell>
        </row>
        <row r="557">
          <cell r="Q557" t="str">
            <v>Výroba elektrického a elektronického zařízení pro motorová vozidla</v>
          </cell>
          <cell r="T557" t="str">
            <v>Výroba elektrického a elektronického zařízení pro motorová vozidla</v>
          </cell>
          <cell r="W557" t="str">
            <v>Výroba elektrického a elektronického zařízení pro motorová vozidla</v>
          </cell>
          <cell r="Z557" t="str">
            <v>Výroba elektrického a elektronického zařízení pro motorová vozidla</v>
          </cell>
        </row>
        <row r="558">
          <cell r="Q558" t="str">
            <v>Výroba ostatních dílů a příslušenství pro motorová vozidla</v>
          </cell>
          <cell r="T558" t="str">
            <v>Výroba ostatních dílů a příslušenství pro motorová vozidla</v>
          </cell>
          <cell r="W558" t="str">
            <v>Výroba ostatních dílů a příslušenství pro motorová vozidla</v>
          </cell>
          <cell r="Z558" t="str">
            <v>Výroba ostatních dílů a příslušenství pro motorová vozidla</v>
          </cell>
        </row>
        <row r="559">
          <cell r="Q559" t="str">
            <v>Stavba lodí a plavidel</v>
          </cell>
          <cell r="T559" t="str">
            <v>Stavba lodí a plavidel</v>
          </cell>
          <cell r="W559" t="str">
            <v>Stavba lodí a plavidel</v>
          </cell>
          <cell r="Z559" t="str">
            <v>Stavba lodí a plavidel</v>
          </cell>
        </row>
        <row r="560">
          <cell r="Q560" t="str">
            <v>Stavba rekreačních a sportovních člunů</v>
          </cell>
          <cell r="T560" t="str">
            <v>Stavba rekreačních a sportovních člunů</v>
          </cell>
          <cell r="W560" t="str">
            <v>Stavba rekreačních a sportovních člunů</v>
          </cell>
          <cell r="Z560" t="str">
            <v>Stavba rekreačních a sportovních člunů</v>
          </cell>
        </row>
        <row r="561">
          <cell r="Q561" t="str">
            <v>Výroba motocyklů</v>
          </cell>
          <cell r="T561" t="str">
            <v>Výroba motocyklů</v>
          </cell>
          <cell r="W561" t="str">
            <v>Výroba motocyklů</v>
          </cell>
          <cell r="Z561" t="str">
            <v>Výroba motocyklů</v>
          </cell>
        </row>
        <row r="562">
          <cell r="Q562" t="str">
            <v>Výroba jízdních kol a vozíků pro invalidy</v>
          </cell>
          <cell r="T562" t="str">
            <v>Výroba jízdních kol a vozíků pro invalidy</v>
          </cell>
          <cell r="W562" t="str">
            <v>Výroba jízdních kol a vozíků pro invalidy</v>
          </cell>
          <cell r="Z562" t="str">
            <v>Výroba jízdních kol a vozíků pro invalidy</v>
          </cell>
        </row>
        <row r="563">
          <cell r="Q563" t="str">
            <v>Výroba ostatních dopravních prostředků a zařízení j. n.</v>
          </cell>
          <cell r="T563" t="str">
            <v>Výroba ostatních dopravních prostředků a zařízení j. n.</v>
          </cell>
          <cell r="W563" t="str">
            <v>Výroba ostatních dopravních prostředků a zařízení j. n.</v>
          </cell>
          <cell r="Z563" t="str">
            <v>Výroba ostatních dopravních prostředků a zařízení j. n.</v>
          </cell>
        </row>
        <row r="564">
          <cell r="Q564" t="str">
            <v>Výroba kancelářského nábytku a zařízení obchodů</v>
          </cell>
          <cell r="T564" t="str">
            <v>Výroba kancelářského nábytku a zařízení obchodů</v>
          </cell>
          <cell r="W564" t="str">
            <v>Výroba kancelářského nábytku a zařízení obchodů</v>
          </cell>
          <cell r="Z564" t="str">
            <v>Výroba kancelářského nábytku a zařízení obchodů</v>
          </cell>
        </row>
        <row r="565">
          <cell r="Q565" t="str">
            <v>Výroba kuchyňského nábytku</v>
          </cell>
          <cell r="T565" t="str">
            <v>Výroba kuchyňského nábytku</v>
          </cell>
          <cell r="W565" t="str">
            <v>Výroba kuchyňského nábytku</v>
          </cell>
          <cell r="Z565" t="str">
            <v>Výroba kuchyňského nábytku</v>
          </cell>
        </row>
        <row r="566">
          <cell r="Q566" t="str">
            <v>Výroba matrací</v>
          </cell>
          <cell r="T566" t="str">
            <v>Výroba matrací</v>
          </cell>
          <cell r="W566" t="str">
            <v>Výroba matrací</v>
          </cell>
          <cell r="Z566" t="str">
            <v>Výroba matrací</v>
          </cell>
        </row>
        <row r="567">
          <cell r="Q567" t="str">
            <v>Výroba ostatního nábytku</v>
          </cell>
          <cell r="T567" t="str">
            <v>Výroba ostatního nábytku</v>
          </cell>
          <cell r="W567" t="str">
            <v>Výroba ostatního nábytku</v>
          </cell>
          <cell r="Z567" t="str">
            <v>Výroba ostatního nábytku</v>
          </cell>
        </row>
        <row r="568">
          <cell r="Q568" t="str">
            <v>Ražení mincí</v>
          </cell>
          <cell r="T568" t="str">
            <v>Ražení mincí</v>
          </cell>
          <cell r="W568" t="str">
            <v>Ražení mincí</v>
          </cell>
          <cell r="Z568" t="str">
            <v>Ražení mincí</v>
          </cell>
        </row>
        <row r="569">
          <cell r="Q569" t="str">
            <v>Výroba klenotů a příbuzných výrobků</v>
          </cell>
          <cell r="T569" t="str">
            <v>Výroba klenotů a příbuzných výrobků</v>
          </cell>
          <cell r="W569" t="str">
            <v>Výroba klenotů a příbuzných výrobků</v>
          </cell>
          <cell r="Z569" t="str">
            <v>Výroba klenotů a příbuzných výrobků</v>
          </cell>
        </row>
        <row r="570">
          <cell r="Q570" t="str">
            <v>Výroba bižuterie a příbuzných výrobků</v>
          </cell>
          <cell r="T570" t="str">
            <v>Výroba bižuterie a příbuzných výrobků</v>
          </cell>
          <cell r="W570" t="str">
            <v>Výroba bižuterie a příbuzných výrobků</v>
          </cell>
          <cell r="Z570" t="str">
            <v>Výroba bižuterie a příbuzných výrobků</v>
          </cell>
        </row>
        <row r="571">
          <cell r="Q571" t="str">
            <v>Výroba košťat a kartáčnických výrobků</v>
          </cell>
          <cell r="T571" t="str">
            <v>Výroba košťat a kartáčnických výrobků</v>
          </cell>
          <cell r="W571" t="str">
            <v>Výroba košťat a kartáčnických výrobků</v>
          </cell>
          <cell r="Z571" t="str">
            <v>Výroba košťat a kartáčnických výrobků</v>
          </cell>
        </row>
        <row r="572">
          <cell r="Q572" t="str">
            <v>Ostatní zpracovatelský průmysl j. n.</v>
          </cell>
          <cell r="T572" t="str">
            <v>Ostatní zpracovatelský průmysl j. n.</v>
          </cell>
          <cell r="W572" t="str">
            <v>Ostatní zpracovatelský průmysl j. n.</v>
          </cell>
          <cell r="Z572" t="str">
            <v>Ostatní zpracovatelský průmysl j. n.</v>
          </cell>
        </row>
        <row r="573">
          <cell r="Q573" t="str">
            <v>Opravy kovodělných výrobků</v>
          </cell>
          <cell r="T573" t="str">
            <v>Opravy kovodělných výrobků</v>
          </cell>
          <cell r="W573" t="str">
            <v>Opravy kovodělných výrobků</v>
          </cell>
          <cell r="Z573" t="str">
            <v>Opravy kovodělných výrobků</v>
          </cell>
        </row>
        <row r="574">
          <cell r="Q574" t="str">
            <v>Opravy strojů</v>
          </cell>
          <cell r="T574" t="str">
            <v>Opravy strojů</v>
          </cell>
          <cell r="W574" t="str">
            <v>Opravy strojů</v>
          </cell>
          <cell r="Z574" t="str">
            <v>Opravy strojů</v>
          </cell>
        </row>
        <row r="575">
          <cell r="Q575" t="str">
            <v>Opravy elektronických a optických přístrojů a zařízení</v>
          </cell>
          <cell r="T575" t="str">
            <v>Opravy elektronických a optických přístrojů a zařízení</v>
          </cell>
          <cell r="W575" t="str">
            <v>Opravy elektronických a optických přístrojů a zařízení</v>
          </cell>
          <cell r="Z575" t="str">
            <v>Opravy elektronických a optických přístrojů a zařízení</v>
          </cell>
        </row>
        <row r="576">
          <cell r="Q576" t="str">
            <v>Opravy elektrických zařízen</v>
          </cell>
          <cell r="T576" t="str">
            <v>Opravy elektrických zařízen</v>
          </cell>
          <cell r="W576" t="str">
            <v>Opravy elektrických zařízen</v>
          </cell>
          <cell r="Z576" t="str">
            <v>Opravy elektrických zařízen</v>
          </cell>
        </row>
        <row r="577">
          <cell r="Q577" t="str">
            <v>Opravy a údržba lodí a člunů</v>
          </cell>
          <cell r="T577" t="str">
            <v>Opravy a údržba lodí a člunů</v>
          </cell>
          <cell r="W577" t="str">
            <v>Opravy a údržba lodí a člunů</v>
          </cell>
          <cell r="Z577" t="str">
            <v>Opravy a údržba lodí a člunů</v>
          </cell>
        </row>
        <row r="578">
          <cell r="Q578" t="str">
            <v>Opravy a údržba letadel a kosmických lodí</v>
          </cell>
          <cell r="T578" t="str">
            <v>Opravy a údržba letadel a kosmických lodí</v>
          </cell>
          <cell r="W578" t="str">
            <v>Opravy a údržba letadel a kosmických lodí</v>
          </cell>
          <cell r="Z578" t="str">
            <v>Opravy a údržba letadel a kosmických lodí</v>
          </cell>
        </row>
        <row r="579">
          <cell r="Q579" t="str">
            <v>Opravy a údržba ostatních dopravních prostředků a zařízení j. n.</v>
          </cell>
          <cell r="T579" t="str">
            <v>Opravy a údržba ostatních dopravních prostředků a zařízení j. n.</v>
          </cell>
          <cell r="W579" t="str">
            <v>Opravy a údržba ostatních dopravních prostředků a zařízení j. n.</v>
          </cell>
          <cell r="Z579" t="str">
            <v>Opravy a údržba ostatních dopravních prostředků a zařízení j. n.</v>
          </cell>
        </row>
        <row r="580">
          <cell r="Q580" t="str">
            <v>Opravy ostatních zařízení</v>
          </cell>
          <cell r="T580" t="str">
            <v>Opravy ostatních zařízení</v>
          </cell>
          <cell r="W580" t="str">
            <v>Opravy ostatních zařízení</v>
          </cell>
          <cell r="Z580" t="str">
            <v>Opravy ostatních zařízení</v>
          </cell>
        </row>
        <row r="581">
          <cell r="Q581" t="str">
            <v>Výroba elektřiny</v>
          </cell>
          <cell r="T581" t="str">
            <v>Výroba elektřiny</v>
          </cell>
          <cell r="W581" t="str">
            <v>Výroba elektřiny</v>
          </cell>
          <cell r="Z581" t="str">
            <v>Výroba elektřiny</v>
          </cell>
        </row>
        <row r="582">
          <cell r="Q582" t="str">
            <v>Přenos elektřiny</v>
          </cell>
          <cell r="T582" t="str">
            <v>Přenos elektřiny</v>
          </cell>
          <cell r="W582" t="str">
            <v>Přenos elektřiny</v>
          </cell>
          <cell r="Z582" t="str">
            <v>Přenos elektřiny</v>
          </cell>
        </row>
        <row r="583">
          <cell r="Q583" t="str">
            <v>Rozvod elektřiny</v>
          </cell>
          <cell r="T583" t="str">
            <v>Rozvod elektřiny</v>
          </cell>
          <cell r="W583" t="str">
            <v>Rozvod elektřiny</v>
          </cell>
          <cell r="Z583" t="str">
            <v>Rozvod elektřiny</v>
          </cell>
        </row>
        <row r="584">
          <cell r="Q584" t="str">
            <v>Obchod s elektřinou</v>
          </cell>
          <cell r="T584" t="str">
            <v>Obchod s elektřinou</v>
          </cell>
          <cell r="W584" t="str">
            <v>Obchod s elektřinou</v>
          </cell>
          <cell r="Z584" t="str">
            <v>Obchod s elektřinou</v>
          </cell>
        </row>
        <row r="585">
          <cell r="Q585" t="str">
            <v>Výroba plynu</v>
          </cell>
          <cell r="T585" t="str">
            <v>Výroba plynu</v>
          </cell>
          <cell r="W585" t="str">
            <v>Výroba plynu</v>
          </cell>
          <cell r="Z585" t="str">
            <v>Výroba plynu</v>
          </cell>
        </row>
        <row r="586">
          <cell r="Q586" t="str">
            <v>Rozvod plynných paliv prostřednictvím sítí</v>
          </cell>
          <cell r="T586" t="str">
            <v>Rozvod plynných paliv prostřednictvím sítí</v>
          </cell>
          <cell r="W586" t="str">
            <v>Rozvod plynných paliv prostřednictvím sítí</v>
          </cell>
          <cell r="Z586" t="str">
            <v>Rozvod plynných paliv prostřednictvím sítí</v>
          </cell>
        </row>
        <row r="587">
          <cell r="Q587" t="str">
            <v>Obchod s plynem prostřednictvím sítí</v>
          </cell>
          <cell r="T587" t="str">
            <v>Obchod s plynem prostřednictvím sítí</v>
          </cell>
          <cell r="W587" t="str">
            <v>Obchod s plynem prostřednictvím sítí</v>
          </cell>
          <cell r="Z587" t="str">
            <v>Obchod s plynem prostřednictvím sítí</v>
          </cell>
        </row>
        <row r="588">
          <cell r="Q588" t="str">
            <v>Shromažďování a sběr odpadů, kromě nebezpečných</v>
          </cell>
          <cell r="T588" t="str">
            <v>Shromažďování a sběr odpadů, kromě nebezpečných</v>
          </cell>
          <cell r="W588" t="str">
            <v>Shromažďování a sběr odpadů, kromě nebezpečných</v>
          </cell>
          <cell r="Z588" t="str">
            <v>Shromažďování a sběr odpadů, kromě nebezpečných</v>
          </cell>
        </row>
        <row r="589">
          <cell r="Q589" t="str">
            <v>Shromažďování a sběr nebezpečných odpadů</v>
          </cell>
          <cell r="T589" t="str">
            <v>Shromažďování a sběr nebezpečných odpadů</v>
          </cell>
          <cell r="W589" t="str">
            <v>Shromažďování a sběr nebezpečných odpadů</v>
          </cell>
          <cell r="Z589" t="str">
            <v>Shromažďování a sběr nebezpečných odpadů</v>
          </cell>
        </row>
        <row r="590">
          <cell r="Q590" t="str">
            <v>Odstraňování odpadů, kromě nebezpečných</v>
          </cell>
          <cell r="T590" t="str">
            <v>Odstraňování odpadů, kromě nebezpečných</v>
          </cell>
          <cell r="W590" t="str">
            <v>Odstraňování odpadů, kromě nebezpečných</v>
          </cell>
          <cell r="Z590" t="str">
            <v>Odstraňování odpadů, kromě nebezpečných</v>
          </cell>
        </row>
        <row r="591">
          <cell r="Q591" t="str">
            <v>Odstraňování nebezpečných odpadů</v>
          </cell>
          <cell r="T591" t="str">
            <v>Odstraňování nebezpečných odpadů</v>
          </cell>
          <cell r="W591" t="str">
            <v>Odstraňování nebezpečných odpadů</v>
          </cell>
          <cell r="Z591" t="str">
            <v>Odstraňování nebezpečných odpadů</v>
          </cell>
        </row>
        <row r="592">
          <cell r="Q592" t="str">
            <v>Demontáž vraků a vyřazených strojů a zařízení pro účely recyklace</v>
          </cell>
          <cell r="T592" t="str">
            <v>Demontáž vraků a vyřazených strojů a zařízení pro účely recyklace</v>
          </cell>
          <cell r="W592" t="str">
            <v>Demontáž vraků a vyřazených strojů a zařízení pro účely recyklace</v>
          </cell>
          <cell r="Z592" t="str">
            <v>Demontáž vraků a vyřazených strojů a zařízení pro účely recyklace</v>
          </cell>
        </row>
        <row r="593">
          <cell r="Q593" t="str">
            <v>Úprava odpadů k dalšímu využití,kromě demontáže vraků,strojů a zařízení</v>
          </cell>
          <cell r="T593" t="str">
            <v>Úprava odpadů k dalšímu využití,kromě demontáže vraků,strojů a zařízení</v>
          </cell>
          <cell r="W593" t="str">
            <v>Úprava odpadů k dalšímu využití,kromě demontáže vraků,strojů a zařízení</v>
          </cell>
          <cell r="Z593" t="str">
            <v>Úprava odpadů k dalšímu využití,kromě demontáže vraků,strojů a zařízení</v>
          </cell>
        </row>
        <row r="594">
          <cell r="Q594" t="str">
            <v>Výstavba bytových budov</v>
          </cell>
          <cell r="T594" t="str">
            <v>Výstavba bytových budov</v>
          </cell>
          <cell r="W594" t="str">
            <v>Výstavba bytových budov</v>
          </cell>
          <cell r="Z594" t="str">
            <v>Výstavba bytových budov</v>
          </cell>
        </row>
        <row r="595">
          <cell r="Q595" t="str">
            <v>Výstavba silnic a dálnic</v>
          </cell>
          <cell r="T595" t="str">
            <v>Výstavba silnic a dálnic</v>
          </cell>
          <cell r="W595" t="str">
            <v>Výstavba silnic a dálnic</v>
          </cell>
          <cell r="Z595" t="str">
            <v>Výstavba silnic a dálnic</v>
          </cell>
        </row>
        <row r="596">
          <cell r="Q596" t="str">
            <v>Výstavba železnic a podzemních drah</v>
          </cell>
          <cell r="T596" t="str">
            <v>Výstavba železnic a podzemních drah</v>
          </cell>
          <cell r="W596" t="str">
            <v>Výstavba železnic a podzemních drah</v>
          </cell>
          <cell r="Z596" t="str">
            <v>Výstavba železnic a podzemních drah</v>
          </cell>
        </row>
        <row r="597">
          <cell r="Q597" t="str">
            <v>Výstavba mostů a tunelů</v>
          </cell>
          <cell r="T597" t="str">
            <v>Výstavba mostů a tunelů</v>
          </cell>
          <cell r="W597" t="str">
            <v>Výstavba mostů a tunelů</v>
          </cell>
          <cell r="Z597" t="str">
            <v>Výstavba mostů a tunelů</v>
          </cell>
        </row>
        <row r="598">
          <cell r="Q598" t="str">
            <v>Výstavba inženýrských sítí pro kapaliny a plyny</v>
          </cell>
          <cell r="T598" t="str">
            <v>Výstavba inženýrských sítí pro kapaliny a plyny</v>
          </cell>
          <cell r="W598" t="str">
            <v>Výstavba inženýrských sítí pro kapaliny a plyny</v>
          </cell>
          <cell r="Z598" t="str">
            <v>Výstavba inženýrských sítí pro kapaliny a plyny</v>
          </cell>
        </row>
        <row r="599">
          <cell r="Q599" t="str">
            <v>Výstavba inženýrských sítí pro elektřinu a telekomunikace</v>
          </cell>
          <cell r="T599" t="str">
            <v>Výstavba inženýrských sítí pro elektřinu a telekomunikace</v>
          </cell>
          <cell r="W599" t="str">
            <v>Výstavba inženýrských sítí pro elektřinu a telekomunikace</v>
          </cell>
          <cell r="Z599" t="str">
            <v>Výstavba inženýrských sítí pro elektřinu a telekomunikace</v>
          </cell>
        </row>
        <row r="600">
          <cell r="Q600" t="str">
            <v>Výstavba vodních děl</v>
          </cell>
          <cell r="T600" t="str">
            <v>Výstavba vodních děl</v>
          </cell>
          <cell r="W600" t="str">
            <v>Výstavba vodních děl</v>
          </cell>
          <cell r="Z600" t="str">
            <v>Výstavba vodních děl</v>
          </cell>
        </row>
        <row r="601">
          <cell r="Q601" t="str">
            <v>Výstavba ostatních staveb j. n.</v>
          </cell>
          <cell r="T601" t="str">
            <v>Výstavba ostatních staveb j. n.</v>
          </cell>
          <cell r="W601" t="str">
            <v>Výstavba ostatních staveb j. n.</v>
          </cell>
          <cell r="Z601" t="str">
            <v>Výstavba ostatních staveb j. n.</v>
          </cell>
        </row>
        <row r="602">
          <cell r="Q602" t="str">
            <v>Demolice</v>
          </cell>
          <cell r="T602" t="str">
            <v>Demolice</v>
          </cell>
          <cell r="W602" t="str">
            <v>Demolice</v>
          </cell>
          <cell r="Z602" t="str">
            <v>Demolice</v>
          </cell>
        </row>
        <row r="603">
          <cell r="Q603" t="str">
            <v>Příprava staveniště</v>
          </cell>
          <cell r="T603" t="str">
            <v>Příprava staveniště</v>
          </cell>
          <cell r="W603" t="str">
            <v>Příprava staveniště</v>
          </cell>
          <cell r="Z603" t="str">
            <v>Příprava staveniště</v>
          </cell>
        </row>
        <row r="604">
          <cell r="Q604" t="str">
            <v>Průzkumné vrtné práce</v>
          </cell>
          <cell r="T604" t="str">
            <v>Průzkumné vrtné práce</v>
          </cell>
          <cell r="W604" t="str">
            <v>Průzkumné vrtné práce</v>
          </cell>
          <cell r="Z604" t="str">
            <v>Průzkumné vrtné práce</v>
          </cell>
        </row>
        <row r="605">
          <cell r="Q605" t="str">
            <v>Elektrické instalace</v>
          </cell>
          <cell r="T605" t="str">
            <v>Elektrické instalace</v>
          </cell>
          <cell r="W605" t="str">
            <v>Elektrické instalace</v>
          </cell>
          <cell r="Z605" t="str">
            <v>Elektrické instalace</v>
          </cell>
        </row>
        <row r="606">
          <cell r="Q606" t="str">
            <v>Instalace vody, odpadu, plynu, topení a klimatizace</v>
          </cell>
          <cell r="T606" t="str">
            <v>Instalace vody, odpadu, plynu, topení a klimatizace</v>
          </cell>
          <cell r="W606" t="str">
            <v>Instalace vody, odpadu, plynu, topení a klimatizace</v>
          </cell>
          <cell r="Z606" t="str">
            <v>Instalace vody, odpadu, plynu, topení a klimatizace</v>
          </cell>
        </row>
        <row r="607">
          <cell r="Q607" t="str">
            <v>Ostatní stavební instalace</v>
          </cell>
          <cell r="T607" t="str">
            <v>Ostatní stavební instalace</v>
          </cell>
          <cell r="W607" t="str">
            <v>Ostatní stavební instalace</v>
          </cell>
          <cell r="Z607" t="str">
            <v>Ostatní stavební instalace</v>
          </cell>
        </row>
        <row r="608">
          <cell r="Q608" t="str">
            <v>Omítkářské práce</v>
          </cell>
          <cell r="T608" t="str">
            <v>Omítkářské práce</v>
          </cell>
          <cell r="W608" t="str">
            <v>Omítkářské práce</v>
          </cell>
          <cell r="Z608" t="str">
            <v>Omítkářské práce</v>
          </cell>
        </row>
        <row r="609">
          <cell r="Q609" t="str">
            <v>Truhlářské práce</v>
          </cell>
          <cell r="T609" t="str">
            <v>Truhlářské práce</v>
          </cell>
          <cell r="W609" t="str">
            <v>Truhlářské práce</v>
          </cell>
          <cell r="Z609" t="str">
            <v>Truhlářské práce</v>
          </cell>
        </row>
        <row r="610">
          <cell r="Q610" t="str">
            <v>Obkládání stěn a pokládání podlahových krytin</v>
          </cell>
          <cell r="T610" t="str">
            <v>Obkládání stěn a pokládání podlahových krytin</v>
          </cell>
          <cell r="W610" t="str">
            <v>Obkládání stěn a pokládání podlahových krytin</v>
          </cell>
          <cell r="Z610" t="str">
            <v>Obkládání stěn a pokládání podlahových krytin</v>
          </cell>
        </row>
        <row r="611">
          <cell r="Q611" t="str">
            <v>Sklenářské, malířské a natěračské práce</v>
          </cell>
          <cell r="T611" t="str">
            <v>Sklenářské, malířské a natěračské práce</v>
          </cell>
          <cell r="W611" t="str">
            <v>Sklenářské, malířské a natěračské práce</v>
          </cell>
          <cell r="Z611" t="str">
            <v>Sklenářské, malířské a natěračské práce</v>
          </cell>
        </row>
        <row r="612">
          <cell r="Q612" t="str">
            <v>Ostatní kompletační a dokončovací práce</v>
          </cell>
          <cell r="T612" t="str">
            <v>Ostatní kompletační a dokončovací práce</v>
          </cell>
          <cell r="W612" t="str">
            <v>Ostatní kompletační a dokončovací práce</v>
          </cell>
          <cell r="Z612" t="str">
            <v>Ostatní kompletační a dokončovací práce</v>
          </cell>
        </row>
        <row r="613">
          <cell r="Q613" t="str">
            <v>Pokrývačské práce</v>
          </cell>
          <cell r="T613" t="str">
            <v>Pokrývačské práce</v>
          </cell>
          <cell r="W613" t="str">
            <v>Pokrývačské práce</v>
          </cell>
          <cell r="Z613" t="str">
            <v>Pokrývačské práce</v>
          </cell>
        </row>
        <row r="614">
          <cell r="Q614" t="str">
            <v>Ostatní specializované stavební činnosti j. n.</v>
          </cell>
          <cell r="T614" t="str">
            <v>Ostatní specializované stavební činnosti j. n.</v>
          </cell>
          <cell r="W614" t="str">
            <v>Ostatní specializované stavební činnosti j. n.</v>
          </cell>
          <cell r="Z614" t="str">
            <v>Ostatní specializované stavební činnosti j. n.</v>
          </cell>
        </row>
        <row r="615">
          <cell r="Q615" t="str">
            <v>Obchod s automobily a jinými lehkými motorovými vozidly</v>
          </cell>
          <cell r="T615" t="str">
            <v>Obchod s automobily a jinými lehkými motorovými vozidly</v>
          </cell>
          <cell r="W615" t="str">
            <v>Obchod s automobily a jinými lehkými motorovými vozidly</v>
          </cell>
          <cell r="Z615" t="str">
            <v>Obchod s automobily a jinými lehkými motorovými vozidly</v>
          </cell>
        </row>
        <row r="616">
          <cell r="Q616" t="str">
            <v>Obchod s ostatními motorovými vozidly, kromě motocyklů</v>
          </cell>
          <cell r="T616" t="str">
            <v>Obchod s ostatními motorovými vozidly, kromě motocyklů</v>
          </cell>
          <cell r="W616" t="str">
            <v>Obchod s ostatními motorovými vozidly, kromě motocyklů</v>
          </cell>
          <cell r="Z616" t="str">
            <v>Obchod s ostatními motorovými vozidly, kromě motocyklů</v>
          </cell>
        </row>
        <row r="617">
          <cell r="Q617" t="str">
            <v>Velkoobchod s díly a příslušenstvím pro motorová vozidla,kromě motocyklů</v>
          </cell>
          <cell r="T617" t="str">
            <v>Velkoobchod s díly a příslušenstvím pro motorová vozidla,kromě motocyklů</v>
          </cell>
          <cell r="W617" t="str">
            <v>Velkoobchod s díly a příslušenstvím pro motorová vozidla,kromě motocyklů</v>
          </cell>
          <cell r="Z617" t="str">
            <v>Velkoobchod s díly a příslušenstvím pro motorová vozidla,kromě motocyklů</v>
          </cell>
        </row>
        <row r="618">
          <cell r="Q618" t="str">
            <v>Maloobchod s díly a příslušenstvím pro motorová vozidla,kromě motocyklů</v>
          </cell>
          <cell r="T618" t="str">
            <v>Maloobchod s díly a příslušenstvím pro motorová vozidla,kromě motocyklů</v>
          </cell>
          <cell r="W618" t="str">
            <v>Maloobchod s díly a příslušenstvím pro motorová vozidla,kromě motocyklů</v>
          </cell>
          <cell r="Z618" t="str">
            <v>Maloobchod s díly a příslušenstvím pro motorová vozidla,kromě motocyklů</v>
          </cell>
        </row>
        <row r="619">
          <cell r="Q619" t="str">
            <v>Zprostř.velkoob.a velkoob.v zast.se zákl.zem.pr.,živými zv.,text.sur.a pol.</v>
          </cell>
          <cell r="T619" t="str">
            <v>Zprostř.velkoob.a velkoob.v zast.se zákl.zem.pr.,živými zv.,text.sur.a pol.</v>
          </cell>
          <cell r="W619" t="str">
            <v>Zprostř.velkoob.a velkoob.v zast.se zákl.zem.pr.,živými zv.,text.sur.a pol.</v>
          </cell>
          <cell r="Z619" t="str">
            <v>Zprostř.velkoob.a velkoob.v zast.se zákl.zem.pr.,živými zv.,text.sur.a pol.</v>
          </cell>
        </row>
        <row r="620">
          <cell r="Q620" t="str">
            <v>Zprostř.velkoob.a velkoob.v zast.s palivy,rudami,kovy a prům.chemikáliemi</v>
          </cell>
          <cell r="T620" t="str">
            <v>Zprostř.velkoob.a velkoob.v zast.s palivy,rudami,kovy a prům.chemikáliemi</v>
          </cell>
          <cell r="W620" t="str">
            <v>Zprostř.velkoob.a velkoob.v zast.s palivy,rudami,kovy a prům.chemikáliemi</v>
          </cell>
          <cell r="Z620" t="str">
            <v>Zprostř.velkoob.a velkoob.v zast.s palivy,rudami,kovy a prům.chemikáliemi</v>
          </cell>
        </row>
        <row r="621">
          <cell r="Q621" t="str">
            <v>Zprostř.velkoobchodu a velkoobchod v zast.se dřevem a staveb.materiály</v>
          </cell>
          <cell r="T621" t="str">
            <v>Zprostř.velkoobchodu a velkoobchod v zast.se dřevem a staveb.materiály</v>
          </cell>
          <cell r="W621" t="str">
            <v>Zprostř.velkoobchodu a velkoobchod v zast.se dřevem a staveb.materiály</v>
          </cell>
          <cell r="Z621" t="str">
            <v>Zprostř.velkoobchodu a velkoobchod v zast.se dřevem a staveb.materiály</v>
          </cell>
        </row>
        <row r="622">
          <cell r="Q622" t="str">
            <v>Zprostř.velkoobchodu a velkoob.v zast.se stroji,prům.zař.,loděmi a letadly</v>
          </cell>
          <cell r="T622" t="str">
            <v>Zprostř.velkoobchodu a velkoob.v zast.se stroji,prům.zař.,loděmi a letadly</v>
          </cell>
          <cell r="W622" t="str">
            <v>Zprostř.velkoobchodu a velkoob.v zast.se stroji,prům.zař.,loděmi a letadly</v>
          </cell>
          <cell r="Z622" t="str">
            <v>Zprostř.velkoobchodu a velkoob.v zast.se stroji,prům.zař.,loděmi a letadly</v>
          </cell>
        </row>
        <row r="623">
          <cell r="Q623" t="str">
            <v>Zprostř.velkoob.a velkoob.v zast.s náb.,želez.zbožím a potř.převáž.pro dom.</v>
          </cell>
          <cell r="T623" t="str">
            <v>Zprostř.velkoob.a velkoob.v zast.s náb.,želez.zbožím a potř.převáž.pro dom.</v>
          </cell>
          <cell r="W623" t="str">
            <v>Zprostř.velkoob.a velkoob.v zast.s náb.,želez.zbožím a potř.převáž.pro dom.</v>
          </cell>
          <cell r="Z623" t="str">
            <v>Zprostř.velkoob.a velkoob.v zast.s náb.,želez.zbožím a potř.převáž.pro dom.</v>
          </cell>
        </row>
        <row r="624">
          <cell r="Q624" t="str">
            <v>Zprostř.velkoob.a velkoob.v zast.s text.,oděvy,kožešinami,obuví a kož.výr.</v>
          </cell>
          <cell r="T624" t="str">
            <v>Zprostř.velkoob.a velkoob.v zast.s text.,oděvy,kožešinami,obuví a kož.výr.</v>
          </cell>
          <cell r="W624" t="str">
            <v>Zprostř.velkoob.a velkoob.v zast.s text.,oděvy,kožešinami,obuví a kož.výr.</v>
          </cell>
          <cell r="Z624" t="str">
            <v>Zprostř.velkoob.a velkoob.v zast.s text.,oděvy,kožešinami,obuví a kož.výr.</v>
          </cell>
        </row>
        <row r="625">
          <cell r="Q625" t="str">
            <v>Zprostř.velkoob.a velkoob.v zast.s potr.,nápoji,tabákem a tabák.výrobky</v>
          </cell>
          <cell r="T625" t="str">
            <v>Zprostř.velkoob.a velkoob.v zast.s potr.,nápoji,tabákem a tabák.výrobky</v>
          </cell>
          <cell r="W625" t="str">
            <v>Zprostř.velkoob.a velkoob.v zast.s potr.,nápoji,tabákem a tabák.výrobky</v>
          </cell>
          <cell r="Z625" t="str">
            <v>Zprostř.velkoob.a velkoob.v zast.s potr.,nápoji,tabákem a tabák.výrobky</v>
          </cell>
        </row>
        <row r="626">
          <cell r="Q626" t="str">
            <v>Zprostř.specializ.velkoob.a specializ.velkoob.v zast.s ost.výrobky</v>
          </cell>
          <cell r="T626" t="str">
            <v>Zprostř.specializ.velkoob.a specializ.velkoob.v zast.s ost.výrobky</v>
          </cell>
          <cell r="W626" t="str">
            <v>Zprostř.specializ.velkoob.a specializ.velkoob.v zast.s ost.výrobky</v>
          </cell>
          <cell r="Z626" t="str">
            <v>Zprostř.specializ.velkoob.a specializ.velkoob.v zast.s ost.výrobky</v>
          </cell>
        </row>
        <row r="627">
          <cell r="Q627" t="str">
            <v>Zprostř.nespecializ.velkoobchodu a nespecializ.velkoobchod v zast.</v>
          </cell>
          <cell r="T627" t="str">
            <v>Zprostř.nespecializ.velkoobchodu a nespecializ.velkoobchod v zast.</v>
          </cell>
          <cell r="W627" t="str">
            <v>Zprostř.nespecializ.velkoobchodu a nespecializ.velkoobchod v zast.</v>
          </cell>
          <cell r="Z627" t="str">
            <v>Zprostř.nespecializ.velkoobchodu a nespecializ.velkoobchod v zast.</v>
          </cell>
        </row>
        <row r="628">
          <cell r="Q628" t="str">
            <v>Velkoobchod s obilím, surovým tabákem, osivy a krmivy</v>
          </cell>
          <cell r="T628" t="str">
            <v>Velkoobchod s obilím, surovým tabákem, osivy a krmivy</v>
          </cell>
          <cell r="W628" t="str">
            <v>Velkoobchod s obilím, surovým tabákem, osivy a krmivy</v>
          </cell>
          <cell r="Z628" t="str">
            <v>Velkoobchod s obilím, surovým tabákem, osivy a krmivy</v>
          </cell>
        </row>
        <row r="629">
          <cell r="Q629" t="str">
            <v>Velkoobchod s květinami a jinými rostlinami</v>
          </cell>
          <cell r="T629" t="str">
            <v>Velkoobchod s květinami a jinými rostlinami</v>
          </cell>
          <cell r="W629" t="str">
            <v>Velkoobchod s květinami a jinými rostlinami</v>
          </cell>
          <cell r="Z629" t="str">
            <v>Velkoobchod s květinami a jinými rostlinami</v>
          </cell>
        </row>
        <row r="630">
          <cell r="Q630" t="str">
            <v>Velkoobchod s živými zvířaty</v>
          </cell>
          <cell r="T630" t="str">
            <v>Velkoobchod s živými zvířaty</v>
          </cell>
          <cell r="W630" t="str">
            <v>Velkoobchod s živými zvířaty</v>
          </cell>
          <cell r="Z630" t="str">
            <v>Velkoobchod s živými zvířaty</v>
          </cell>
        </row>
        <row r="631">
          <cell r="Q631" t="str">
            <v>Velkoobchod se surovými kůžemi, kožešinami a usněmi</v>
          </cell>
          <cell r="T631" t="str">
            <v>Velkoobchod se surovými kůžemi, kožešinami a usněmi</v>
          </cell>
          <cell r="W631" t="str">
            <v>Velkoobchod se surovými kůžemi, kožešinami a usněmi</v>
          </cell>
          <cell r="Z631" t="str">
            <v>Velkoobchod se surovými kůžemi, kožešinami a usněmi</v>
          </cell>
        </row>
        <row r="632">
          <cell r="Q632" t="str">
            <v>Velkoobchod s ovocem a zeleninou</v>
          </cell>
          <cell r="T632" t="str">
            <v>Velkoobchod s ovocem a zeleninou</v>
          </cell>
          <cell r="W632" t="str">
            <v>Velkoobchod s ovocem a zeleninou</v>
          </cell>
          <cell r="Z632" t="str">
            <v>Velkoobchod s ovocem a zeleninou</v>
          </cell>
        </row>
        <row r="633">
          <cell r="Q633" t="str">
            <v>Velkoobchod s masem a masnými výrobky</v>
          </cell>
          <cell r="T633" t="str">
            <v>Velkoobchod s masem a masnými výrobky</v>
          </cell>
          <cell r="W633" t="str">
            <v>Velkoobchod s masem a masnými výrobky</v>
          </cell>
          <cell r="Z633" t="str">
            <v>Velkoobchod s masem a masnými výrobky</v>
          </cell>
        </row>
        <row r="634">
          <cell r="Q634" t="str">
            <v>Velkoobchod s mléčnými výrobky, vejci, jedlými oleji a tuky</v>
          </cell>
          <cell r="T634" t="str">
            <v>Velkoobchod s mléčnými výrobky, vejci, jedlými oleji a tuky</v>
          </cell>
          <cell r="W634" t="str">
            <v>Velkoobchod s mléčnými výrobky, vejci, jedlými oleji a tuky</v>
          </cell>
          <cell r="Z634" t="str">
            <v>Velkoobchod s mléčnými výrobky, vejci, jedlými oleji a tuky</v>
          </cell>
        </row>
        <row r="635">
          <cell r="Q635" t="str">
            <v>Velkoobchod s nápoji</v>
          </cell>
          <cell r="T635" t="str">
            <v>Velkoobchod s nápoji</v>
          </cell>
          <cell r="W635" t="str">
            <v>Velkoobchod s nápoji</v>
          </cell>
          <cell r="Z635" t="str">
            <v>Velkoobchod s nápoji</v>
          </cell>
        </row>
        <row r="636">
          <cell r="Q636" t="str">
            <v>Velkoobchod s tabákovými výrobky</v>
          </cell>
          <cell r="T636" t="str">
            <v>Velkoobchod s tabákovými výrobky</v>
          </cell>
          <cell r="W636" t="str">
            <v>Velkoobchod s tabákovými výrobky</v>
          </cell>
          <cell r="Z636" t="str">
            <v>Velkoobchod s tabákovými výrobky</v>
          </cell>
        </row>
        <row r="637">
          <cell r="Q637" t="str">
            <v>Velkoobchod s cukrem, čokoládou a cukrovinkami</v>
          </cell>
          <cell r="T637" t="str">
            <v>Velkoobchod s cukrem, čokoládou a cukrovinkami</v>
          </cell>
          <cell r="W637" t="str">
            <v>Velkoobchod s cukrem, čokoládou a cukrovinkami</v>
          </cell>
          <cell r="Z637" t="str">
            <v>Velkoobchod s cukrem, čokoládou a cukrovinkami</v>
          </cell>
        </row>
        <row r="638">
          <cell r="Q638" t="str">
            <v>Velkoobchod s kávou, čajem, kakaem a kořením</v>
          </cell>
          <cell r="T638" t="str">
            <v>Velkoobchod s kávou, čajem, kakaem a kořením</v>
          </cell>
          <cell r="W638" t="str">
            <v>Velkoobchod s kávou, čajem, kakaem a kořením</v>
          </cell>
          <cell r="Z638" t="str">
            <v>Velkoobchod s kávou, čajem, kakaem a kořením</v>
          </cell>
        </row>
        <row r="639">
          <cell r="Q639" t="str">
            <v>Specializ.velkoobchod s jinými potravinami,včetně ryb,korýšů a měkkýšů</v>
          </cell>
          <cell r="T639" t="str">
            <v>Specializ.velkoobchod s jinými potravinami,včetně ryb,korýšů a měkkýšů</v>
          </cell>
          <cell r="W639" t="str">
            <v>Specializ.velkoobchod s jinými potravinami,včetně ryb,korýšů a měkkýšů</v>
          </cell>
          <cell r="Z639" t="str">
            <v>Specializ.velkoobchod s jinými potravinami,včetně ryb,korýšů a měkkýšů</v>
          </cell>
        </row>
        <row r="640">
          <cell r="Q640" t="str">
            <v>Nespecializovaný velkoobchod s potravinami,nápoji a tabákovými výroby</v>
          </cell>
          <cell r="T640" t="str">
            <v>Nespecializovaný velkoobchod s potravinami,nápoji a tabákovými výroby</v>
          </cell>
          <cell r="W640" t="str">
            <v>Nespecializovaný velkoobchod s potravinami,nápoji a tabákovými výroby</v>
          </cell>
          <cell r="Z640" t="str">
            <v>Nespecializovaný velkoobchod s potravinami,nápoji a tabákovými výroby</v>
          </cell>
        </row>
        <row r="641">
          <cell r="Q641" t="str">
            <v>Velkoobchod s textilem</v>
          </cell>
          <cell r="T641" t="str">
            <v>Velkoobchod s textilem</v>
          </cell>
          <cell r="W641" t="str">
            <v>Velkoobchod s textilem</v>
          </cell>
          <cell r="Z641" t="str">
            <v>Velkoobchod s textilem</v>
          </cell>
        </row>
        <row r="642">
          <cell r="Q642" t="str">
            <v>Velkoobchod s oděvy a obuví</v>
          </cell>
          <cell r="T642" t="str">
            <v>Velkoobchod s oděvy a obuví</v>
          </cell>
          <cell r="W642" t="str">
            <v>Velkoobchod s oděvy a obuví</v>
          </cell>
          <cell r="Z642" t="str">
            <v>Velkoobchod s oděvy a obuví</v>
          </cell>
        </row>
        <row r="643">
          <cell r="Q643" t="str">
            <v>Velkoobchod s elektrospotřebiči a elektronikou</v>
          </cell>
          <cell r="T643" t="str">
            <v>Velkoobchod s elektrospotřebiči a elektronikou</v>
          </cell>
          <cell r="W643" t="str">
            <v>Velkoobchod s elektrospotřebiči a elektronikou</v>
          </cell>
          <cell r="Z643" t="str">
            <v>Velkoobchod s elektrospotřebiči a elektronikou</v>
          </cell>
        </row>
        <row r="644">
          <cell r="Q644" t="str">
            <v>Velkoobchod s porcelán.,keram.a skleněnými výrobky a čisticími prostř.</v>
          </cell>
          <cell r="T644" t="str">
            <v>Velkoobchod s porcelán.,keram.a skleněnými výrobky a čisticími prostř.</v>
          </cell>
          <cell r="W644" t="str">
            <v>Velkoobchod s porcelán.,keram.a skleněnými výrobky a čisticími prostř.</v>
          </cell>
          <cell r="Z644" t="str">
            <v>Velkoobchod s porcelán.,keram.a skleněnými výrobky a čisticími prostř.</v>
          </cell>
        </row>
        <row r="645">
          <cell r="Q645" t="str">
            <v>Velkoobchod s kosmetickými výrobky</v>
          </cell>
          <cell r="T645" t="str">
            <v>Velkoobchod s kosmetickými výrobky</v>
          </cell>
          <cell r="W645" t="str">
            <v>Velkoobchod s kosmetickými výrobky</v>
          </cell>
          <cell r="Z645" t="str">
            <v>Velkoobchod s kosmetickými výrobky</v>
          </cell>
        </row>
        <row r="646">
          <cell r="Q646" t="str">
            <v>Velkoobchod s farmaceutickými výrobky</v>
          </cell>
          <cell r="T646" t="str">
            <v>Velkoobchod s farmaceutickými výrobky</v>
          </cell>
          <cell r="W646" t="str">
            <v>Velkoobchod s farmaceutickými výrobky</v>
          </cell>
          <cell r="Z646" t="str">
            <v>Velkoobchod s farmaceutickými výrobky</v>
          </cell>
        </row>
        <row r="647">
          <cell r="Q647" t="str">
            <v>Velkoobchod s nábytkem, koberci a svítidly</v>
          </cell>
          <cell r="T647" t="str">
            <v>Velkoobchod s nábytkem, koberci a svítidly</v>
          </cell>
          <cell r="W647" t="str">
            <v>Velkoobchod s nábytkem, koberci a svítidly</v>
          </cell>
          <cell r="Z647" t="str">
            <v>Velkoobchod s nábytkem, koberci a svítidly</v>
          </cell>
        </row>
        <row r="648">
          <cell r="Q648" t="str">
            <v>Velkoobchod s hodinami, hodinkami a klenoty</v>
          </cell>
          <cell r="T648" t="str">
            <v>Velkoobchod s hodinami, hodinkami a klenoty</v>
          </cell>
          <cell r="W648" t="str">
            <v>Velkoobchod s hodinami, hodinkami a klenoty</v>
          </cell>
          <cell r="Z648" t="str">
            <v>Velkoobchod s hodinami, hodinkami a klenoty</v>
          </cell>
        </row>
        <row r="649">
          <cell r="Q649" t="str">
            <v>Velkoobchod s ostatními výrobky převážně pro domácnost</v>
          </cell>
          <cell r="T649" t="str">
            <v>Velkoobchod s ostatními výrobky převážně pro domácnost</v>
          </cell>
          <cell r="W649" t="str">
            <v>Velkoobchod s ostatními výrobky převážně pro domácnost</v>
          </cell>
          <cell r="Z649" t="str">
            <v>Velkoobchod s ostatními výrobky převážně pro domácnost</v>
          </cell>
        </row>
        <row r="650">
          <cell r="Q650" t="str">
            <v>Velkoobchod s počítači, počítačovým periferním zařízením a softwarem</v>
          </cell>
          <cell r="T650" t="str">
            <v>Velkoobchod s počítači, počítačovým periferním zařízením a softwarem</v>
          </cell>
          <cell r="W650" t="str">
            <v>Velkoobchod s počítači, počítačovým periferním zařízením a softwarem</v>
          </cell>
          <cell r="Z650" t="str">
            <v>Velkoobchod s počítači, počítačovým periferním zařízením a softwarem</v>
          </cell>
        </row>
        <row r="651">
          <cell r="Q651" t="str">
            <v>Velkoobchod s elektronickým a telekomunikačním zařízením a jeho díly</v>
          </cell>
          <cell r="T651" t="str">
            <v>Velkoobchod s elektronickým a telekomunikačním zařízením a jeho díly</v>
          </cell>
          <cell r="W651" t="str">
            <v>Velkoobchod s elektronickým a telekomunikačním zařízením a jeho díly</v>
          </cell>
          <cell r="Z651" t="str">
            <v>Velkoobchod s elektronickým a telekomunikačním zařízením a jeho díly</v>
          </cell>
        </row>
        <row r="652">
          <cell r="Q652" t="str">
            <v>Velkoobchod se zemědělskými stroji, strojním zařízením a příslušenstvím</v>
          </cell>
          <cell r="T652" t="str">
            <v>Velkoobchod se zemědělskými stroji, strojním zařízením a příslušenstvím</v>
          </cell>
          <cell r="W652" t="str">
            <v>Velkoobchod se zemědělskými stroji, strojním zařízením a příslušenstvím</v>
          </cell>
          <cell r="Z652" t="str">
            <v>Velkoobchod se zemědělskými stroji, strojním zařízením a příslušenstvím</v>
          </cell>
        </row>
        <row r="653">
          <cell r="Q653" t="str">
            <v>Velkoobchod s obráběcími stroji</v>
          </cell>
          <cell r="T653" t="str">
            <v>Velkoobchod s obráběcími stroji</v>
          </cell>
          <cell r="W653" t="str">
            <v>Velkoobchod s obráběcími stroji</v>
          </cell>
          <cell r="Z653" t="str">
            <v>Velkoobchod s obráběcími stroji</v>
          </cell>
        </row>
        <row r="654">
          <cell r="Q654" t="str">
            <v>Velkoobchod s těžebními a stavebními stroji a zařízením</v>
          </cell>
          <cell r="T654" t="str">
            <v>Velkoobchod s těžebními a stavebními stroji a zařízením</v>
          </cell>
          <cell r="W654" t="str">
            <v>Velkoobchod s těžebními a stavebními stroji a zařízením</v>
          </cell>
          <cell r="Z654" t="str">
            <v>Velkoobchod s těžebními a stavebními stroji a zařízením</v>
          </cell>
        </row>
        <row r="655">
          <cell r="Q655" t="str">
            <v>Velkoobchod se strojním zařízením pro text.průmysl,šicími a plet.stroji</v>
          </cell>
          <cell r="T655" t="str">
            <v>Velkoobchod se strojním zařízením pro text.průmysl,šicími a plet.stroji</v>
          </cell>
          <cell r="W655" t="str">
            <v>Velkoobchod se strojním zařízením pro text.průmysl,šicími a plet.stroji</v>
          </cell>
          <cell r="Z655" t="str">
            <v>Velkoobchod se strojním zařízením pro text.průmysl,šicími a plet.stroji</v>
          </cell>
        </row>
        <row r="656">
          <cell r="Q656" t="str">
            <v>Velkoobchod s kancelářským nábytkem</v>
          </cell>
          <cell r="T656" t="str">
            <v>Velkoobchod s kancelářským nábytkem</v>
          </cell>
          <cell r="W656" t="str">
            <v>Velkoobchod s kancelářským nábytkem</v>
          </cell>
          <cell r="Z656" t="str">
            <v>Velkoobchod s kancelářským nábytkem</v>
          </cell>
        </row>
        <row r="657">
          <cell r="Q657" t="str">
            <v>Velkoobchod s ostatními kancelářskými stroji a zařízením</v>
          </cell>
          <cell r="T657" t="str">
            <v>Velkoobchod s ostatními kancelářskými stroji a zařízením</v>
          </cell>
          <cell r="W657" t="str">
            <v>Velkoobchod s ostatními kancelářskými stroji a zařízením</v>
          </cell>
          <cell r="Z657" t="str">
            <v>Velkoobchod s ostatními kancelářskými stroji a zařízením</v>
          </cell>
        </row>
        <row r="658">
          <cell r="Q658" t="str">
            <v>Velkoobchod s ostatními stroji a zařízením</v>
          </cell>
          <cell r="T658" t="str">
            <v>Velkoobchod s ostatními stroji a zařízením</v>
          </cell>
          <cell r="W658" t="str">
            <v>Velkoobchod s ostatními stroji a zařízením</v>
          </cell>
          <cell r="Z658" t="str">
            <v>Velkoobchod s ostatními stroji a zařízením</v>
          </cell>
        </row>
        <row r="659">
          <cell r="Q659" t="str">
            <v>Velkoobchod s pevnými, kapalnými a plynnými palivy a příbuznými výrobky</v>
          </cell>
          <cell r="T659" t="str">
            <v>Velkoobchod s pevnými, kapalnými a plynnými palivy a příbuznými výrobky</v>
          </cell>
          <cell r="W659" t="str">
            <v>Velkoobchod s pevnými, kapalnými a plynnými palivy a příbuznými výrobky</v>
          </cell>
          <cell r="Z659" t="str">
            <v>Velkoobchod s pevnými, kapalnými a plynnými palivy a příbuznými výrobky</v>
          </cell>
        </row>
        <row r="660">
          <cell r="Q660" t="str">
            <v>Velkoobchod s rudami, kovy a hutními výrobky</v>
          </cell>
          <cell r="T660" t="str">
            <v>Velkoobchod s rudami, kovy a hutními výrobky</v>
          </cell>
          <cell r="W660" t="str">
            <v>Velkoobchod s rudami, kovy a hutními výrobky</v>
          </cell>
          <cell r="Z660" t="str">
            <v>Velkoobchod s rudami, kovy a hutními výrobky</v>
          </cell>
        </row>
        <row r="661">
          <cell r="Q661" t="str">
            <v>Velkoobchod se dřevem, stavebními materiály a sanitárním vybavením</v>
          </cell>
          <cell r="T661" t="str">
            <v>Velkoobchod se dřevem, stavebními materiály a sanitárním vybavením</v>
          </cell>
          <cell r="W661" t="str">
            <v>Velkoobchod se dřevem, stavebními materiály a sanitárním vybavením</v>
          </cell>
          <cell r="Z661" t="str">
            <v>Velkoobchod se dřevem, stavebními materiály a sanitárním vybavením</v>
          </cell>
        </row>
        <row r="662">
          <cell r="Q662" t="str">
            <v>Velkoobchod s železářským zbožím,instalatér.a topenářskými potřebami</v>
          </cell>
          <cell r="T662" t="str">
            <v>Velkoobchod s železářským zbožím,instalatér.a topenářskými potřebami</v>
          </cell>
          <cell r="W662" t="str">
            <v>Velkoobchod s železářským zbožím,instalatér.a topenářskými potřebami</v>
          </cell>
          <cell r="Z662" t="str">
            <v>Velkoobchod s železářským zbožím,instalatér.a topenářskými potřebami</v>
          </cell>
        </row>
        <row r="663">
          <cell r="Q663" t="str">
            <v>Velkoobchod s chemickými výrobky</v>
          </cell>
          <cell r="T663" t="str">
            <v>Velkoobchod s chemickými výrobky</v>
          </cell>
          <cell r="W663" t="str">
            <v>Velkoobchod s chemickými výrobky</v>
          </cell>
          <cell r="Z663" t="str">
            <v>Velkoobchod s chemickými výrobky</v>
          </cell>
        </row>
        <row r="664">
          <cell r="Q664" t="str">
            <v>Velkoobchod s ostatními meziprodukty</v>
          </cell>
          <cell r="T664" t="str">
            <v>Velkoobchod s ostatními meziprodukty</v>
          </cell>
          <cell r="W664" t="str">
            <v>Velkoobchod s ostatními meziprodukty</v>
          </cell>
          <cell r="Z664" t="str">
            <v>Velkoobchod s ostatními meziprodukty</v>
          </cell>
        </row>
        <row r="665">
          <cell r="Q665" t="str">
            <v>Velkoobchod s odpadem a šrotem</v>
          </cell>
          <cell r="T665" t="str">
            <v>Velkoobchod s odpadem a šrotem</v>
          </cell>
          <cell r="W665" t="str">
            <v>Velkoobchod s odpadem a šrotem</v>
          </cell>
          <cell r="Z665" t="str">
            <v>Velkoobchod s odpadem a šrotem</v>
          </cell>
        </row>
        <row r="666">
          <cell r="Q666" t="str">
            <v>Maloobchod s převahou potravin,nápojů a tabák.výrobků v nespecializ.prod.</v>
          </cell>
          <cell r="T666" t="str">
            <v>Maloobchod s převahou potravin,nápojů a tabák.výrobků v nespecializ.prod.</v>
          </cell>
          <cell r="W666" t="str">
            <v>Maloobchod s převahou potravin,nápojů a tabák.výrobků v nespecializ.prod.</v>
          </cell>
          <cell r="Z666" t="str">
            <v>Maloobchod s převahou potravin,nápojů a tabák.výrobků v nespecializ.prod.</v>
          </cell>
        </row>
        <row r="667">
          <cell r="Q667" t="str">
            <v>Ostatní maloobchod v nespecializovaných prodejnách</v>
          </cell>
          <cell r="T667" t="str">
            <v>Ostatní maloobchod v nespecializovaných prodejnách</v>
          </cell>
          <cell r="W667" t="str">
            <v>Ostatní maloobchod v nespecializovaných prodejnách</v>
          </cell>
          <cell r="Z667" t="str">
            <v>Ostatní maloobchod v nespecializovaných prodejnách</v>
          </cell>
        </row>
        <row r="668">
          <cell r="Q668" t="str">
            <v>Maloobchod s ovocem a zeleninou</v>
          </cell>
          <cell r="T668" t="str">
            <v>Maloobchod s ovocem a zeleninou</v>
          </cell>
          <cell r="W668" t="str">
            <v>Maloobchod s ovocem a zeleninou</v>
          </cell>
          <cell r="Z668" t="str">
            <v>Maloobchod s ovocem a zeleninou</v>
          </cell>
        </row>
        <row r="669">
          <cell r="Q669" t="str">
            <v>Maloobchod s masem a masnými výrobky</v>
          </cell>
          <cell r="T669" t="str">
            <v>Maloobchod s masem a masnými výrobky</v>
          </cell>
          <cell r="W669" t="str">
            <v>Maloobchod s masem a masnými výrobky</v>
          </cell>
          <cell r="Z669" t="str">
            <v>Maloobchod s masem a masnými výrobky</v>
          </cell>
        </row>
        <row r="670">
          <cell r="Q670" t="str">
            <v>Maloobchod s rybami, korýši a měkkýši</v>
          </cell>
          <cell r="T670" t="str">
            <v>Maloobchod s rybami, korýši a měkkýši</v>
          </cell>
          <cell r="W670" t="str">
            <v>Maloobchod s rybami, korýši a měkkýši</v>
          </cell>
          <cell r="Z670" t="str">
            <v>Maloobchod s rybami, korýši a měkkýši</v>
          </cell>
        </row>
        <row r="671">
          <cell r="Q671" t="str">
            <v>Maloobchod s chlebem, pečivem, cukrářskými výrobky a cukrovinkami</v>
          </cell>
          <cell r="T671" t="str">
            <v>Maloobchod s chlebem, pečivem, cukrářskými výrobky a cukrovinkami</v>
          </cell>
          <cell r="W671" t="str">
            <v>Maloobchod s chlebem, pečivem, cukrářskými výrobky a cukrovinkami</v>
          </cell>
          <cell r="Z671" t="str">
            <v>Maloobchod s chlebem, pečivem, cukrářskými výrobky a cukrovinkami</v>
          </cell>
        </row>
        <row r="672">
          <cell r="Q672" t="str">
            <v>Maloobchod s nápoji</v>
          </cell>
          <cell r="T672" t="str">
            <v>Maloobchod s nápoji</v>
          </cell>
          <cell r="W672" t="str">
            <v>Maloobchod s nápoji</v>
          </cell>
          <cell r="Z672" t="str">
            <v>Maloobchod s nápoji</v>
          </cell>
        </row>
        <row r="673">
          <cell r="Q673" t="str">
            <v>Maloobchod s tabákovými výrobky</v>
          </cell>
          <cell r="T673" t="str">
            <v>Maloobchod s tabákovými výrobky</v>
          </cell>
          <cell r="W673" t="str">
            <v>Maloobchod s tabákovými výrobky</v>
          </cell>
          <cell r="Z673" t="str">
            <v>Maloobchod s tabákovými výrobky</v>
          </cell>
        </row>
        <row r="674">
          <cell r="Q674" t="str">
            <v>Ostatní maloobchod s potravinami ve specializovaných prodejnách</v>
          </cell>
          <cell r="T674" t="str">
            <v>Ostatní maloobchod s potravinami ve specializovaných prodejnách</v>
          </cell>
          <cell r="W674" t="str">
            <v>Ostatní maloobchod s potravinami ve specializovaných prodejnách</v>
          </cell>
          <cell r="Z674" t="str">
            <v>Ostatní maloobchod s potravinami ve specializovaných prodejnách</v>
          </cell>
        </row>
        <row r="675">
          <cell r="Q675" t="str">
            <v>Maloobchod s počítači, počítačovým periferním zařízením a softwarem</v>
          </cell>
          <cell r="T675" t="str">
            <v>Maloobchod s počítači, počítačovým periferním zařízením a softwarem</v>
          </cell>
          <cell r="W675" t="str">
            <v>Maloobchod s počítači, počítačovým periferním zařízením a softwarem</v>
          </cell>
          <cell r="Z675" t="str">
            <v>Maloobchod s počítači, počítačovým periferním zařízením a softwarem</v>
          </cell>
        </row>
        <row r="676">
          <cell r="Q676" t="str">
            <v>Maloobchod s telekomunikačním zařízením</v>
          </cell>
          <cell r="T676" t="str">
            <v>Maloobchod s telekomunikačním zařízením</v>
          </cell>
          <cell r="W676" t="str">
            <v>Maloobchod s telekomunikačním zařízením</v>
          </cell>
          <cell r="Z676" t="str">
            <v>Maloobchod s telekomunikačním zařízením</v>
          </cell>
        </row>
        <row r="677">
          <cell r="Q677" t="str">
            <v>Maloobchod s audio- a videozařízením</v>
          </cell>
          <cell r="T677" t="str">
            <v>Maloobchod s audio- a videozařízením</v>
          </cell>
          <cell r="W677" t="str">
            <v>Maloobchod s audio- a videozařízením</v>
          </cell>
          <cell r="Z677" t="str">
            <v>Maloobchod s audio- a videozařízením</v>
          </cell>
        </row>
        <row r="678">
          <cell r="Q678" t="str">
            <v>Maloobchod s textilem</v>
          </cell>
          <cell r="T678" t="str">
            <v>Maloobchod s textilem</v>
          </cell>
          <cell r="W678" t="str">
            <v>Maloobchod s textilem</v>
          </cell>
          <cell r="Z678" t="str">
            <v>Maloobchod s textilem</v>
          </cell>
        </row>
        <row r="679">
          <cell r="Q679" t="str">
            <v>Maloobchod s železářským zbožím, barvami, sklem a potřebami pro kutily</v>
          </cell>
          <cell r="T679" t="str">
            <v>Maloobchod s železářským zbožím, barvami, sklem a potřebami pro kutily</v>
          </cell>
          <cell r="W679" t="str">
            <v>Maloobchod s železářským zbožím, barvami, sklem a potřebami pro kutily</v>
          </cell>
          <cell r="Z679" t="str">
            <v>Maloobchod s železářským zbožím, barvami, sklem a potřebami pro kutily</v>
          </cell>
        </row>
        <row r="680">
          <cell r="Q680" t="str">
            <v>Maloobchod s koberci, podlahovými krytinami a nástěnnými obklady</v>
          </cell>
          <cell r="T680" t="str">
            <v>Maloobchod s koberci, podlahovými krytinami a nástěnnými obklady</v>
          </cell>
          <cell r="W680" t="str">
            <v>Maloobchod s koberci, podlahovými krytinami a nástěnnými obklady</v>
          </cell>
          <cell r="Z680" t="str">
            <v>Maloobchod s koberci, podlahovými krytinami a nástěnnými obklady</v>
          </cell>
        </row>
        <row r="681">
          <cell r="Q681" t="str">
            <v>Maloobchod s elektrospotřebiči a elektronikou</v>
          </cell>
          <cell r="T681" t="str">
            <v>Maloobchod s elektrospotřebiči a elektronikou</v>
          </cell>
          <cell r="W681" t="str">
            <v>Maloobchod s elektrospotřebiči a elektronikou</v>
          </cell>
          <cell r="Z681" t="str">
            <v>Maloobchod s elektrospotřebiči a elektronikou</v>
          </cell>
        </row>
        <row r="682">
          <cell r="Q682" t="str">
            <v>Maloobchod s nábytkem,svítidly a ost.výr.přev.pro dom.ve specializ.prod.</v>
          </cell>
          <cell r="T682" t="str">
            <v>Maloobchod s nábytkem,svítidly a ost.výr.přev.pro dom.ve specializ.prod.</v>
          </cell>
          <cell r="W682" t="str">
            <v>Maloobchod s nábytkem,svítidly a ost.výr.přev.pro dom.ve specializ.prod.</v>
          </cell>
          <cell r="Z682" t="str">
            <v>Maloobchod s nábytkem,svítidly a ost.výr.přev.pro dom.ve specializ.prod.</v>
          </cell>
        </row>
        <row r="683">
          <cell r="Q683" t="str">
            <v>Maloobchod s knihami</v>
          </cell>
          <cell r="T683" t="str">
            <v>Maloobchod s knihami</v>
          </cell>
          <cell r="W683" t="str">
            <v>Maloobchod s knihami</v>
          </cell>
          <cell r="Z683" t="str">
            <v>Maloobchod s knihami</v>
          </cell>
        </row>
        <row r="684">
          <cell r="Q684" t="str">
            <v>Maloobchod s novinami, časopisy a papírnickým zbožím</v>
          </cell>
          <cell r="T684" t="str">
            <v>Maloobchod s novinami, časopisy a papírnickým zbožím</v>
          </cell>
          <cell r="W684" t="str">
            <v>Maloobchod s novinami, časopisy a papírnickým zbožím</v>
          </cell>
          <cell r="Z684" t="str">
            <v>Maloobchod s novinami, časopisy a papírnickým zbožím</v>
          </cell>
        </row>
        <row r="685">
          <cell r="Q685" t="str">
            <v>Maloobchod s audio- a videozáznamy</v>
          </cell>
          <cell r="T685" t="str">
            <v>Maloobchod s audio- a videozáznamy</v>
          </cell>
          <cell r="W685" t="str">
            <v>Maloobchod s audio- a videozáznamy</v>
          </cell>
          <cell r="Z685" t="str">
            <v>Maloobchod s audio- a videozáznamy</v>
          </cell>
        </row>
        <row r="686">
          <cell r="Q686" t="str">
            <v>Maloobchod se sportovním vybavením</v>
          </cell>
          <cell r="T686" t="str">
            <v>Maloobchod se sportovním vybavením</v>
          </cell>
          <cell r="W686" t="str">
            <v>Maloobchod se sportovním vybavením</v>
          </cell>
          <cell r="Z686" t="str">
            <v>Maloobchod se sportovním vybavením</v>
          </cell>
        </row>
        <row r="687">
          <cell r="Q687" t="str">
            <v>Maloobchod s hrami a hračkami</v>
          </cell>
          <cell r="T687" t="str">
            <v>Maloobchod s hrami a hračkami</v>
          </cell>
          <cell r="W687" t="str">
            <v>Maloobchod s hrami a hračkami</v>
          </cell>
          <cell r="Z687" t="str">
            <v>Maloobchod s hrami a hračkami</v>
          </cell>
        </row>
        <row r="688">
          <cell r="Q688" t="str">
            <v>Maloobchod s oděvy</v>
          </cell>
          <cell r="T688" t="str">
            <v>Maloobchod s oděvy</v>
          </cell>
          <cell r="W688" t="str">
            <v>Maloobchod s oděvy</v>
          </cell>
          <cell r="Z688" t="str">
            <v>Maloobchod s oděvy</v>
          </cell>
        </row>
        <row r="689">
          <cell r="Q689" t="str">
            <v>Maloobchod s obuví a koženými výrobky</v>
          </cell>
          <cell r="T689" t="str">
            <v>Maloobchod s obuví a koženými výrobky</v>
          </cell>
          <cell r="W689" t="str">
            <v>Maloobchod s obuví a koženými výrobky</v>
          </cell>
          <cell r="Z689" t="str">
            <v>Maloobchod s obuví a koženými výrobky</v>
          </cell>
        </row>
        <row r="690">
          <cell r="Q690" t="str">
            <v>Maloobchod s farmaceutickými přípravky</v>
          </cell>
          <cell r="T690" t="str">
            <v>Maloobchod s farmaceutickými přípravky</v>
          </cell>
          <cell r="W690" t="str">
            <v>Maloobchod s farmaceutickými přípravky</v>
          </cell>
          <cell r="Z690" t="str">
            <v>Maloobchod s farmaceutickými přípravky</v>
          </cell>
        </row>
        <row r="691">
          <cell r="Q691" t="str">
            <v>Maloobchod se zdravotnickými a ortopedickými výrobky</v>
          </cell>
          <cell r="T691" t="str">
            <v>Maloobchod se zdravotnickými a ortopedickými výrobky</v>
          </cell>
          <cell r="W691" t="str">
            <v>Maloobchod se zdravotnickými a ortopedickými výrobky</v>
          </cell>
          <cell r="Z691" t="str">
            <v>Maloobchod se zdravotnickými a ortopedickými výrobky</v>
          </cell>
        </row>
        <row r="692">
          <cell r="Q692" t="str">
            <v>Maloobchod s kosmetickými a toaletními výrobky</v>
          </cell>
          <cell r="T692" t="str">
            <v>Maloobchod s kosmetickými a toaletními výrobky</v>
          </cell>
          <cell r="W692" t="str">
            <v>Maloobchod s kosmetickými a toaletními výrobky</v>
          </cell>
          <cell r="Z692" t="str">
            <v>Maloobchod s kosmetickými a toaletními výrobky</v>
          </cell>
        </row>
        <row r="693">
          <cell r="Q693" t="str">
            <v>Maloob.s květinami,rostl.,osivy,hnoj.,zvířaty pro záj.chov a krmivy pro ně</v>
          </cell>
          <cell r="T693" t="str">
            <v>Maloob.s květinami,rostl.,osivy,hnoj.,zvířaty pro záj.chov a krmivy pro ně</v>
          </cell>
          <cell r="W693" t="str">
            <v>Maloob.s květinami,rostl.,osivy,hnoj.,zvířaty pro záj.chov a krmivy pro ně</v>
          </cell>
          <cell r="Z693" t="str">
            <v>Maloob.s květinami,rostl.,osivy,hnoj.,zvířaty pro záj.chov a krmivy pro ně</v>
          </cell>
        </row>
        <row r="694">
          <cell r="Q694" t="str">
            <v>Maloobchod s hodinami, hodinkami a klenoty</v>
          </cell>
          <cell r="T694" t="str">
            <v>Maloobchod s hodinami, hodinkami a klenoty</v>
          </cell>
          <cell r="W694" t="str">
            <v>Maloobchod s hodinami, hodinkami a klenoty</v>
          </cell>
          <cell r="Z694" t="str">
            <v>Maloobchod s hodinami, hodinkami a klenoty</v>
          </cell>
        </row>
        <row r="695">
          <cell r="Q695" t="str">
            <v>Ostatní maloobchod s novým zbožím ve specializovaných prodejnách</v>
          </cell>
          <cell r="T695" t="str">
            <v>Ostatní maloobchod s novým zbožím ve specializovaných prodejnách</v>
          </cell>
          <cell r="W695" t="str">
            <v>Ostatní maloobchod s novým zbožím ve specializovaných prodejnách</v>
          </cell>
          <cell r="Z695" t="str">
            <v>Ostatní maloobchod s novým zbožím ve specializovaných prodejnách</v>
          </cell>
        </row>
        <row r="696">
          <cell r="Q696" t="str">
            <v>Maloobchod s použitým zbožím v prodejnách</v>
          </cell>
          <cell r="T696" t="str">
            <v>Maloobchod s použitým zbožím v prodejnách</v>
          </cell>
          <cell r="W696" t="str">
            <v>Maloobchod s použitým zbožím v prodejnách</v>
          </cell>
          <cell r="Z696" t="str">
            <v>Maloobchod s použitým zbožím v prodejnách</v>
          </cell>
        </row>
        <row r="697">
          <cell r="Q697" t="str">
            <v>Maloobchod s potravinami,nápoji a tabák.výrobky ve stáncích a na trzích</v>
          </cell>
          <cell r="T697" t="str">
            <v>Maloobchod s potravinami,nápoji a tabák.výrobky ve stáncích a na trzích</v>
          </cell>
          <cell r="W697" t="str">
            <v>Maloobchod s potravinami,nápoji a tabák.výrobky ve stáncích a na trzích</v>
          </cell>
          <cell r="Z697" t="str">
            <v>Maloobchod s potravinami,nápoji a tabák.výrobky ve stáncích a na trzích</v>
          </cell>
        </row>
        <row r="698">
          <cell r="Q698" t="str">
            <v>Maloobchod s textilem, oděvy a obuví ve stáncích a na trzích</v>
          </cell>
          <cell r="T698" t="str">
            <v>Maloobchod s textilem, oděvy a obuví ve stáncích a na trzích</v>
          </cell>
          <cell r="W698" t="str">
            <v>Maloobchod s textilem, oděvy a obuví ve stáncích a na trzích</v>
          </cell>
          <cell r="Z698" t="str">
            <v>Maloobchod s textilem, oděvy a obuví ve stáncích a na trzích</v>
          </cell>
        </row>
        <row r="699">
          <cell r="Q699" t="str">
            <v>Maloobchod s ostatním zbožím ve stáncích a na trzích</v>
          </cell>
          <cell r="T699" t="str">
            <v>Maloobchod s ostatním zbožím ve stáncích a na trzích</v>
          </cell>
          <cell r="W699" t="str">
            <v>Maloobchod s ostatním zbožím ve stáncích a na trzích</v>
          </cell>
          <cell r="Z699" t="str">
            <v>Maloobchod s ostatním zbožím ve stáncích a na trzích</v>
          </cell>
        </row>
        <row r="700">
          <cell r="Q700" t="str">
            <v>Maloobchod prostřednictvím internetu nebo zásilkové služby</v>
          </cell>
          <cell r="T700" t="str">
            <v>Maloobchod prostřednictvím internetu nebo zásilkové služby</v>
          </cell>
          <cell r="W700" t="str">
            <v>Maloobchod prostřednictvím internetu nebo zásilkové služby</v>
          </cell>
          <cell r="Z700" t="str">
            <v>Maloobchod prostřednictvím internetu nebo zásilkové služby</v>
          </cell>
        </row>
        <row r="701">
          <cell r="Q701" t="str">
            <v>Ostatní maloobchod mimo prodejny, stánky a trhy</v>
          </cell>
          <cell r="T701" t="str">
            <v>Ostatní maloobchod mimo prodejny, stánky a trhy</v>
          </cell>
          <cell r="W701" t="str">
            <v>Ostatní maloobchod mimo prodejny, stánky a trhy</v>
          </cell>
          <cell r="Z701" t="str">
            <v>Ostatní maloobchod mimo prodejny, stánky a trhy</v>
          </cell>
        </row>
        <row r="702">
          <cell r="Q702" t="str">
            <v>Městská a příměstská pozemní osobní doprava</v>
          </cell>
          <cell r="T702" t="str">
            <v>Městská a příměstská pozemní osobní doprava</v>
          </cell>
          <cell r="W702" t="str">
            <v>Městská a příměstská pozemní osobní doprava</v>
          </cell>
          <cell r="Z702" t="str">
            <v>Městská a příměstská pozemní osobní doprava</v>
          </cell>
        </row>
        <row r="703">
          <cell r="Q703" t="str">
            <v>Taxislužba a pronájem osobních vozů s řidičem</v>
          </cell>
          <cell r="T703" t="str">
            <v>Taxislužba a pronájem osobních vozů s řidičem</v>
          </cell>
          <cell r="W703" t="str">
            <v>Taxislužba a pronájem osobních vozů s řidičem</v>
          </cell>
          <cell r="Z703" t="str">
            <v>Taxislužba a pronájem osobních vozů s řidičem</v>
          </cell>
        </row>
        <row r="704">
          <cell r="Q704" t="str">
            <v>Ostatní pozemní osobní doprava j. n.</v>
          </cell>
          <cell r="T704" t="str">
            <v>Ostatní pozemní osobní doprava j. n.</v>
          </cell>
          <cell r="W704" t="str">
            <v>Ostatní pozemní osobní doprava j. n.</v>
          </cell>
          <cell r="Z704" t="str">
            <v>Ostatní pozemní osobní doprava j. n.</v>
          </cell>
        </row>
        <row r="705">
          <cell r="Q705" t="str">
            <v>Silniční nákladní doprava</v>
          </cell>
          <cell r="T705" t="str">
            <v>Silniční nákladní doprava</v>
          </cell>
          <cell r="W705" t="str">
            <v>Silniční nákladní doprava</v>
          </cell>
          <cell r="Z705" t="str">
            <v>Silniční nákladní doprava</v>
          </cell>
        </row>
        <row r="706">
          <cell r="Q706" t="str">
            <v>Stěhovací služby</v>
          </cell>
          <cell r="T706" t="str">
            <v>Stěhovací služby</v>
          </cell>
          <cell r="W706" t="str">
            <v>Stěhovací služby</v>
          </cell>
          <cell r="Z706" t="str">
            <v>Stěhovací služby</v>
          </cell>
        </row>
        <row r="707">
          <cell r="Q707" t="str">
            <v>Těžba černého uhlí</v>
          </cell>
          <cell r="T707" t="str">
            <v>Těžba černého uhlí</v>
          </cell>
          <cell r="W707" t="str">
            <v>Těžba černého uhlí</v>
          </cell>
          <cell r="Z707" t="str">
            <v>Těžba černého uhlí</v>
          </cell>
        </row>
        <row r="708">
          <cell r="Q708" t="str">
            <v>Úprava černého uhlí</v>
          </cell>
          <cell r="T708" t="str">
            <v>Úprava černého uhlí</v>
          </cell>
          <cell r="W708" t="str">
            <v>Úprava černého uhlí</v>
          </cell>
          <cell r="Z708" t="str">
            <v>Úprava černého uhlí</v>
          </cell>
        </row>
        <row r="709">
          <cell r="Q709" t="str">
            <v>Letecká nákladní doprava</v>
          </cell>
          <cell r="T709" t="str">
            <v>Letecká nákladní doprava</v>
          </cell>
          <cell r="W709" t="str">
            <v>Letecká nákladní doprava</v>
          </cell>
          <cell r="Z709" t="str">
            <v>Letecká nákladní doprava</v>
          </cell>
        </row>
        <row r="710">
          <cell r="Q710" t="str">
            <v>Kosmická doprava</v>
          </cell>
          <cell r="T710" t="str">
            <v>Kosmická doprava</v>
          </cell>
          <cell r="W710" t="str">
            <v>Kosmická doprava</v>
          </cell>
          <cell r="Z710" t="str">
            <v>Kosmická doprava</v>
          </cell>
        </row>
        <row r="711">
          <cell r="Q711" t="str">
            <v>Těžba hnědého uhlí, kromě lignitu</v>
          </cell>
          <cell r="T711" t="str">
            <v>Těžba hnědého uhlí, kromě lignitu</v>
          </cell>
          <cell r="W711" t="str">
            <v>Těžba hnědého uhlí, kromě lignitu</v>
          </cell>
          <cell r="Z711" t="str">
            <v>Těžba hnědého uhlí, kromě lignitu</v>
          </cell>
        </row>
        <row r="712">
          <cell r="Q712" t="str">
            <v>Úprava hnědého uhlí, kromě lignitu</v>
          </cell>
          <cell r="T712" t="str">
            <v>Úprava hnědého uhlí, kromě lignitu</v>
          </cell>
          <cell r="W712" t="str">
            <v>Úprava hnědého uhlí, kromě lignitu</v>
          </cell>
          <cell r="Z712" t="str">
            <v>Úprava hnědého uhlí, kromě lignitu</v>
          </cell>
        </row>
        <row r="713">
          <cell r="Q713" t="str">
            <v>Těžba lignitu</v>
          </cell>
          <cell r="T713" t="str">
            <v>Těžba lignitu</v>
          </cell>
          <cell r="W713" t="str">
            <v>Těžba lignitu</v>
          </cell>
          <cell r="Z713" t="str">
            <v>Těžba lignitu</v>
          </cell>
        </row>
        <row r="714">
          <cell r="Q714" t="str">
            <v>Úprava lignitu</v>
          </cell>
          <cell r="T714" t="str">
            <v>Úprava lignitu</v>
          </cell>
          <cell r="W714" t="str">
            <v>Úprava lignitu</v>
          </cell>
          <cell r="Z714" t="str">
            <v>Úprava lignitu</v>
          </cell>
        </row>
        <row r="715">
          <cell r="Q715" t="str">
            <v>Činnosti související s pozemní dopravou</v>
          </cell>
          <cell r="T715" t="str">
            <v>Činnosti související s pozemní dopravou</v>
          </cell>
          <cell r="W715" t="str">
            <v>Činnosti související s pozemní dopravou</v>
          </cell>
          <cell r="Z715" t="str">
            <v>Činnosti související s pozemní dopravou</v>
          </cell>
        </row>
        <row r="716">
          <cell r="Q716" t="str">
            <v>Činnosti související s vodní dopravou</v>
          </cell>
          <cell r="T716" t="str">
            <v>Činnosti související s vodní dopravou</v>
          </cell>
          <cell r="W716" t="str">
            <v>Činnosti související s vodní dopravou</v>
          </cell>
          <cell r="Z716" t="str">
            <v>Činnosti související s vodní dopravou</v>
          </cell>
        </row>
        <row r="717">
          <cell r="Q717" t="str">
            <v>Činnosti související s leteckou dopravou</v>
          </cell>
          <cell r="T717" t="str">
            <v>Činnosti související s leteckou dopravou</v>
          </cell>
          <cell r="W717" t="str">
            <v>Činnosti související s leteckou dopravou</v>
          </cell>
          <cell r="Z717" t="str">
            <v>Činnosti související s leteckou dopravou</v>
          </cell>
        </row>
        <row r="718">
          <cell r="Q718" t="str">
            <v>Manipulace s nákladem</v>
          </cell>
          <cell r="T718" t="str">
            <v>Manipulace s nákladem</v>
          </cell>
          <cell r="W718" t="str">
            <v>Manipulace s nákladem</v>
          </cell>
          <cell r="Z718" t="str">
            <v>Manipulace s nákladem</v>
          </cell>
        </row>
        <row r="719">
          <cell r="Q719" t="str">
            <v>Ostatní vedlejší činnosti v dopravě</v>
          </cell>
          <cell r="T719" t="str">
            <v>Ostatní vedlejší činnosti v dopravě</v>
          </cell>
          <cell r="W719" t="str">
            <v>Ostatní vedlejší činnosti v dopravě</v>
          </cell>
          <cell r="Z719" t="str">
            <v>Ostatní vedlejší činnosti v dopravě</v>
          </cell>
        </row>
        <row r="720">
          <cell r="Q720" t="str">
            <v>Poskytování cateringových služeb</v>
          </cell>
          <cell r="T720" t="str">
            <v>Poskytování cateringových služeb</v>
          </cell>
          <cell r="W720" t="str">
            <v>Poskytování cateringových služeb</v>
          </cell>
          <cell r="Z720" t="str">
            <v>Poskytování cateringových služeb</v>
          </cell>
        </row>
        <row r="721">
          <cell r="Q721" t="str">
            <v>Poskytování ostatních stravovacích služeb</v>
          </cell>
          <cell r="T721" t="str">
            <v>Poskytování ostatních stravovacích služeb</v>
          </cell>
          <cell r="W721" t="str">
            <v>Poskytování ostatních stravovacích služeb</v>
          </cell>
          <cell r="Z721" t="str">
            <v>Poskytování ostatních stravovacích služeb</v>
          </cell>
        </row>
        <row r="722">
          <cell r="Q722" t="str">
            <v>Vydávání knih</v>
          </cell>
          <cell r="T722" t="str">
            <v>Vydávání knih</v>
          </cell>
          <cell r="W722" t="str">
            <v>Vydávání knih</v>
          </cell>
          <cell r="Z722" t="str">
            <v>Vydávání knih</v>
          </cell>
        </row>
        <row r="723">
          <cell r="Q723" t="str">
            <v>Vydávání adresářů a jiných seznamů</v>
          </cell>
          <cell r="T723" t="str">
            <v>Vydávání adresářů a jiných seznamů</v>
          </cell>
          <cell r="W723" t="str">
            <v>Vydávání adresářů a jiných seznamů</v>
          </cell>
          <cell r="Z723" t="str">
            <v>Vydávání adresářů a jiných seznamů</v>
          </cell>
        </row>
        <row r="724">
          <cell r="Q724" t="str">
            <v>Vydávání novin</v>
          </cell>
          <cell r="T724" t="str">
            <v>Vydávání novin</v>
          </cell>
          <cell r="W724" t="str">
            <v>Vydávání novin</v>
          </cell>
          <cell r="Z724" t="str">
            <v>Vydávání novin</v>
          </cell>
        </row>
        <row r="725">
          <cell r="Q725" t="str">
            <v>Vydávání časopisů a ostatních periodických publikací</v>
          </cell>
          <cell r="T725" t="str">
            <v>Vydávání časopisů a ostatních periodických publikací</v>
          </cell>
          <cell r="W725" t="str">
            <v>Vydávání časopisů a ostatních periodických publikací</v>
          </cell>
          <cell r="Z725" t="str">
            <v>Vydávání časopisů a ostatních periodických publikací</v>
          </cell>
        </row>
        <row r="726">
          <cell r="Q726" t="str">
            <v>Ostatní vydavatelské činnosti</v>
          </cell>
          <cell r="T726" t="str">
            <v>Ostatní vydavatelské činnosti</v>
          </cell>
          <cell r="W726" t="str">
            <v>Ostatní vydavatelské činnosti</v>
          </cell>
          <cell r="Z726" t="str">
            <v>Ostatní vydavatelské činnosti</v>
          </cell>
        </row>
        <row r="727">
          <cell r="Q727" t="str">
            <v>Vydávání počítačových her</v>
          </cell>
          <cell r="T727" t="str">
            <v>Vydávání počítačových her</v>
          </cell>
          <cell r="W727" t="str">
            <v>Vydávání počítačových her</v>
          </cell>
          <cell r="Z727" t="str">
            <v>Vydávání počítačových her</v>
          </cell>
        </row>
        <row r="728">
          <cell r="Q728" t="str">
            <v>Ostatní vydávání softwaru</v>
          </cell>
          <cell r="T728" t="str">
            <v>Ostatní vydávání softwaru</v>
          </cell>
          <cell r="W728" t="str">
            <v>Ostatní vydávání softwaru</v>
          </cell>
          <cell r="Z728" t="str">
            <v>Ostatní vydávání softwaru</v>
          </cell>
        </row>
        <row r="729">
          <cell r="Q729" t="str">
            <v>Produkce filmů, videozáznamů a televizních programů</v>
          </cell>
          <cell r="T729" t="str">
            <v>Produkce filmů, videozáznamů a televizních programů</v>
          </cell>
          <cell r="W729" t="str">
            <v>Produkce filmů, videozáznamů a televizních programů</v>
          </cell>
          <cell r="Z729" t="str">
            <v>Produkce filmů, videozáznamů a televizních programů</v>
          </cell>
        </row>
        <row r="730">
          <cell r="Q730" t="str">
            <v>Postprodukce filmů, videozáznamů a televizních programů</v>
          </cell>
          <cell r="T730" t="str">
            <v>Postprodukce filmů, videozáznamů a televizních programů</v>
          </cell>
          <cell r="W730" t="str">
            <v>Postprodukce filmů, videozáznamů a televizních programů</v>
          </cell>
          <cell r="Z730" t="str">
            <v>Postprodukce filmů, videozáznamů a televizních programů</v>
          </cell>
        </row>
        <row r="731">
          <cell r="Q731" t="str">
            <v>Distribuce filmů, videozáznamů a televizních programů</v>
          </cell>
          <cell r="T731" t="str">
            <v>Distribuce filmů, videozáznamů a televizních programů</v>
          </cell>
          <cell r="W731" t="str">
            <v>Distribuce filmů, videozáznamů a televizních programů</v>
          </cell>
          <cell r="Z731" t="str">
            <v>Distribuce filmů, videozáznamů a televizních programů</v>
          </cell>
        </row>
        <row r="732">
          <cell r="Q732" t="str">
            <v>Promítání filmů</v>
          </cell>
          <cell r="T732" t="str">
            <v>Promítání filmů</v>
          </cell>
          <cell r="W732" t="str">
            <v>Promítání filmů</v>
          </cell>
          <cell r="Z732" t="str">
            <v>Promítání filmů</v>
          </cell>
        </row>
        <row r="733">
          <cell r="Q733" t="str">
            <v>Programování</v>
          </cell>
          <cell r="T733" t="str">
            <v>Programování</v>
          </cell>
          <cell r="W733" t="str">
            <v>Programování</v>
          </cell>
          <cell r="Z733" t="str">
            <v>Programování</v>
          </cell>
        </row>
        <row r="734">
          <cell r="Q734" t="str">
            <v>Poradenství v oblasti informačních technologií</v>
          </cell>
          <cell r="T734" t="str">
            <v>Poradenství v oblasti informačních technologií</v>
          </cell>
          <cell r="W734" t="str">
            <v>Poradenství v oblasti informačních technologií</v>
          </cell>
          <cell r="Z734" t="str">
            <v>Poradenství v oblasti informačních technologií</v>
          </cell>
        </row>
        <row r="735">
          <cell r="Q735" t="str">
            <v>Správa počítačového vybavení</v>
          </cell>
          <cell r="T735" t="str">
            <v>Správa počítačového vybavení</v>
          </cell>
          <cell r="W735" t="str">
            <v>Správa počítačového vybavení</v>
          </cell>
          <cell r="Z735" t="str">
            <v>Správa počítačového vybavení</v>
          </cell>
        </row>
        <row r="736">
          <cell r="Q736" t="str">
            <v>Ostatní činnosti v oblasti informačních technologií</v>
          </cell>
          <cell r="T736" t="str">
            <v>Ostatní činnosti v oblasti informačních technologií</v>
          </cell>
          <cell r="W736" t="str">
            <v>Ostatní činnosti v oblasti informačních technologií</v>
          </cell>
          <cell r="Z736" t="str">
            <v>Ostatní činnosti v oblasti informačních technologií</v>
          </cell>
        </row>
        <row r="737">
          <cell r="Q737" t="str">
            <v>Činnosti související se zpracováním dat a hostingem</v>
          </cell>
          <cell r="T737" t="str">
            <v>Činnosti související se zpracováním dat a hostingem</v>
          </cell>
          <cell r="W737" t="str">
            <v>Činnosti související se zpracováním dat a hostingem</v>
          </cell>
          <cell r="Z737" t="str">
            <v>Činnosti související se zpracováním dat a hostingem</v>
          </cell>
        </row>
        <row r="738">
          <cell r="Q738" t="str">
            <v>Činnosti související s webovými portály</v>
          </cell>
          <cell r="T738" t="str">
            <v>Činnosti související s webovými portály</v>
          </cell>
          <cell r="W738" t="str">
            <v>Činnosti související s webovými portály</v>
          </cell>
          <cell r="Z738" t="str">
            <v>Činnosti související s webovými portály</v>
          </cell>
        </row>
        <row r="739">
          <cell r="Q739" t="str">
            <v>Činnosti zpravodajských tiskových kanceláří a agentur</v>
          </cell>
          <cell r="T739" t="str">
            <v>Činnosti zpravodajských tiskových kanceláří a agentur</v>
          </cell>
          <cell r="W739" t="str">
            <v>Činnosti zpravodajských tiskových kanceláří a agentur</v>
          </cell>
          <cell r="Z739" t="str">
            <v>Činnosti zpravodajských tiskových kanceláří a agentur</v>
          </cell>
        </row>
        <row r="740">
          <cell r="Q740" t="str">
            <v>Ostatní informační činnosti j. n.</v>
          </cell>
          <cell r="T740" t="str">
            <v>Ostatní informační činnosti j. n.</v>
          </cell>
          <cell r="W740" t="str">
            <v>Ostatní informační činnosti j. n.</v>
          </cell>
          <cell r="Z740" t="str">
            <v>Ostatní informační činnosti j. n.</v>
          </cell>
        </row>
        <row r="741">
          <cell r="Q741" t="str">
            <v>Centrální bankovnictví</v>
          </cell>
          <cell r="T741" t="str">
            <v>Centrální bankovnictví</v>
          </cell>
          <cell r="W741" t="str">
            <v>Centrální bankovnictví</v>
          </cell>
          <cell r="Z741" t="str">
            <v>Centrální bankovnictví</v>
          </cell>
        </row>
        <row r="742">
          <cell r="Q742" t="str">
            <v>Ostatní peněžní zprostředkování</v>
          </cell>
          <cell r="T742" t="str">
            <v>Ostatní peněžní zprostředkování</v>
          </cell>
          <cell r="W742" t="str">
            <v>Ostatní peněžní zprostředkování</v>
          </cell>
          <cell r="Z742" t="str">
            <v>Ostatní peněžní zprostředkování</v>
          </cell>
        </row>
        <row r="743">
          <cell r="Q743" t="str">
            <v>Finanční leasing</v>
          </cell>
          <cell r="T743" t="str">
            <v>Finanční leasing</v>
          </cell>
          <cell r="W743" t="str">
            <v>Finanční leasing</v>
          </cell>
          <cell r="Z743" t="str">
            <v>Finanční leasing</v>
          </cell>
        </row>
        <row r="744">
          <cell r="Q744" t="str">
            <v>Ostatní poskytování úvěrů</v>
          </cell>
          <cell r="T744" t="str">
            <v>Ostatní poskytování úvěrů</v>
          </cell>
          <cell r="W744" t="str">
            <v>Ostatní poskytování úvěrů</v>
          </cell>
          <cell r="Z744" t="str">
            <v>Ostatní poskytování úvěrů</v>
          </cell>
        </row>
        <row r="745">
          <cell r="Q745" t="str">
            <v>Ostatní finanční zprostředkování j. n.</v>
          </cell>
          <cell r="T745" t="str">
            <v>Ostatní finanční zprostředkování j. n.</v>
          </cell>
          <cell r="W745" t="str">
            <v>Ostatní finanční zprostředkování j. n.</v>
          </cell>
          <cell r="Z745" t="str">
            <v>Ostatní finanční zprostředkování j. n.</v>
          </cell>
        </row>
        <row r="746">
          <cell r="Q746" t="str">
            <v>životní pojištění</v>
          </cell>
          <cell r="T746" t="str">
            <v>životní pojištění</v>
          </cell>
          <cell r="W746" t="str">
            <v>životní pojištění</v>
          </cell>
          <cell r="Z746" t="str">
            <v>životní pojištění</v>
          </cell>
        </row>
        <row r="747">
          <cell r="Q747" t="str">
            <v>Neživotní pojištění</v>
          </cell>
          <cell r="T747" t="str">
            <v>Neživotní pojištění</v>
          </cell>
          <cell r="W747" t="str">
            <v>Neživotní pojištění</v>
          </cell>
          <cell r="Z747" t="str">
            <v>Neživotní pojištění</v>
          </cell>
        </row>
        <row r="748">
          <cell r="Q748" t="str">
            <v>Řízení a správa finančních trhů</v>
          </cell>
          <cell r="T748" t="str">
            <v>Řízení a správa finančních trhů</v>
          </cell>
          <cell r="W748" t="str">
            <v>Řízení a správa finančních trhů</v>
          </cell>
          <cell r="Z748" t="str">
            <v>Řízení a správa finančních trhů</v>
          </cell>
        </row>
        <row r="749">
          <cell r="Q749" t="str">
            <v>Obchodování s cennými papíry a komoditami na burzách</v>
          </cell>
          <cell r="T749" t="str">
            <v>Obchodování s cennými papíry a komoditami na burzách</v>
          </cell>
          <cell r="W749" t="str">
            <v>Obchodování s cennými papíry a komoditami na burzách</v>
          </cell>
          <cell r="Z749" t="str">
            <v>Obchodování s cennými papíry a komoditami na burzách</v>
          </cell>
        </row>
        <row r="750">
          <cell r="Q750" t="str">
            <v>Ostatní pomocné činnosti související s finančním zprostředkováním</v>
          </cell>
          <cell r="T750" t="str">
            <v>Ostatní pomocné činnosti související s finančním zprostředkováním</v>
          </cell>
          <cell r="W750" t="str">
            <v>Ostatní pomocné činnosti související s finančním zprostředkováním</v>
          </cell>
          <cell r="Z750" t="str">
            <v>Ostatní pomocné činnosti související s finančním zprostředkováním</v>
          </cell>
        </row>
        <row r="751">
          <cell r="Q751" t="str">
            <v>Vyhodnocování rizik a škod</v>
          </cell>
          <cell r="T751" t="str">
            <v>Vyhodnocování rizik a škod</v>
          </cell>
          <cell r="W751" t="str">
            <v>Vyhodnocování rizik a škod</v>
          </cell>
          <cell r="Z751" t="str">
            <v>Vyhodnocování rizik a škod</v>
          </cell>
        </row>
        <row r="752">
          <cell r="Q752" t="str">
            <v>Činnosti zástupců pojišťovny a makléřů</v>
          </cell>
          <cell r="T752" t="str">
            <v>Činnosti zástupců pojišťovny a makléřů</v>
          </cell>
          <cell r="W752" t="str">
            <v>Činnosti zástupců pojišťovny a makléřů</v>
          </cell>
          <cell r="Z752" t="str">
            <v>Činnosti zástupců pojišťovny a makléřů</v>
          </cell>
        </row>
        <row r="753">
          <cell r="Q753" t="str">
            <v>Ostatní pomocné činnosti související s pojišťovnictvím a penz.fin.</v>
          </cell>
          <cell r="T753" t="str">
            <v>Ostatní pomocné činnosti související s pojišťovnictvím a penz.fin.</v>
          </cell>
          <cell r="W753" t="str">
            <v>Ostatní pomocné činnosti související s pojišťovnictvím a penz.fin.</v>
          </cell>
          <cell r="Z753" t="str">
            <v>Ostatní pomocné činnosti související s pojišťovnictvím a penz.fin.</v>
          </cell>
        </row>
        <row r="754">
          <cell r="Q754" t="str">
            <v>Zprostředkovatelské činnosti realitních agentur</v>
          </cell>
          <cell r="T754" t="str">
            <v>Zprostředkovatelské činnosti realitních agentur</v>
          </cell>
          <cell r="W754" t="str">
            <v>Zprostředkovatelské činnosti realitních agentur</v>
          </cell>
          <cell r="Z754" t="str">
            <v>Zprostředkovatelské činnosti realitních agentur</v>
          </cell>
        </row>
        <row r="755">
          <cell r="Q755" t="str">
            <v>Správa nemovitostí na základě smlouvy</v>
          </cell>
          <cell r="T755" t="str">
            <v>Správa nemovitostí na základě smlouvy</v>
          </cell>
          <cell r="W755" t="str">
            <v>Správa nemovitostí na základě smlouvy</v>
          </cell>
          <cell r="Z755" t="str">
            <v>Správa nemovitostí na základě smlouvy</v>
          </cell>
        </row>
        <row r="756">
          <cell r="Q756" t="str">
            <v>Poradenství v oblasti vztahů s veřejností a komunikace</v>
          </cell>
          <cell r="T756" t="str">
            <v>Poradenství v oblasti vztahů s veřejností a komunikace</v>
          </cell>
          <cell r="W756" t="str">
            <v>Poradenství v oblasti vztahů s veřejností a komunikace</v>
          </cell>
          <cell r="Z756" t="str">
            <v>Poradenství v oblasti vztahů s veřejností a komunikace</v>
          </cell>
        </row>
        <row r="757">
          <cell r="Q757" t="str">
            <v>Ostatní poradenství v oblasti podnikání a řízení</v>
          </cell>
          <cell r="T757" t="str">
            <v>Ostatní poradenství v oblasti podnikání a řízení</v>
          </cell>
          <cell r="W757" t="str">
            <v>Ostatní poradenství v oblasti podnikání a řízení</v>
          </cell>
          <cell r="Z757" t="str">
            <v>Ostatní poradenství v oblasti podnikání a řízení</v>
          </cell>
        </row>
        <row r="758">
          <cell r="Q758" t="str">
            <v>Těžba železných rud</v>
          </cell>
          <cell r="T758" t="str">
            <v>Těžba železných rud</v>
          </cell>
          <cell r="W758" t="str">
            <v>Těžba železných rud</v>
          </cell>
          <cell r="Z758" t="str">
            <v>Těžba železných rud</v>
          </cell>
        </row>
        <row r="759">
          <cell r="Q759" t="str">
            <v>Úprava železných rud</v>
          </cell>
          <cell r="T759" t="str">
            <v>Úprava železných rud</v>
          </cell>
          <cell r="W759" t="str">
            <v>Úprava železných rud</v>
          </cell>
          <cell r="Z759" t="str">
            <v>Úprava železných rud</v>
          </cell>
        </row>
        <row r="760">
          <cell r="Q760" t="str">
            <v>Architektonické činnosti</v>
          </cell>
          <cell r="T760" t="str">
            <v>Architektonické činnosti</v>
          </cell>
          <cell r="W760" t="str">
            <v>Architektonické činnosti</v>
          </cell>
          <cell r="Z760" t="str">
            <v>Architektonické činnosti</v>
          </cell>
        </row>
        <row r="761">
          <cell r="Q761" t="str">
            <v>Inženýrské činnosti a související technické poradenství</v>
          </cell>
          <cell r="T761" t="str">
            <v>Inženýrské činnosti a související technické poradenství</v>
          </cell>
          <cell r="W761" t="str">
            <v>Inženýrské činnosti a související technické poradenství</v>
          </cell>
          <cell r="Z761" t="str">
            <v>Inženýrské činnosti a související technické poradenství</v>
          </cell>
        </row>
        <row r="762">
          <cell r="Q762" t="str">
            <v>Výzkum a vývoj v oblasti biotechnologie</v>
          </cell>
          <cell r="T762" t="str">
            <v>Výzkum a vývoj v oblasti biotechnologie</v>
          </cell>
          <cell r="W762" t="str">
            <v>Výzkum a vývoj v oblasti biotechnologie</v>
          </cell>
          <cell r="Z762" t="str">
            <v>Výzkum a vývoj v oblasti biotechnologie</v>
          </cell>
        </row>
        <row r="763">
          <cell r="Q763" t="str">
            <v>Těžba uranových a thoriových rud</v>
          </cell>
          <cell r="T763" t="str">
            <v>Těžba uranových a thoriových rud</v>
          </cell>
          <cell r="W763" t="str">
            <v>Těžba uranových a thoriových rud</v>
          </cell>
          <cell r="Z763" t="str">
            <v>Těžba uranových a thoriových rud</v>
          </cell>
        </row>
        <row r="764">
          <cell r="Q764" t="str">
            <v>Úprava uranových a thoriových rud</v>
          </cell>
          <cell r="T764" t="str">
            <v>Úprava uranových a thoriových rud</v>
          </cell>
          <cell r="W764" t="str">
            <v>Úprava uranových a thoriových rud</v>
          </cell>
          <cell r="Z764" t="str">
            <v>Úprava uranových a thoriových rud</v>
          </cell>
        </row>
        <row r="765">
          <cell r="Q765" t="str">
            <v>Ostatní výzkum a vývoj voblasti přírodních atechnických věd</v>
          </cell>
          <cell r="T765" t="str">
            <v>Ostatní výzkum a vývoj voblasti přírodních atechnických věd</v>
          </cell>
          <cell r="W765" t="str">
            <v>Ostatní výzkum a vývoj voblasti přírodních atechnických věd</v>
          </cell>
          <cell r="Z765" t="str">
            <v>Ostatní výzkum a vývoj voblasti přírodních atechnických věd</v>
          </cell>
        </row>
        <row r="766">
          <cell r="Q766" t="str">
            <v>Těžba ostatních neželezných rud</v>
          </cell>
          <cell r="T766" t="str">
            <v>Těžba ostatních neželezných rud</v>
          </cell>
          <cell r="W766" t="str">
            <v>Těžba ostatních neželezných rud</v>
          </cell>
          <cell r="Z766" t="str">
            <v>Těžba ostatních neželezných rud</v>
          </cell>
        </row>
        <row r="767">
          <cell r="Q767" t="str">
            <v>Úprava ostatních neželezných rud</v>
          </cell>
          <cell r="T767" t="str">
            <v>Úprava ostatních neželezných rud</v>
          </cell>
          <cell r="W767" t="str">
            <v>Úprava ostatních neželezných rud</v>
          </cell>
          <cell r="Z767" t="str">
            <v>Úprava ostatních neželezných rud</v>
          </cell>
        </row>
        <row r="768">
          <cell r="Q768" t="str">
            <v>Činnosti reklamních agentur</v>
          </cell>
          <cell r="T768" t="str">
            <v>Činnosti reklamních agentur</v>
          </cell>
          <cell r="W768" t="str">
            <v>Činnosti reklamních agentur</v>
          </cell>
          <cell r="Z768" t="str">
            <v>Činnosti reklamních agentur</v>
          </cell>
        </row>
        <row r="769">
          <cell r="Q769" t="str">
            <v>Zastupování médií při prodeji reklamního času a prostoru</v>
          </cell>
          <cell r="T769" t="str">
            <v>Zastupování médií při prodeji reklamního času a prostoru</v>
          </cell>
          <cell r="W769" t="str">
            <v>Zastupování médií při prodeji reklamního času a prostoru</v>
          </cell>
          <cell r="Z769" t="str">
            <v>Zastupování médií při prodeji reklamního času a prostoru</v>
          </cell>
        </row>
        <row r="770">
          <cell r="Q770" t="str">
            <v>Pronájem a leasing automob.a jiných lehkých motor.vozidel,kromě motocyklů</v>
          </cell>
          <cell r="T770" t="str">
            <v>Pronájem a leasing automob.a jiných lehkých motor.vozidel,kromě motocyklů</v>
          </cell>
          <cell r="W770" t="str">
            <v>Pronájem a leasing automob.a jiných lehkých motor.vozidel,kromě motocyklů</v>
          </cell>
          <cell r="Z770" t="str">
            <v>Pronájem a leasing automob.a jiných lehkých motor.vozidel,kromě motocyklů</v>
          </cell>
        </row>
        <row r="771">
          <cell r="Q771" t="str">
            <v>Pronájem a leasing nákladních automobilů</v>
          </cell>
          <cell r="T771" t="str">
            <v>Pronájem a leasing nákladních automobilů</v>
          </cell>
          <cell r="W771" t="str">
            <v>Pronájem a leasing nákladních automobilů</v>
          </cell>
          <cell r="Z771" t="str">
            <v>Pronájem a leasing nákladních automobilů</v>
          </cell>
        </row>
        <row r="772">
          <cell r="Q772" t="str">
            <v>Pronájem a leasing rekreačních a sportovních potřeb</v>
          </cell>
          <cell r="T772" t="str">
            <v>Pronájem a leasing rekreačních a sportovních potřeb</v>
          </cell>
          <cell r="W772" t="str">
            <v>Pronájem a leasing rekreačních a sportovních potřeb</v>
          </cell>
          <cell r="Z772" t="str">
            <v>Pronájem a leasing rekreačních a sportovních potřeb</v>
          </cell>
        </row>
        <row r="773">
          <cell r="Q773" t="str">
            <v>Pronájem videokazet a disků</v>
          </cell>
          <cell r="T773" t="str">
            <v>Pronájem videokazet a disků</v>
          </cell>
          <cell r="W773" t="str">
            <v>Pronájem videokazet a disků</v>
          </cell>
          <cell r="Z773" t="str">
            <v>Pronájem videokazet a disků</v>
          </cell>
        </row>
        <row r="774">
          <cell r="Q774" t="str">
            <v>Pronájem a leasing ost.výrobků pro osob.potřebu a převážně pro domácnost</v>
          </cell>
          <cell r="T774" t="str">
            <v>Pronájem a leasing ost.výrobků pro osob.potřebu a převážně pro domácnost</v>
          </cell>
          <cell r="W774" t="str">
            <v>Pronájem a leasing ost.výrobků pro osob.potřebu a převážně pro domácnost</v>
          </cell>
          <cell r="Z774" t="str">
            <v>Pronájem a leasing ost.výrobků pro osob.potřebu a převážně pro domácnost</v>
          </cell>
        </row>
        <row r="775">
          <cell r="Q775" t="str">
            <v>Pronájem a leasing zemědělských strojů a zařízení</v>
          </cell>
          <cell r="T775" t="str">
            <v>Pronájem a leasing zemědělských strojů a zařízení</v>
          </cell>
          <cell r="W775" t="str">
            <v>Pronájem a leasing zemědělských strojů a zařízení</v>
          </cell>
          <cell r="Z775" t="str">
            <v>Pronájem a leasing zemědělských strojů a zařízení</v>
          </cell>
        </row>
        <row r="776">
          <cell r="Q776" t="str">
            <v>Pronájem a leasing stavebních strojů a zařízení</v>
          </cell>
          <cell r="T776" t="str">
            <v>Pronájem a leasing stavebních strojů a zařízení</v>
          </cell>
          <cell r="W776" t="str">
            <v>Pronájem a leasing stavebních strojů a zařízení</v>
          </cell>
          <cell r="Z776" t="str">
            <v>Pronájem a leasing stavebních strojů a zařízení</v>
          </cell>
        </row>
        <row r="777">
          <cell r="Q777" t="str">
            <v>Pronájem a leasing kancelářských strojů a zařízení, včetně počítačů</v>
          </cell>
          <cell r="T777" t="str">
            <v>Pronájem a leasing kancelářských strojů a zařízení, včetně počítačů</v>
          </cell>
          <cell r="W777" t="str">
            <v>Pronájem a leasing kancelářských strojů a zařízení, včetně počítačů</v>
          </cell>
          <cell r="Z777" t="str">
            <v>Pronájem a leasing kancelářských strojů a zařízení, včetně počítačů</v>
          </cell>
        </row>
        <row r="778">
          <cell r="Q778" t="str">
            <v>Pronájem a leasing vodních dopravních prostředků</v>
          </cell>
          <cell r="T778" t="str">
            <v>Pronájem a leasing vodních dopravních prostředků</v>
          </cell>
          <cell r="W778" t="str">
            <v>Pronájem a leasing vodních dopravních prostředků</v>
          </cell>
          <cell r="Z778" t="str">
            <v>Pronájem a leasing vodních dopravních prostředků</v>
          </cell>
        </row>
        <row r="779">
          <cell r="Q779" t="str">
            <v>Pronájem a leasing leteckých dopravních prostředků</v>
          </cell>
          <cell r="T779" t="str">
            <v>Pronájem a leasing leteckých dopravních prostředků</v>
          </cell>
          <cell r="W779" t="str">
            <v>Pronájem a leasing leteckých dopravních prostředků</v>
          </cell>
          <cell r="Z779" t="str">
            <v>Pronájem a leasing leteckých dopravních prostředků</v>
          </cell>
        </row>
        <row r="780">
          <cell r="Q780" t="str">
            <v>Pronájem a leasing ostatních strojů, zařízení a výrobků j. n.</v>
          </cell>
          <cell r="T780" t="str">
            <v>Pronájem a leasing ostatních strojů, zařízení a výrobků j. n.</v>
          </cell>
          <cell r="W780" t="str">
            <v>Pronájem a leasing ostatních strojů, zařízení a výrobků j. n.</v>
          </cell>
          <cell r="Z780" t="str">
            <v>Pronájem a leasing ostatních strojů, zařízení a výrobků j. n.</v>
          </cell>
        </row>
        <row r="781">
          <cell r="Q781" t="str">
            <v>Činnosti cestovních agentur</v>
          </cell>
          <cell r="T781" t="str">
            <v>Činnosti cestovních agentur</v>
          </cell>
          <cell r="W781" t="str">
            <v>Činnosti cestovních agentur</v>
          </cell>
          <cell r="Z781" t="str">
            <v>Činnosti cestovních agentur</v>
          </cell>
        </row>
        <row r="782">
          <cell r="Q782" t="str">
            <v>Činnosti cestovních kanceláří</v>
          </cell>
          <cell r="T782" t="str">
            <v>Činnosti cestovních kanceláří</v>
          </cell>
          <cell r="W782" t="str">
            <v>Činnosti cestovních kanceláří</v>
          </cell>
          <cell r="Z782" t="str">
            <v>Činnosti cestovních kanceláří</v>
          </cell>
        </row>
        <row r="783">
          <cell r="Q783" t="str">
            <v>Všeobecný úklid budov</v>
          </cell>
          <cell r="T783" t="str">
            <v>Všeobecný úklid budov</v>
          </cell>
          <cell r="W783" t="str">
            <v>Všeobecný úklid budov</v>
          </cell>
          <cell r="Z783" t="str">
            <v>Všeobecný úklid budov</v>
          </cell>
        </row>
        <row r="784">
          <cell r="Q784" t="str">
            <v>Specializované čištění a úklid budov a průmyslových zařízení</v>
          </cell>
          <cell r="T784" t="str">
            <v>Specializované čištění a úklid budov a průmyslových zařízení</v>
          </cell>
          <cell r="W784" t="str">
            <v>Specializované čištění a úklid budov a průmyslových zařízení</v>
          </cell>
          <cell r="Z784" t="str">
            <v>Specializované čištění a úklid budov a průmyslových zařízení</v>
          </cell>
        </row>
        <row r="785">
          <cell r="Q785" t="str">
            <v>Ostatní úklidové činnosti</v>
          </cell>
          <cell r="T785" t="str">
            <v>Ostatní úklidové činnosti</v>
          </cell>
          <cell r="W785" t="str">
            <v>Ostatní úklidové činnosti</v>
          </cell>
          <cell r="Z785" t="str">
            <v>Ostatní úklidové činnosti</v>
          </cell>
        </row>
        <row r="786">
          <cell r="Q786" t="str">
            <v>Univerzální administrativní činnosti</v>
          </cell>
          <cell r="T786" t="str">
            <v>Univerzální administrativní činnosti</v>
          </cell>
          <cell r="W786" t="str">
            <v>Univerzální administrativní činnosti</v>
          </cell>
          <cell r="Z786" t="str">
            <v>Univerzální administrativní činnosti</v>
          </cell>
        </row>
        <row r="787">
          <cell r="Q787" t="str">
            <v>Kopírování,příprava dokumentů a ost.specializ.kancel.podpůrné činnosti</v>
          </cell>
          <cell r="T787" t="str">
            <v>Kopírování,příprava dokumentů a ost.specializ.kancel.podpůrné činnosti</v>
          </cell>
          <cell r="W787" t="str">
            <v>Kopírování,příprava dokumentů a ost.specializ.kancel.podpůrné činnosti</v>
          </cell>
          <cell r="Z787" t="str">
            <v>Kopírování,příprava dokumentů a ost.specializ.kancel.podpůrné činnosti</v>
          </cell>
        </row>
        <row r="788">
          <cell r="Q788" t="str">
            <v>Inkasní činnosti, ověřování solventnosti zákazníka</v>
          </cell>
          <cell r="T788" t="str">
            <v>Inkasní činnosti, ověřování solventnosti zákazníka</v>
          </cell>
          <cell r="W788" t="str">
            <v>Inkasní činnosti, ověřování solventnosti zákazníka</v>
          </cell>
          <cell r="Z788" t="str">
            <v>Inkasní činnosti, ověřování solventnosti zákazníka</v>
          </cell>
        </row>
        <row r="789">
          <cell r="Q789" t="str">
            <v>Balicí činnosti</v>
          </cell>
          <cell r="T789" t="str">
            <v>Balicí činnosti</v>
          </cell>
          <cell r="W789" t="str">
            <v>Balicí činnosti</v>
          </cell>
          <cell r="Z789" t="str">
            <v>Balicí činnosti</v>
          </cell>
        </row>
        <row r="790">
          <cell r="Q790" t="str">
            <v>Ostatní podpůrné činnosti pro podnikání j. n.</v>
          </cell>
          <cell r="T790" t="str">
            <v>Ostatní podpůrné činnosti pro podnikání j. n.</v>
          </cell>
          <cell r="W790" t="str">
            <v>Ostatní podpůrné činnosti pro podnikání j. n.</v>
          </cell>
          <cell r="Z790" t="str">
            <v>Ostatní podpůrné činnosti pro podnikání j. n.</v>
          </cell>
        </row>
        <row r="791">
          <cell r="Q791" t="str">
            <v>Všeobecné činnosti veřejné správy</v>
          </cell>
          <cell r="T791" t="str">
            <v>Všeobecné činnosti veřejné správy</v>
          </cell>
          <cell r="W791" t="str">
            <v>Všeobecné činnosti veřejné správy</v>
          </cell>
          <cell r="Z791" t="str">
            <v>Všeobecné činnosti veřejné správy</v>
          </cell>
        </row>
        <row r="792">
          <cell r="Q792" t="str">
            <v>Regul.čin.souvis.s poskyt.zdr.péče,vzděl.,kulturou a soc.péčí,kromě soc.z.</v>
          </cell>
          <cell r="T792" t="str">
            <v>Regul.čin.souvis.s poskyt.zdr.péče,vzděl.,kulturou a soc.péčí,kromě soc.z.</v>
          </cell>
          <cell r="W792" t="str">
            <v>Regul.čin.souvis.s poskyt.zdr.péče,vzděl.,kulturou a soc.péčí,kromě soc.z.</v>
          </cell>
          <cell r="Z792" t="str">
            <v>Regul.čin.souvis.s poskyt.zdr.péče,vzděl.,kulturou a soc.péčí,kromě soc.z.</v>
          </cell>
        </row>
        <row r="793">
          <cell r="Q793" t="str">
            <v>Regulace a podpora podnikatelského prostředí</v>
          </cell>
          <cell r="T793" t="str">
            <v>Regulace a podpora podnikatelského prostředí</v>
          </cell>
          <cell r="W793" t="str">
            <v>Regulace a podpora podnikatelského prostředí</v>
          </cell>
          <cell r="Z793" t="str">
            <v>Regulace a podpora podnikatelského prostředí</v>
          </cell>
        </row>
        <row r="794">
          <cell r="Q794" t="str">
            <v>Činnosti v oblasti zahraničních věcí</v>
          </cell>
          <cell r="T794" t="str">
            <v>Činnosti v oblasti zahraničních věcí</v>
          </cell>
          <cell r="W794" t="str">
            <v>Činnosti v oblasti zahraničních věcí</v>
          </cell>
          <cell r="Z794" t="str">
            <v>Činnosti v oblasti zahraničních věcí</v>
          </cell>
        </row>
        <row r="795">
          <cell r="Q795" t="str">
            <v>Činnosti v oblasti obrany</v>
          </cell>
          <cell r="T795" t="str">
            <v>Činnosti v oblasti obrany</v>
          </cell>
          <cell r="W795" t="str">
            <v>Činnosti v oblasti obrany</v>
          </cell>
          <cell r="Z795" t="str">
            <v>Činnosti v oblasti obrany</v>
          </cell>
        </row>
        <row r="796">
          <cell r="Q796" t="str">
            <v>Činnosti v oblasti spravedlnosti a soudnictví</v>
          </cell>
          <cell r="T796" t="str">
            <v>Činnosti v oblasti spravedlnosti a soudnictví</v>
          </cell>
          <cell r="W796" t="str">
            <v>Činnosti v oblasti spravedlnosti a soudnictví</v>
          </cell>
          <cell r="Z796" t="str">
            <v>Činnosti v oblasti spravedlnosti a soudnictví</v>
          </cell>
        </row>
        <row r="797">
          <cell r="Q797" t="str">
            <v>Činnosti v oblasti veřejného pořádku a bezpečnosti</v>
          </cell>
          <cell r="T797" t="str">
            <v>Činnosti v oblasti veřejného pořádku a bezpečnosti</v>
          </cell>
          <cell r="W797" t="str">
            <v>Činnosti v oblasti veřejného pořádku a bezpečnosti</v>
          </cell>
          <cell r="Z797" t="str">
            <v>Činnosti v oblasti veřejného pořádku a bezpečnosti</v>
          </cell>
        </row>
        <row r="798">
          <cell r="Q798" t="str">
            <v>Činnosti v oblasti protipožární ochrany</v>
          </cell>
          <cell r="T798" t="str">
            <v>Činnosti v oblasti protipožární ochrany</v>
          </cell>
          <cell r="W798" t="str">
            <v>Činnosti v oblasti protipožární ochrany</v>
          </cell>
          <cell r="Z798" t="str">
            <v>Činnosti v oblasti protipožární ochrany</v>
          </cell>
        </row>
        <row r="799">
          <cell r="Q799" t="str">
            <v>Sekundární všeobecné vzdělávání</v>
          </cell>
          <cell r="T799" t="str">
            <v>Sekundární všeobecné vzdělávání</v>
          </cell>
          <cell r="W799" t="str">
            <v>Sekundární všeobecné vzdělávání</v>
          </cell>
          <cell r="Z799" t="str">
            <v>Sekundární všeobecné vzdělávání</v>
          </cell>
        </row>
        <row r="800">
          <cell r="Q800" t="str">
            <v>Sekundární odborné vzdělávání</v>
          </cell>
          <cell r="T800" t="str">
            <v>Sekundární odborné vzdělávání</v>
          </cell>
          <cell r="W800" t="str">
            <v>Sekundární odborné vzdělávání</v>
          </cell>
          <cell r="Z800" t="str">
            <v>Sekundární odborné vzdělávání</v>
          </cell>
        </row>
        <row r="801">
          <cell r="Q801" t="str">
            <v>Postsekundární nikoli terciární vzdělávání</v>
          </cell>
          <cell r="T801" t="str">
            <v>Postsekundární nikoli terciární vzdělávání</v>
          </cell>
          <cell r="W801" t="str">
            <v>Postsekundární nikoli terciární vzdělávání</v>
          </cell>
          <cell r="Z801" t="str">
            <v>Postsekundární nikoli terciární vzdělávání</v>
          </cell>
        </row>
        <row r="802">
          <cell r="Q802" t="str">
            <v>Terciární vzdělávání</v>
          </cell>
          <cell r="T802" t="str">
            <v>Terciární vzdělávání</v>
          </cell>
          <cell r="W802" t="str">
            <v>Terciární vzdělávání</v>
          </cell>
          <cell r="Z802" t="str">
            <v>Terciární vzdělávání</v>
          </cell>
        </row>
        <row r="803">
          <cell r="Q803" t="str">
            <v>Sportovní a rekreační vzdělávání</v>
          </cell>
          <cell r="T803" t="str">
            <v>Sportovní a rekreační vzdělávání</v>
          </cell>
          <cell r="W803" t="str">
            <v>Sportovní a rekreační vzdělávání</v>
          </cell>
          <cell r="Z803" t="str">
            <v>Sportovní a rekreační vzdělávání</v>
          </cell>
        </row>
        <row r="804">
          <cell r="Q804" t="str">
            <v>Umělecké vzdělávání</v>
          </cell>
          <cell r="T804" t="str">
            <v>Umělecké vzdělávání</v>
          </cell>
          <cell r="W804" t="str">
            <v>Umělecké vzdělávání</v>
          </cell>
          <cell r="Z804" t="str">
            <v>Umělecké vzdělávání</v>
          </cell>
        </row>
        <row r="805">
          <cell r="Q805" t="str">
            <v>Činnosti autoškol a jiných škol řízení</v>
          </cell>
          <cell r="T805" t="str">
            <v>Činnosti autoškol a jiných škol řízení</v>
          </cell>
          <cell r="W805" t="str">
            <v>Činnosti autoškol a jiných škol řízení</v>
          </cell>
          <cell r="Z805" t="str">
            <v>Činnosti autoškol a jiných škol řízení</v>
          </cell>
        </row>
        <row r="806">
          <cell r="Q806" t="str">
            <v>Ostatní vzdělávání j. n.</v>
          </cell>
          <cell r="T806" t="str">
            <v>Ostatní vzdělávání j. n.</v>
          </cell>
          <cell r="W806" t="str">
            <v>Ostatní vzdělávání j. n.</v>
          </cell>
          <cell r="Z806" t="str">
            <v>Ostatní vzdělávání j. n.</v>
          </cell>
        </row>
        <row r="807">
          <cell r="Q807" t="str">
            <v>Všeobecná ambulantní zdravotní péče</v>
          </cell>
          <cell r="T807" t="str">
            <v>Všeobecná ambulantní zdravotní péče</v>
          </cell>
          <cell r="W807" t="str">
            <v>Všeobecná ambulantní zdravotní péče</v>
          </cell>
          <cell r="Z807" t="str">
            <v>Všeobecná ambulantní zdravotní péče</v>
          </cell>
        </row>
        <row r="808">
          <cell r="Q808" t="str">
            <v>Specializovaná ambulantní zdravotní péče</v>
          </cell>
          <cell r="T808" t="str">
            <v>Specializovaná ambulantní zdravotní péče</v>
          </cell>
          <cell r="W808" t="str">
            <v>Specializovaná ambulantní zdravotní péče</v>
          </cell>
          <cell r="Z808" t="str">
            <v>Specializovaná ambulantní zdravotní péče</v>
          </cell>
        </row>
        <row r="809">
          <cell r="Q809" t="str">
            <v>Zubní péče</v>
          </cell>
          <cell r="T809" t="str">
            <v>Zubní péče</v>
          </cell>
          <cell r="W809" t="str">
            <v>Zubní péče</v>
          </cell>
          <cell r="Z809" t="str">
            <v>Zubní péče</v>
          </cell>
        </row>
        <row r="810">
          <cell r="Q810" t="str">
            <v>Sociální služby poskytované dětem</v>
          </cell>
          <cell r="T810" t="str">
            <v>Sociální služby poskytované dětem</v>
          </cell>
          <cell r="W810" t="str">
            <v>Sociální služby poskytované dětem</v>
          </cell>
          <cell r="Z810" t="str">
            <v>Sociální služby poskytované dětem</v>
          </cell>
        </row>
        <row r="811">
          <cell r="Q811" t="str">
            <v>Ostatní ambulantní nebo terénní sociální služby j. n.</v>
          </cell>
          <cell r="T811" t="str">
            <v>Ostatní ambulantní nebo terénní sociální služby j. n.</v>
          </cell>
          <cell r="W811" t="str">
            <v>Ostatní ambulantní nebo terénní sociální služby j. n.</v>
          </cell>
          <cell r="Z811" t="str">
            <v>Ostatní ambulantní nebo terénní sociální služby j. n.</v>
          </cell>
        </row>
        <row r="812">
          <cell r="Q812" t="str">
            <v>Scénická umění</v>
          </cell>
          <cell r="T812" t="str">
            <v>Scénická umění</v>
          </cell>
          <cell r="W812" t="str">
            <v>Scénická umění</v>
          </cell>
          <cell r="Z812" t="str">
            <v>Scénická umění</v>
          </cell>
        </row>
        <row r="813">
          <cell r="Q813" t="str">
            <v>Podpůrné činnosti pro scénická umění</v>
          </cell>
          <cell r="T813" t="str">
            <v>Podpůrné činnosti pro scénická umění</v>
          </cell>
          <cell r="W813" t="str">
            <v>Podpůrné činnosti pro scénická umění</v>
          </cell>
          <cell r="Z813" t="str">
            <v>Podpůrné činnosti pro scénická umění</v>
          </cell>
        </row>
        <row r="814">
          <cell r="Q814" t="str">
            <v>Umělecká tvorba</v>
          </cell>
          <cell r="T814" t="str">
            <v>Umělecká tvorba</v>
          </cell>
          <cell r="W814" t="str">
            <v>Umělecká tvorba</v>
          </cell>
          <cell r="Z814" t="str">
            <v>Umělecká tvorba</v>
          </cell>
        </row>
        <row r="815">
          <cell r="Q815" t="str">
            <v>Provozování kulturních zařízení</v>
          </cell>
          <cell r="T815" t="str">
            <v>Provozování kulturních zařízení</v>
          </cell>
          <cell r="W815" t="str">
            <v>Provozování kulturních zařízení</v>
          </cell>
          <cell r="Z815" t="str">
            <v>Provozování kulturních zařízení</v>
          </cell>
        </row>
        <row r="816">
          <cell r="Q816" t="str">
            <v>Činnosti knihoven a archivů</v>
          </cell>
          <cell r="T816" t="str">
            <v>Činnosti knihoven a archivů</v>
          </cell>
          <cell r="W816" t="str">
            <v>Činnosti knihoven a archivů</v>
          </cell>
          <cell r="Z816" t="str">
            <v>Činnosti knihoven a archivů</v>
          </cell>
        </row>
        <row r="817">
          <cell r="Q817" t="str">
            <v>Činnosti muzeí</v>
          </cell>
          <cell r="T817" t="str">
            <v>Činnosti muzeí</v>
          </cell>
          <cell r="W817" t="str">
            <v>Činnosti muzeí</v>
          </cell>
          <cell r="Z817" t="str">
            <v>Činnosti muzeí</v>
          </cell>
        </row>
        <row r="818">
          <cell r="Q818" t="str">
            <v>Provozování kultur.památek,histor.staveb a obdobných turist.zajímavostí</v>
          </cell>
          <cell r="T818" t="str">
            <v>Provozování kultur.památek,histor.staveb a obdobných turist.zajímavostí</v>
          </cell>
          <cell r="W818" t="str">
            <v>Provozování kultur.památek,histor.staveb a obdobných turist.zajímavostí</v>
          </cell>
          <cell r="Z818" t="str">
            <v>Provozování kultur.památek,histor.staveb a obdobných turist.zajímavostí</v>
          </cell>
        </row>
        <row r="819">
          <cell r="Q819" t="str">
            <v>Činnosti botanických a zoologických zahrad,přír.rezervací a národ.parků</v>
          </cell>
          <cell r="T819" t="str">
            <v>Činnosti botanických a zoologických zahrad,přír.rezervací a národ.parků</v>
          </cell>
          <cell r="W819" t="str">
            <v>Činnosti botanických a zoologických zahrad,přír.rezervací a národ.parků</v>
          </cell>
          <cell r="Z819" t="str">
            <v>Činnosti botanických a zoologických zahrad,přír.rezervací a národ.parků</v>
          </cell>
        </row>
        <row r="820">
          <cell r="Q820" t="str">
            <v>Provozování sportovních zařízení</v>
          </cell>
          <cell r="T820" t="str">
            <v>Provozování sportovních zařízení</v>
          </cell>
          <cell r="W820" t="str">
            <v>Provozování sportovních zařízení</v>
          </cell>
          <cell r="Z820" t="str">
            <v>Provozování sportovních zařízení</v>
          </cell>
        </row>
        <row r="821">
          <cell r="Q821" t="str">
            <v>Činnosti sportovních klubů</v>
          </cell>
          <cell r="T821" t="str">
            <v>Činnosti sportovních klubů</v>
          </cell>
          <cell r="W821" t="str">
            <v>Činnosti sportovních klubů</v>
          </cell>
          <cell r="Z821" t="str">
            <v>Činnosti sportovních klubů</v>
          </cell>
        </row>
        <row r="822">
          <cell r="Q822" t="str">
            <v>Činnosti fitcenter</v>
          </cell>
          <cell r="T822" t="str">
            <v>Činnosti fitcenter</v>
          </cell>
          <cell r="W822" t="str">
            <v>Činnosti fitcenter</v>
          </cell>
          <cell r="Z822" t="str">
            <v>Činnosti fitcenter</v>
          </cell>
        </row>
        <row r="823">
          <cell r="Q823" t="str">
            <v>Ostatní sportovní činnosti</v>
          </cell>
          <cell r="T823" t="str">
            <v>Ostatní sportovní činnosti</v>
          </cell>
          <cell r="W823" t="str">
            <v>Ostatní sportovní činnosti</v>
          </cell>
          <cell r="Z823" t="str">
            <v>Ostatní sportovní činnosti</v>
          </cell>
        </row>
        <row r="824">
          <cell r="Q824" t="str">
            <v>Činnosti lunaparků a zábavních parků</v>
          </cell>
          <cell r="T824" t="str">
            <v>Činnosti lunaparků a zábavních parků</v>
          </cell>
          <cell r="W824" t="str">
            <v>Činnosti lunaparků a zábavních parků</v>
          </cell>
          <cell r="Z824" t="str">
            <v>Činnosti lunaparků a zábavních parků</v>
          </cell>
        </row>
        <row r="825">
          <cell r="Q825" t="str">
            <v>Ostatní zábavní a rekreační činnosti j. n.</v>
          </cell>
          <cell r="T825" t="str">
            <v>Ostatní zábavní a rekreační činnosti j. n.</v>
          </cell>
          <cell r="W825" t="str">
            <v>Ostatní zábavní a rekreační činnosti j. n.</v>
          </cell>
          <cell r="Z825" t="str">
            <v>Ostatní zábavní a rekreační činnosti j. n.</v>
          </cell>
        </row>
        <row r="826">
          <cell r="Q826" t="str">
            <v>Činnosti podnikatelských a zaměstnavatelských organizací</v>
          </cell>
          <cell r="T826" t="str">
            <v>Činnosti podnikatelských a zaměstnavatelských organizací</v>
          </cell>
          <cell r="W826" t="str">
            <v>Činnosti podnikatelských a zaměstnavatelských organizací</v>
          </cell>
          <cell r="Z826" t="str">
            <v>Činnosti podnikatelských a zaměstnavatelských organizací</v>
          </cell>
        </row>
        <row r="827">
          <cell r="Q827" t="str">
            <v>Činnosti profesních organizací</v>
          </cell>
          <cell r="T827" t="str">
            <v>Činnosti profesních organizací</v>
          </cell>
          <cell r="W827" t="str">
            <v>Činnosti profesních organizací</v>
          </cell>
          <cell r="Z827" t="str">
            <v>Činnosti profesních organizací</v>
          </cell>
        </row>
        <row r="828">
          <cell r="Q828" t="str">
            <v>Činnosti náboženských organizací</v>
          </cell>
          <cell r="T828" t="str">
            <v>Činnosti náboženských organizací</v>
          </cell>
          <cell r="W828" t="str">
            <v>Činnosti náboženských organizací</v>
          </cell>
          <cell r="Z828" t="str">
            <v>Činnosti náboženských organizací</v>
          </cell>
        </row>
        <row r="829">
          <cell r="Q829" t="str">
            <v>Činnosti politických stran a organizací</v>
          </cell>
          <cell r="T829" t="str">
            <v>Činnosti politických stran a organizací</v>
          </cell>
          <cell r="W829" t="str">
            <v>Činnosti politických stran a organizací</v>
          </cell>
          <cell r="Z829" t="str">
            <v>Činnosti politických stran a organizací</v>
          </cell>
        </row>
        <row r="830">
          <cell r="Q830" t="str">
            <v>Činnosti ost.org.sdružujících osoby za účelem prosazování spol.zájmů j.n.</v>
          </cell>
          <cell r="T830" t="str">
            <v>Činnosti ost.org.sdružujících osoby za účelem prosazování spol.zájmů j.n.</v>
          </cell>
          <cell r="W830" t="str">
            <v>Činnosti ost.org.sdružujících osoby za účelem prosazování spol.zájmů j.n.</v>
          </cell>
          <cell r="Z830" t="str">
            <v>Činnosti ost.org.sdružujících osoby za účelem prosazování spol.zájmů j.n.</v>
          </cell>
        </row>
        <row r="831">
          <cell r="Q831" t="str">
            <v>Opravy počítačů a periferních zařízení</v>
          </cell>
          <cell r="T831" t="str">
            <v>Opravy počítačů a periferních zařízení</v>
          </cell>
          <cell r="W831" t="str">
            <v>Opravy počítačů a periferních zařízení</v>
          </cell>
          <cell r="Z831" t="str">
            <v>Opravy počítačů a periferních zařízení</v>
          </cell>
        </row>
        <row r="832">
          <cell r="Q832" t="str">
            <v>Opravy komunikačních zařízení</v>
          </cell>
          <cell r="T832" t="str">
            <v>Opravy komunikačních zařízení</v>
          </cell>
          <cell r="W832" t="str">
            <v>Opravy komunikačních zařízení</v>
          </cell>
          <cell r="Z832" t="str">
            <v>Opravy komunikačních zařízení</v>
          </cell>
        </row>
        <row r="833">
          <cell r="Q833" t="str">
            <v>Opravy spotřební elektroniky</v>
          </cell>
          <cell r="T833" t="str">
            <v>Opravy spotřební elektroniky</v>
          </cell>
          <cell r="W833" t="str">
            <v>Opravy spotřební elektroniky</v>
          </cell>
          <cell r="Z833" t="str">
            <v>Opravy spotřební elektroniky</v>
          </cell>
        </row>
        <row r="834">
          <cell r="Q834" t="str">
            <v>Opravy přístrojů a zařízení převážně pro domácnost, dům a zahradu</v>
          </cell>
          <cell r="T834" t="str">
            <v>Opravy přístrojů a zařízení převážně pro domácnost, dům a zahradu</v>
          </cell>
          <cell r="W834" t="str">
            <v>Opravy přístrojů a zařízení převážně pro domácnost, dům a zahradu</v>
          </cell>
          <cell r="Z834" t="str">
            <v>Opravy přístrojů a zařízení převážně pro domácnost, dům a zahradu</v>
          </cell>
        </row>
        <row r="835">
          <cell r="Q835" t="str">
            <v>Opravy obuvi a kožených výrobků</v>
          </cell>
          <cell r="T835" t="str">
            <v>Opravy obuvi a kožených výrobků</v>
          </cell>
          <cell r="W835" t="str">
            <v>Opravy obuvi a kožených výrobků</v>
          </cell>
          <cell r="Z835" t="str">
            <v>Opravy obuvi a kožených výrobků</v>
          </cell>
        </row>
        <row r="836">
          <cell r="Q836" t="str">
            <v>Opravy nábytku a bytového zařízení</v>
          </cell>
          <cell r="T836" t="str">
            <v>Opravy nábytku a bytového zařízení</v>
          </cell>
          <cell r="W836" t="str">
            <v>Opravy nábytku a bytového zařízení</v>
          </cell>
          <cell r="Z836" t="str">
            <v>Opravy nábytku a bytového zařízení</v>
          </cell>
        </row>
        <row r="837">
          <cell r="Q837" t="str">
            <v>Opravy hodin, hodinek a klenotnických výrobků</v>
          </cell>
          <cell r="T837" t="str">
            <v>Opravy hodin, hodinek a klenotnických výrobků</v>
          </cell>
          <cell r="W837" t="str">
            <v>Opravy hodin, hodinek a klenotnických výrobků</v>
          </cell>
          <cell r="Z837" t="str">
            <v>Opravy hodin, hodinek a klenotnických výrobků</v>
          </cell>
        </row>
        <row r="838">
          <cell r="Q838" t="str">
            <v>Opravy ostatních výrobků pro osobní potřebu a převážně pro domácnost</v>
          </cell>
          <cell r="T838" t="str">
            <v>Opravy ostatních výrobků pro osobní potřebu a převážně pro domácnost</v>
          </cell>
          <cell r="W838" t="str">
            <v>Opravy ostatních výrobků pro osobní potřebu a převážně pro domácnost</v>
          </cell>
          <cell r="Z838" t="str">
            <v>Opravy ostatních výrobků pro osobní potřebu a převážně pro domácnost</v>
          </cell>
        </row>
        <row r="839">
          <cell r="Q839" t="str">
            <v>Praní a chemické čištění textilních a kožešinových výrobků</v>
          </cell>
          <cell r="T839" t="str">
            <v>Praní a chemické čištění textilních a kožešinových výrobků</v>
          </cell>
          <cell r="W839" t="str">
            <v>Praní a chemické čištění textilních a kožešinových výrobků</v>
          </cell>
          <cell r="Z839" t="str">
            <v>Praní a chemické čištění textilních a kožešinových výrobků</v>
          </cell>
        </row>
        <row r="840">
          <cell r="Q840" t="str">
            <v>Kadeřnické, kosmetické a podobné činnosti</v>
          </cell>
          <cell r="T840" t="str">
            <v>Kadeřnické, kosmetické a podobné činnosti</v>
          </cell>
          <cell r="W840" t="str">
            <v>Kadeřnické, kosmetické a podobné činnosti</v>
          </cell>
          <cell r="Z840" t="str">
            <v>Kadeřnické, kosmetické a podobné činnosti</v>
          </cell>
        </row>
        <row r="841">
          <cell r="Q841" t="str">
            <v>Pohřební a související činnosti</v>
          </cell>
          <cell r="T841" t="str">
            <v>Pohřební a související činnosti</v>
          </cell>
          <cell r="W841" t="str">
            <v>Pohřební a související činnosti</v>
          </cell>
          <cell r="Z841" t="str">
            <v>Pohřební a související činnosti</v>
          </cell>
        </row>
        <row r="842">
          <cell r="Q842" t="str">
            <v>Činnosti pro osobní a fyzickou pohodu</v>
          </cell>
          <cell r="T842" t="str">
            <v>Činnosti pro osobní a fyzickou pohodu</v>
          </cell>
          <cell r="W842" t="str">
            <v>Činnosti pro osobní a fyzickou pohodu</v>
          </cell>
          <cell r="Z842" t="str">
            <v>Činnosti pro osobní a fyzickou pohodu</v>
          </cell>
        </row>
        <row r="843">
          <cell r="Q843" t="str">
            <v>Poskytování ostatních osobních služeb j. n.</v>
          </cell>
          <cell r="T843" t="str">
            <v>Poskytování ostatních osobních služeb j. n.</v>
          </cell>
          <cell r="W843" t="str">
            <v>Poskytování ostatních osobních služeb j. n.</v>
          </cell>
          <cell r="Z843" t="str">
            <v>Poskytování ostatních osobních služeb j. n.</v>
          </cell>
        </row>
        <row r="844">
          <cell r="Q844" t="str">
            <v>Činnosti domácností produk.blíže neurčené výrobky pro vlastní potřebu</v>
          </cell>
          <cell r="T844" t="str">
            <v>Činnosti domácností produk.blíže neurčené výrobky pro vlastní potřebu</v>
          </cell>
          <cell r="W844" t="str">
            <v>Činnosti domácností produk.blíže neurčené výrobky pro vlastní potřebu</v>
          </cell>
          <cell r="Z844" t="str">
            <v>Činnosti domácností produk.blíže neurčené výrobky pro vlastní potřebu</v>
          </cell>
        </row>
        <row r="845">
          <cell r="Q845" t="str">
            <v>Výroba obuvi s usňovým svrškem</v>
          </cell>
          <cell r="T845" t="str">
            <v>Výroba obuvi s usňovým svrškem</v>
          </cell>
          <cell r="W845" t="str">
            <v>Výroba obuvi s usňovým svrškem</v>
          </cell>
          <cell r="Z845" t="str">
            <v>Výroba obuvi s usňovým svrškem</v>
          </cell>
        </row>
        <row r="846">
          <cell r="Q846" t="str">
            <v>Výroba obuvi z ostatních materiálů</v>
          </cell>
          <cell r="T846" t="str">
            <v>Výroba obuvi z ostatních materiálů</v>
          </cell>
          <cell r="W846" t="str">
            <v>Výroba obuvi z ostatních materiálů</v>
          </cell>
          <cell r="Z846" t="str">
            <v>Výroba obuvi z ostatních materiálů</v>
          </cell>
        </row>
        <row r="847">
          <cell r="Q847" t="str">
            <v>Výroba chemických buničin</v>
          </cell>
          <cell r="T847" t="str">
            <v>Výroba chemických buničin</v>
          </cell>
          <cell r="W847" t="str">
            <v>Výroba chemických buničin</v>
          </cell>
          <cell r="Z847" t="str">
            <v>Výroba chemických buničin</v>
          </cell>
        </row>
        <row r="848">
          <cell r="Q848" t="str">
            <v>Výroba mechanických vláknin</v>
          </cell>
          <cell r="T848" t="str">
            <v>Výroba mechanických vláknin</v>
          </cell>
          <cell r="W848" t="str">
            <v>Výroba mechanických vláknin</v>
          </cell>
          <cell r="Z848" t="str">
            <v>Výroba mechanických vláknin</v>
          </cell>
        </row>
        <row r="849">
          <cell r="Q849" t="str">
            <v>Výroba ostatních papírenských vláknin</v>
          </cell>
          <cell r="T849" t="str">
            <v>Výroba ostatních papírenských vláknin</v>
          </cell>
          <cell r="W849" t="str">
            <v>Výroba ostatních papírenských vláknin</v>
          </cell>
          <cell r="Z849" t="str">
            <v>Výroba ostatních papírenských vláknin</v>
          </cell>
        </row>
        <row r="850">
          <cell r="Q850" t="str">
            <v>Výroba bioet.(biolihu)pro pohon motorů a pro výr.směsí a komp.paliv</v>
          </cell>
          <cell r="T850" t="str">
            <v>Výroba bioet.(biolihu)pro pohon motorů a pro výr.směsí a komp.paliv</v>
          </cell>
          <cell r="W850" t="str">
            <v>Výroba bioet.(biolihu)pro pohon motorů a pro výr.směsí a komp.paliv</v>
          </cell>
          <cell r="Z850" t="str">
            <v>Výroba bioet.(biolihu)pro pohon motorů a pro výr.směsí a komp.paliv</v>
          </cell>
        </row>
        <row r="851">
          <cell r="Q851" t="str">
            <v>Výroba ostatních základních organických chemických látek</v>
          </cell>
          <cell r="T851" t="str">
            <v>Výroba ostatních základních organických chemických látek</v>
          </cell>
          <cell r="W851" t="str">
            <v>Výroba ostatních základních organických chemických látek</v>
          </cell>
          <cell r="Z851" t="str">
            <v>Výroba ostatních základních organických chemických látek</v>
          </cell>
        </row>
        <row r="852">
          <cell r="Q852" t="str">
            <v>Výr.metylesterů a etylesterů mast.kys.pro pohon motorů a pro výr.sm.p.</v>
          </cell>
          <cell r="T852" t="str">
            <v>Výr.metylesterů a etylesterů mast.kys.pro pohon motorů a pro výr.sm.p.</v>
          </cell>
          <cell r="W852" t="str">
            <v>Výr.metylesterů a etylesterů mast.kys.pro pohon motorů a pro výr.sm.p.</v>
          </cell>
          <cell r="Z852" t="str">
            <v>Výr.metylesterů a etylesterů mast.kys.pro pohon motorů a pro výr.sm.p.</v>
          </cell>
        </row>
        <row r="853">
          <cell r="Q853" t="str">
            <v>Výroba jiných chemických výrobků j. n.</v>
          </cell>
          <cell r="T853" t="str">
            <v>Výroba jiných chemických výrobků j. n.</v>
          </cell>
          <cell r="W853" t="str">
            <v>Výroba jiných chemických výrobků j. n.</v>
          </cell>
          <cell r="Z853" t="str">
            <v>Výroba jiných chemických výrobků j. n.</v>
          </cell>
        </row>
        <row r="854">
          <cell r="Q854" t="str">
            <v>Výroba surového železa, oceli a feroslitin</v>
          </cell>
          <cell r="T854" t="str">
            <v>Výroba surového železa, oceli a feroslitin</v>
          </cell>
          <cell r="W854" t="str">
            <v>Výroba surového železa, oceli a feroslitin</v>
          </cell>
          <cell r="Z854" t="str">
            <v>Výroba surového železa, oceli a feroslitin</v>
          </cell>
        </row>
        <row r="855">
          <cell r="Q855" t="str">
            <v>Výroba plochých výrobků (kromě pásky za studena)</v>
          </cell>
          <cell r="T855" t="str">
            <v>Výroba plochých výrobků (kromě pásky za studena)</v>
          </cell>
          <cell r="W855" t="str">
            <v>Výroba plochých výrobků (kromě pásky za studena)</v>
          </cell>
          <cell r="Z855" t="str">
            <v>Výroba plochých výrobků (kromě pásky za studena)</v>
          </cell>
        </row>
        <row r="856">
          <cell r="Q856" t="str">
            <v>Tváření výrobků za tepla</v>
          </cell>
          <cell r="T856" t="str">
            <v>Tváření výrobků za tepla</v>
          </cell>
          <cell r="W856" t="str">
            <v>Tváření výrobků za tepla</v>
          </cell>
          <cell r="Z856" t="str">
            <v>Tváření výrobků za tepla</v>
          </cell>
        </row>
        <row r="857">
          <cell r="Q857" t="str">
            <v>Výroba odlitků z litiny s lupínkovým grafitem</v>
          </cell>
          <cell r="T857" t="str">
            <v>Výroba odlitků z litiny s lupínkovým grafitem</v>
          </cell>
          <cell r="W857" t="str">
            <v>Výroba odlitků z litiny s lupínkovým grafitem</v>
          </cell>
          <cell r="Z857" t="str">
            <v>Výroba odlitků z litiny s lupínkovým grafitem</v>
          </cell>
        </row>
        <row r="858">
          <cell r="Q858" t="str">
            <v>Výroba odlitků z litiny s kuličkovým grafitem</v>
          </cell>
          <cell r="T858" t="str">
            <v>Výroba odlitků z litiny s kuličkovým grafitem</v>
          </cell>
          <cell r="W858" t="str">
            <v>Výroba odlitků z litiny s kuličkovým grafitem</v>
          </cell>
          <cell r="Z858" t="str">
            <v>Výroba odlitků z litiny s kuličkovým grafitem</v>
          </cell>
        </row>
        <row r="859">
          <cell r="Q859" t="str">
            <v>Výroba ostatních odlitků z litiny</v>
          </cell>
          <cell r="T859" t="str">
            <v>Výroba ostatních odlitků z litiny</v>
          </cell>
          <cell r="W859" t="str">
            <v>Výroba ostatních odlitků z litiny</v>
          </cell>
          <cell r="Z859" t="str">
            <v>Výroba ostatních odlitků z litiny</v>
          </cell>
        </row>
        <row r="860">
          <cell r="Q860" t="str">
            <v>Výroba odlitků z uhlíkatých ocelí</v>
          </cell>
          <cell r="T860" t="str">
            <v>Výroba odlitků z uhlíkatých ocelí</v>
          </cell>
          <cell r="W860" t="str">
            <v>Výroba odlitků z uhlíkatých ocelí</v>
          </cell>
          <cell r="Z860" t="str">
            <v>Výroba odlitků z uhlíkatých ocelí</v>
          </cell>
        </row>
        <row r="861">
          <cell r="Q861" t="str">
            <v>Výroba odlitků z legovaných ocelí</v>
          </cell>
          <cell r="T861" t="str">
            <v>Výroba odlitků z legovaných ocelí</v>
          </cell>
          <cell r="W861" t="str">
            <v>Výroba odlitků z legovaných ocelí</v>
          </cell>
          <cell r="Z861" t="str">
            <v>Výroba odlitků z legovaných ocelí</v>
          </cell>
        </row>
        <row r="862">
          <cell r="Q862" t="str">
            <v>Opravy a údržba kolejových vozidel</v>
          </cell>
          <cell r="T862" t="str">
            <v>Opravy a údržba kolejových vozidel</v>
          </cell>
          <cell r="W862" t="str">
            <v>Opravy a údržba kolejových vozidel</v>
          </cell>
          <cell r="Z862" t="str">
            <v>Opravy a údržba kolejových vozidel</v>
          </cell>
        </row>
        <row r="863">
          <cell r="Q863" t="str">
            <v>Opravy a údržba ostat.dopr.prostředků a zařízení j.n.kromě kolej.vozidel</v>
          </cell>
          <cell r="T863" t="str">
            <v>Opravy a údržba ostat.dopr.prostředků a zařízení j.n.kromě kolej.vozidel</v>
          </cell>
          <cell r="W863" t="str">
            <v>Opravy a údržba ostat.dopr.prostředků a zařízení j.n.kromě kolej.vozidel</v>
          </cell>
          <cell r="Z863" t="str">
            <v>Opravy a údržba ostat.dopr.prostředků a zařízení j.n.kromě kolej.vozidel</v>
          </cell>
        </row>
        <row r="864">
          <cell r="Q864" t="str">
            <v>Výroba a rozvod tepla a klimatizovaného vzduchu,výroba ledu</v>
          </cell>
          <cell r="T864" t="str">
            <v>Výroba a rozvod tepla a klimatizovaného vzduchu,výroba ledu</v>
          </cell>
          <cell r="W864" t="str">
            <v>Výroba a rozvod tepla a klimatizovaného vzduchu,výroba ledu</v>
          </cell>
          <cell r="Z864" t="str">
            <v>Výroba a rozvod tepla a klimatizovaného vzduchu,výroba ledu</v>
          </cell>
        </row>
        <row r="865">
          <cell r="Q865" t="str">
            <v>Výroba tepla</v>
          </cell>
          <cell r="T865" t="str">
            <v>Výroba tepla</v>
          </cell>
          <cell r="W865" t="str">
            <v>Výroba tepla</v>
          </cell>
          <cell r="Z865" t="str">
            <v>Výroba tepla</v>
          </cell>
        </row>
        <row r="866">
          <cell r="Q866" t="str">
            <v>Rozvod tepla</v>
          </cell>
          <cell r="T866" t="str">
            <v>Rozvod tepla</v>
          </cell>
          <cell r="W866" t="str">
            <v>Rozvod tepla</v>
          </cell>
          <cell r="Z866" t="str">
            <v>Rozvod tepla</v>
          </cell>
        </row>
        <row r="867">
          <cell r="Q867" t="str">
            <v>Výroba klimatizovaného vzduchu</v>
          </cell>
          <cell r="T867" t="str">
            <v>Výroba klimatizovaného vzduchu</v>
          </cell>
          <cell r="W867" t="str">
            <v>Výroba klimatizovaného vzduchu</v>
          </cell>
          <cell r="Z867" t="str">
            <v>Výroba klimatizovaného vzduchu</v>
          </cell>
        </row>
        <row r="868">
          <cell r="Q868" t="str">
            <v>Rozvod klimatizovaného vzduchu</v>
          </cell>
          <cell r="T868" t="str">
            <v>Rozvod klimatizovaného vzduchu</v>
          </cell>
          <cell r="W868" t="str">
            <v>Rozvod klimatizovaného vzduchu</v>
          </cell>
          <cell r="Z868" t="str">
            <v>Rozvod klimatizovaného vzduchu</v>
          </cell>
        </row>
        <row r="869">
          <cell r="Q869" t="str">
            <v>Výroba chladicí vody</v>
          </cell>
          <cell r="T869" t="str">
            <v>Výroba chladicí vody</v>
          </cell>
          <cell r="W869" t="str">
            <v>Výroba chladicí vody</v>
          </cell>
          <cell r="Z869" t="str">
            <v>Výroba chladicí vody</v>
          </cell>
        </row>
        <row r="870">
          <cell r="Q870" t="str">
            <v>Rozvod chladicí vody</v>
          </cell>
          <cell r="T870" t="str">
            <v>Rozvod chladicí vody</v>
          </cell>
          <cell r="W870" t="str">
            <v>Rozvod chladicí vody</v>
          </cell>
          <cell r="Z870" t="str">
            <v>Rozvod chladicí vody</v>
          </cell>
        </row>
        <row r="871">
          <cell r="Q871" t="str">
            <v>Výroba ledu</v>
          </cell>
          <cell r="T871" t="str">
            <v>Výroba ledu</v>
          </cell>
          <cell r="W871" t="str">
            <v>Výroba ledu</v>
          </cell>
          <cell r="Z871" t="str">
            <v>Výroba ledu</v>
          </cell>
        </row>
        <row r="872">
          <cell r="Q872" t="str">
            <v>Výstavba nebytových budov</v>
          </cell>
          <cell r="T872" t="str">
            <v>Výstavba nebytových budov</v>
          </cell>
          <cell r="W872" t="str">
            <v>Výstavba nebytových budov</v>
          </cell>
          <cell r="Z872" t="str">
            <v>Výstavba nebytových budov</v>
          </cell>
        </row>
        <row r="873">
          <cell r="Q873" t="str">
            <v>Výstavba inženýrských sítí pro kapaliny</v>
          </cell>
          <cell r="T873" t="str">
            <v>Výstavba inženýrských sítí pro kapaliny</v>
          </cell>
          <cell r="W873" t="str">
            <v>Výstavba inženýrských sítí pro kapaliny</v>
          </cell>
          <cell r="Z873" t="str">
            <v>Výstavba inženýrských sítí pro kapaliny</v>
          </cell>
        </row>
        <row r="874">
          <cell r="Q874" t="str">
            <v>Výstavba inženýrských sítí pro plyny</v>
          </cell>
          <cell r="T874" t="str">
            <v>Výstavba inženýrských sítí pro plyny</v>
          </cell>
          <cell r="W874" t="str">
            <v>Výstavba inženýrských sítí pro plyny</v>
          </cell>
          <cell r="Z874" t="str">
            <v>Výstavba inženýrských sítí pro plyny</v>
          </cell>
        </row>
        <row r="875">
          <cell r="Q875" t="str">
            <v>Sklenářské práce</v>
          </cell>
          <cell r="T875" t="str">
            <v>Sklenářské práce</v>
          </cell>
          <cell r="W875" t="str">
            <v>Sklenářské práce</v>
          </cell>
          <cell r="Z875" t="str">
            <v>Sklenářské práce</v>
          </cell>
        </row>
        <row r="876">
          <cell r="Q876" t="str">
            <v>Malířské a natěračské práce</v>
          </cell>
          <cell r="T876" t="str">
            <v>Malířské a natěračské práce</v>
          </cell>
          <cell r="W876" t="str">
            <v>Malířské a natěračské práce</v>
          </cell>
          <cell r="Z876" t="str">
            <v>Malířské a natěračské práce</v>
          </cell>
        </row>
        <row r="877">
          <cell r="Q877" t="str">
            <v>Montáž a demontáž lešení a bednění</v>
          </cell>
          <cell r="T877" t="str">
            <v>Montáž a demontáž lešení a bednění</v>
          </cell>
          <cell r="W877" t="str">
            <v>Montáž a demontáž lešení a bednění</v>
          </cell>
          <cell r="Z877" t="str">
            <v>Montáž a demontáž lešení a bednění</v>
          </cell>
        </row>
        <row r="878">
          <cell r="Q878" t="str">
            <v>Jiné specializované stavební činnosti j. n.</v>
          </cell>
          <cell r="T878" t="str">
            <v>Jiné specializované stavební činnosti j. n.</v>
          </cell>
          <cell r="W878" t="str">
            <v>Jiné specializované stavební činnosti j. n.</v>
          </cell>
          <cell r="Z878" t="str">
            <v>Jiné specializované stavební činnosti j. n.</v>
          </cell>
        </row>
        <row r="879">
          <cell r="Q879" t="str">
            <v>Zprostředkování velkoobchodu a velkoobchod v zastoupení s papír.výrobky</v>
          </cell>
          <cell r="T879" t="str">
            <v>Zprostředkování velkoobchodu a velkoobchod v zastoupení s papír.výrobky</v>
          </cell>
          <cell r="W879" t="str">
            <v>Zprostředkování velkoobchodu a velkoobchod v zastoupení s papír.výrobky</v>
          </cell>
          <cell r="Z879" t="str">
            <v>Zprostředkování velkoobchodu a velkoobchod v zastoupení s papír.výrobky</v>
          </cell>
        </row>
        <row r="880">
          <cell r="Q880" t="str">
            <v>Zprostř.specializ.velkoobchodu a velkoobchod v zast.s ost.výrobky j.n.</v>
          </cell>
          <cell r="T880" t="str">
            <v>Zprostř.specializ.velkoobchodu a velkoobchod v zast.s ost.výrobky j.n.</v>
          </cell>
          <cell r="W880" t="str">
            <v>Zprostř.specializ.velkoobchodu a velkoobchod v zast.s ost.výrobky j.n.</v>
          </cell>
          <cell r="Z880" t="str">
            <v>Zprostř.specializ.velkoobchodu a velkoobchod v zast.s ost.výrobky j.n.</v>
          </cell>
        </row>
        <row r="881">
          <cell r="Q881" t="str">
            <v>Velkoobchod s oděvy</v>
          </cell>
          <cell r="T881" t="str">
            <v>Velkoobchod s oděvy</v>
          </cell>
          <cell r="W881" t="str">
            <v>Velkoobchod s oděvy</v>
          </cell>
          <cell r="Z881" t="str">
            <v>Velkoobchod s oděvy</v>
          </cell>
        </row>
        <row r="882">
          <cell r="Q882" t="str">
            <v>Velkoobchod s obuví</v>
          </cell>
          <cell r="T882" t="str">
            <v>Velkoobchod s obuví</v>
          </cell>
          <cell r="W882" t="str">
            <v>Velkoobchod s obuví</v>
          </cell>
          <cell r="Z882" t="str">
            <v>Velkoobchod s obuví</v>
          </cell>
        </row>
        <row r="883">
          <cell r="Q883" t="str">
            <v>Velkoobchod s porcelánovými, keramickými a skleněnými výrobky</v>
          </cell>
          <cell r="T883" t="str">
            <v>Velkoobchod s porcelánovými, keramickými a skleněnými výrobky</v>
          </cell>
          <cell r="W883" t="str">
            <v>Velkoobchod s porcelánovými, keramickými a skleněnými výrobky</v>
          </cell>
          <cell r="Z883" t="str">
            <v>Velkoobchod s porcelánovými, keramickými a skleněnými výrobky</v>
          </cell>
        </row>
        <row r="884">
          <cell r="Q884" t="str">
            <v>Velkoobchod s pracími a čisticími prostředky</v>
          </cell>
          <cell r="T884" t="str">
            <v>Velkoobchod s pracími a čisticími prostředky</v>
          </cell>
          <cell r="W884" t="str">
            <v>Velkoobchod s pracími a čisticími prostředky</v>
          </cell>
          <cell r="Z884" t="str">
            <v>Velkoobchod s pracími a čisticími prostředky</v>
          </cell>
        </row>
        <row r="885">
          <cell r="Q885" t="str">
            <v>Velkoobchod s pevnými palivy a příbuznými výrobky</v>
          </cell>
          <cell r="T885" t="str">
            <v>Velkoobchod s pevnými palivy a příbuznými výrobky</v>
          </cell>
          <cell r="W885" t="str">
            <v>Velkoobchod s pevnými palivy a příbuznými výrobky</v>
          </cell>
          <cell r="Z885" t="str">
            <v>Velkoobchod s pevnými palivy a příbuznými výrobky</v>
          </cell>
        </row>
        <row r="886">
          <cell r="Q886" t="str">
            <v>Velkoobchod s kapalnými palivy a příbuznými výrobky</v>
          </cell>
          <cell r="T886" t="str">
            <v>Velkoobchod s kapalnými palivy a příbuznými výrobky</v>
          </cell>
          <cell r="W886" t="str">
            <v>Velkoobchod s kapalnými palivy a příbuznými výrobky</v>
          </cell>
          <cell r="Z886" t="str">
            <v>Velkoobchod s kapalnými palivy a příbuznými výrobky</v>
          </cell>
        </row>
        <row r="887">
          <cell r="Q887" t="str">
            <v>Velkoobchod s plynnými palivy a příbuznými výrobky</v>
          </cell>
          <cell r="T887" t="str">
            <v>Velkoobchod s plynnými palivy a příbuznými výrobky</v>
          </cell>
          <cell r="W887" t="str">
            <v>Velkoobchod s plynnými palivy a příbuznými výrobky</v>
          </cell>
          <cell r="Z887" t="str">
            <v>Velkoobchod s plynnými palivy a příbuznými výrobky</v>
          </cell>
        </row>
        <row r="888">
          <cell r="Q888" t="str">
            <v>Velkoobchod s papírenskými meziprodukty</v>
          </cell>
          <cell r="T888" t="str">
            <v>Velkoobchod s papírenskými meziprodukty</v>
          </cell>
          <cell r="W888" t="str">
            <v>Velkoobchod s papírenskými meziprodukty</v>
          </cell>
          <cell r="Z888" t="str">
            <v>Velkoobchod s papírenskými meziprodukty</v>
          </cell>
        </row>
        <row r="889">
          <cell r="Q889" t="str">
            <v>Velkoobchod s ostatními meziprodukty j. n.</v>
          </cell>
          <cell r="T889" t="str">
            <v>Velkoobchod s ostatními meziprodukty j. n.</v>
          </cell>
          <cell r="W889" t="str">
            <v>Velkoobchod s ostatními meziprodukty j. n.</v>
          </cell>
          <cell r="Z889" t="str">
            <v>Velkoobchod s ostatními meziprodukty j. n.</v>
          </cell>
        </row>
        <row r="890">
          <cell r="Q890" t="str">
            <v>Maloobchod s fotografickým a optickým zařízením a potřebami</v>
          </cell>
          <cell r="T890" t="str">
            <v>Maloobchod s fotografickým a optickým zařízením a potřebami</v>
          </cell>
          <cell r="W890" t="str">
            <v>Maloobchod s fotografickým a optickým zařízením a potřebami</v>
          </cell>
          <cell r="Z890" t="str">
            <v>Maloobchod s fotografickým a optickým zařízením a potřebami</v>
          </cell>
        </row>
        <row r="891">
          <cell r="Q891" t="str">
            <v>Maloobchod s pevnými palivy</v>
          </cell>
          <cell r="T891" t="str">
            <v>Maloobchod s pevnými palivy</v>
          </cell>
          <cell r="W891" t="str">
            <v>Maloobchod s pevnými palivy</v>
          </cell>
          <cell r="Z891" t="str">
            <v>Maloobchod s pevnými palivy</v>
          </cell>
        </row>
        <row r="892">
          <cell r="Q892" t="str">
            <v>Maloobchod s kapalnými palivy (kromě pohonných hmot)</v>
          </cell>
          <cell r="T892" t="str">
            <v>Maloobchod s kapalnými palivy (kromě pohonných hmot)</v>
          </cell>
          <cell r="W892" t="str">
            <v>Maloobchod s kapalnými palivy (kromě pohonných hmot)</v>
          </cell>
          <cell r="Z892" t="str">
            <v>Maloobchod s kapalnými palivy (kromě pohonných hmot)</v>
          </cell>
        </row>
        <row r="893">
          <cell r="Q893" t="str">
            <v>Maloobchod s plynnými palivy (kromě pohonných hmot)</v>
          </cell>
          <cell r="T893" t="str">
            <v>Maloobchod s plynnými palivy (kromě pohonných hmot)</v>
          </cell>
          <cell r="W893" t="str">
            <v>Maloobchod s plynnými palivy (kromě pohonných hmot)</v>
          </cell>
          <cell r="Z893" t="str">
            <v>Maloobchod s plynnými palivy (kromě pohonných hmot)</v>
          </cell>
        </row>
        <row r="894">
          <cell r="Q894" t="str">
            <v>Ostatní maloobchod s novým zbožím ve specializovaných prodejnách j. n.</v>
          </cell>
          <cell r="T894" t="str">
            <v>Ostatní maloobchod s novým zbožím ve specializovaných prodejnách j. n.</v>
          </cell>
          <cell r="W894" t="str">
            <v>Ostatní maloobchod s novým zbožím ve specializovaných prodejnách j. n.</v>
          </cell>
          <cell r="Z894" t="str">
            <v>Ostatní maloobchod s novým zbožím ve specializovaných prodejnách j. n.</v>
          </cell>
        </row>
        <row r="895">
          <cell r="Q895" t="str">
            <v>Maloobchod prostřednictvím internetu</v>
          </cell>
          <cell r="T895" t="str">
            <v>Maloobchod prostřednictvím internetu</v>
          </cell>
          <cell r="W895" t="str">
            <v>Maloobchod prostřednictvím internetu</v>
          </cell>
          <cell r="Z895" t="str">
            <v>Maloobchod prostřednictvím internetu</v>
          </cell>
        </row>
        <row r="896">
          <cell r="Q896" t="str">
            <v>Maloobchod prostřednictvím zásilkové služby(jiný než prostř.internetu)</v>
          </cell>
          <cell r="T896" t="str">
            <v>Maloobchod prostřednictvím zásilkové služby(jiný než prostř.internetu)</v>
          </cell>
          <cell r="W896" t="str">
            <v>Maloobchod prostřednictvím zásilkové služby(jiný než prostř.internetu)</v>
          </cell>
          <cell r="Z896" t="str">
            <v>Maloobchod prostřednictvím zásilkové služby(jiný než prostř.internetu)</v>
          </cell>
        </row>
        <row r="897">
          <cell r="Q897" t="str">
            <v>Meziměstská pravidelná pozemní osobní doprava</v>
          </cell>
          <cell r="T897" t="str">
            <v>Meziměstská pravidelná pozemní osobní doprava</v>
          </cell>
          <cell r="W897" t="str">
            <v>Meziměstská pravidelná pozemní osobní doprava</v>
          </cell>
          <cell r="Z897" t="str">
            <v>Meziměstská pravidelná pozemní osobní doprava</v>
          </cell>
        </row>
        <row r="898">
          <cell r="Q898" t="str">
            <v>Osobní doprava lanovkou nebo vlekem</v>
          </cell>
          <cell r="T898" t="str">
            <v>Osobní doprava lanovkou nebo vlekem</v>
          </cell>
          <cell r="W898" t="str">
            <v>Osobní doprava lanovkou nebo vlekem</v>
          </cell>
          <cell r="Z898" t="str">
            <v>Osobní doprava lanovkou nebo vlekem</v>
          </cell>
        </row>
        <row r="899">
          <cell r="Q899" t="str">
            <v>Nepravidelná pozemní osobní doprava</v>
          </cell>
          <cell r="T899" t="str">
            <v>Nepravidelná pozemní osobní doprava</v>
          </cell>
          <cell r="W899" t="str">
            <v>Nepravidelná pozemní osobní doprava</v>
          </cell>
          <cell r="Z899" t="str">
            <v>Nepravidelná pozemní osobní doprava</v>
          </cell>
        </row>
        <row r="900">
          <cell r="Q900" t="str">
            <v>Jiná pozemní osobní doprava j. n.</v>
          </cell>
          <cell r="T900" t="str">
            <v>Jiná pozemní osobní doprava j. n.</v>
          </cell>
          <cell r="W900" t="str">
            <v>Jiná pozemní osobní doprava j. n.</v>
          </cell>
          <cell r="Z900" t="str">
            <v>Jiná pozemní osobní doprava j. n.</v>
          </cell>
        </row>
        <row r="901">
          <cell r="Q901" t="str">
            <v>Potrubní doprava ropovodem</v>
          </cell>
          <cell r="T901" t="str">
            <v>Potrubní doprava ropovodem</v>
          </cell>
          <cell r="W901" t="str">
            <v>Potrubní doprava ropovodem</v>
          </cell>
          <cell r="Z901" t="str">
            <v>Potrubní doprava ropovodem</v>
          </cell>
        </row>
        <row r="902">
          <cell r="Q902" t="str">
            <v>Potrubní doprava plynovodem</v>
          </cell>
          <cell r="T902" t="str">
            <v>Potrubní doprava plynovodem</v>
          </cell>
          <cell r="W902" t="str">
            <v>Potrubní doprava plynovodem</v>
          </cell>
          <cell r="Z902" t="str">
            <v>Potrubní doprava plynovodem</v>
          </cell>
        </row>
        <row r="903">
          <cell r="Q903" t="str">
            <v>Potrubní doprava ostatní</v>
          </cell>
          <cell r="T903" t="str">
            <v>Potrubní doprava ostatní</v>
          </cell>
          <cell r="W903" t="str">
            <v>Potrubní doprava ostatní</v>
          </cell>
          <cell r="Z903" t="str">
            <v>Potrubní doprava ostatní</v>
          </cell>
        </row>
        <row r="904">
          <cell r="Q904" t="str">
            <v>Vnitrostátní pravidelná letecká osobní doprava</v>
          </cell>
          <cell r="T904" t="str">
            <v>Vnitrostátní pravidelná letecká osobní doprava</v>
          </cell>
          <cell r="W904" t="str">
            <v>Vnitrostátní pravidelná letecká osobní doprava</v>
          </cell>
          <cell r="Z904" t="str">
            <v>Vnitrostátní pravidelná letecká osobní doprava</v>
          </cell>
        </row>
        <row r="905">
          <cell r="Q905" t="str">
            <v>Vnitrostátní nepravidelná letecká osobní doprava</v>
          </cell>
          <cell r="T905" t="str">
            <v>Vnitrostátní nepravidelná letecká osobní doprava</v>
          </cell>
          <cell r="W905" t="str">
            <v>Vnitrostátní nepravidelná letecká osobní doprava</v>
          </cell>
          <cell r="Z905" t="str">
            <v>Vnitrostátní nepravidelná letecká osobní doprava</v>
          </cell>
        </row>
        <row r="906">
          <cell r="Q906" t="str">
            <v>Mezinárodní pravidelná letecká osobní doprava</v>
          </cell>
          <cell r="T906" t="str">
            <v>Mezinárodní pravidelná letecká osobní doprava</v>
          </cell>
          <cell r="W906" t="str">
            <v>Mezinárodní pravidelná letecká osobní doprava</v>
          </cell>
          <cell r="Z906" t="str">
            <v>Mezinárodní pravidelná letecká osobní doprava</v>
          </cell>
        </row>
        <row r="907">
          <cell r="Q907" t="str">
            <v>Mezinárodní nepravidelná letecká osobní doprava</v>
          </cell>
          <cell r="T907" t="str">
            <v>Mezinárodní nepravidelná letecká osobní doprava</v>
          </cell>
          <cell r="W907" t="str">
            <v>Mezinárodní nepravidelná letecká osobní doprava</v>
          </cell>
          <cell r="Z907" t="str">
            <v>Mezinárodní nepravidelná letecká osobní doprava</v>
          </cell>
        </row>
        <row r="908">
          <cell r="Q908" t="str">
            <v>Ostatní letecká osobní doprava</v>
          </cell>
          <cell r="T908" t="str">
            <v>Ostatní letecká osobní doprava</v>
          </cell>
          <cell r="W908" t="str">
            <v>Ostatní letecká osobní doprava</v>
          </cell>
          <cell r="Z908" t="str">
            <v>Ostatní letecká osobní doprava</v>
          </cell>
        </row>
        <row r="909">
          <cell r="Q909" t="str">
            <v>Hotely</v>
          </cell>
          <cell r="T909" t="str">
            <v>Hotely</v>
          </cell>
          <cell r="W909" t="str">
            <v>Hotely</v>
          </cell>
          <cell r="Z909" t="str">
            <v>Hotely</v>
          </cell>
        </row>
        <row r="910">
          <cell r="Q910" t="str">
            <v>Motely, botely</v>
          </cell>
          <cell r="T910" t="str">
            <v>Motely, botely</v>
          </cell>
          <cell r="W910" t="str">
            <v>Motely, botely</v>
          </cell>
          <cell r="Z910" t="str">
            <v>Motely, botely</v>
          </cell>
        </row>
        <row r="911">
          <cell r="Q911" t="str">
            <v>Ostatní podobná ubytovací zařízení</v>
          </cell>
          <cell r="T911" t="str">
            <v>Ostatní podobná ubytovací zařízení</v>
          </cell>
          <cell r="W911" t="str">
            <v>Ostatní podobná ubytovací zařízení</v>
          </cell>
          <cell r="Z911" t="str">
            <v>Ostatní podobná ubytovací zařízení</v>
          </cell>
        </row>
        <row r="912">
          <cell r="Q912" t="str">
            <v>Ubytování v zařízených pronájmech</v>
          </cell>
          <cell r="T912" t="str">
            <v>Ubytování v zařízených pronájmech</v>
          </cell>
          <cell r="W912" t="str">
            <v>Ubytování v zařízených pronájmech</v>
          </cell>
          <cell r="Z912" t="str">
            <v>Ubytování v zařízených pronájmech</v>
          </cell>
        </row>
        <row r="913">
          <cell r="Q913" t="str">
            <v>Ubytování ve vysokoškolských kolejích, domovech mládeže</v>
          </cell>
          <cell r="T913" t="str">
            <v>Ubytování ve vysokoškolských kolejích, domovech mládeže</v>
          </cell>
          <cell r="W913" t="str">
            <v>Ubytování ve vysokoškolských kolejích, domovech mládeže</v>
          </cell>
          <cell r="Z913" t="str">
            <v>Ubytování ve vysokoškolských kolejích, domovech mládeže</v>
          </cell>
        </row>
        <row r="914">
          <cell r="Q914" t="str">
            <v>Ostatní ubytování j. n.</v>
          </cell>
          <cell r="T914" t="str">
            <v>Ostatní ubytování j. n.</v>
          </cell>
          <cell r="W914" t="str">
            <v>Ostatní ubytování j. n.</v>
          </cell>
          <cell r="Z914" t="str">
            <v>Ostatní ubytování j. n.</v>
          </cell>
        </row>
        <row r="915">
          <cell r="Q915" t="str">
            <v>Stravování v závodních kuchyních</v>
          </cell>
          <cell r="T915" t="str">
            <v>Stravování v závodních kuchyních</v>
          </cell>
          <cell r="W915" t="str">
            <v>Stravování v závodních kuchyních</v>
          </cell>
          <cell r="Z915" t="str">
            <v>Stravování v závodních kuchyních</v>
          </cell>
        </row>
        <row r="916">
          <cell r="Q916" t="str">
            <v>Stravování ve školních zařízeních, menzách</v>
          </cell>
          <cell r="T916" t="str">
            <v>Stravování ve školních zařízeních, menzách</v>
          </cell>
          <cell r="W916" t="str">
            <v>Stravování ve školních zařízeních, menzách</v>
          </cell>
          <cell r="Z916" t="str">
            <v>Stravování ve školních zařízeních, menzách</v>
          </cell>
        </row>
        <row r="917">
          <cell r="Q917" t="str">
            <v>Poskytování jiných stravovacích služeb j. n.</v>
          </cell>
          <cell r="T917" t="str">
            <v>Poskytování jiných stravovacích služeb j. n.</v>
          </cell>
          <cell r="W917" t="str">
            <v>Poskytování jiných stravovacích služeb j. n.</v>
          </cell>
          <cell r="Z917" t="str">
            <v>Poskytování jiných stravovacích služeb j. n.</v>
          </cell>
        </row>
        <row r="918">
          <cell r="Q918" t="str">
            <v>Poskytování hlasových služeb přes pevnou telekomunikační síť</v>
          </cell>
          <cell r="T918" t="str">
            <v>Poskytování hlasových služeb přes pevnou telekomunikační síť</v>
          </cell>
          <cell r="W918" t="str">
            <v>Poskytování hlasových služeb přes pevnou telekomunikační síť</v>
          </cell>
          <cell r="Z918" t="str">
            <v>Poskytování hlasových služeb přes pevnou telekomunikační síť</v>
          </cell>
        </row>
        <row r="919">
          <cell r="Q919" t="str">
            <v>Pronájem pevné telekomunikační sítě</v>
          </cell>
          <cell r="T919" t="str">
            <v>Pronájem pevné telekomunikační sítě</v>
          </cell>
          <cell r="W919" t="str">
            <v>Pronájem pevné telekomunikační sítě</v>
          </cell>
          <cell r="Z919" t="str">
            <v>Pronájem pevné telekomunikační sítě</v>
          </cell>
        </row>
        <row r="920">
          <cell r="Q920" t="str">
            <v>Přenos dat přes pevnou telekomunikační síť</v>
          </cell>
          <cell r="T920" t="str">
            <v>Přenos dat přes pevnou telekomunikační síť</v>
          </cell>
          <cell r="W920" t="str">
            <v>Přenos dat přes pevnou telekomunikační síť</v>
          </cell>
          <cell r="Z920" t="str">
            <v>Přenos dat přes pevnou telekomunikační síť</v>
          </cell>
        </row>
        <row r="921">
          <cell r="Q921" t="str">
            <v>Poskytování přístupu k internetu přes pevnou telekomunikační síť</v>
          </cell>
          <cell r="T921" t="str">
            <v>Poskytování přístupu k internetu přes pevnou telekomunikační síť</v>
          </cell>
          <cell r="W921" t="str">
            <v>Poskytování přístupu k internetu přes pevnou telekomunikační síť</v>
          </cell>
          <cell r="Z921" t="str">
            <v>Poskytování přístupu k internetu přes pevnou telekomunikační síť</v>
          </cell>
        </row>
        <row r="922">
          <cell r="Q922" t="str">
            <v>Ostatní činnosti související s pevnou telekomunikační sítí</v>
          </cell>
          <cell r="T922" t="str">
            <v>Ostatní činnosti související s pevnou telekomunikační sítí</v>
          </cell>
          <cell r="W922" t="str">
            <v>Ostatní činnosti související s pevnou telekomunikační sítí</v>
          </cell>
          <cell r="Z922" t="str">
            <v>Ostatní činnosti související s pevnou telekomunikační sítí</v>
          </cell>
        </row>
        <row r="923">
          <cell r="Q923" t="str">
            <v>Poskytování hlasových služeb přes bezdrátovou telekomunikační síť</v>
          </cell>
          <cell r="T923" t="str">
            <v>Poskytování hlasových služeb přes bezdrátovou telekomunikační síť</v>
          </cell>
          <cell r="W923" t="str">
            <v>Poskytování hlasových služeb přes bezdrátovou telekomunikační síť</v>
          </cell>
          <cell r="Z923" t="str">
            <v>Poskytování hlasových služeb přes bezdrátovou telekomunikační síť</v>
          </cell>
        </row>
        <row r="924">
          <cell r="Q924" t="str">
            <v>Pronájem bezdrátové telekomunikační sítě</v>
          </cell>
          <cell r="T924" t="str">
            <v>Pronájem bezdrátové telekomunikační sítě</v>
          </cell>
          <cell r="W924" t="str">
            <v>Pronájem bezdrátové telekomunikační sítě</v>
          </cell>
          <cell r="Z924" t="str">
            <v>Pronájem bezdrátové telekomunikační sítě</v>
          </cell>
        </row>
        <row r="925">
          <cell r="Q925" t="str">
            <v>Přenos dat přes bezdrátovou telekomunikační síť</v>
          </cell>
          <cell r="T925" t="str">
            <v>Přenos dat přes bezdrátovou telekomunikační síť</v>
          </cell>
          <cell r="W925" t="str">
            <v>Přenos dat přes bezdrátovou telekomunikační síť</v>
          </cell>
          <cell r="Z925" t="str">
            <v>Přenos dat přes bezdrátovou telekomunikační síť</v>
          </cell>
        </row>
        <row r="926">
          <cell r="Q926" t="str">
            <v>Poskytování přístupu k internetu přes bezdrátovou telekomunikační síť</v>
          </cell>
          <cell r="T926" t="str">
            <v>Poskytování přístupu k internetu přes bezdrátovou telekomunikační síť</v>
          </cell>
          <cell r="W926" t="str">
            <v>Poskytování přístupu k internetu přes bezdrátovou telekomunikační síť</v>
          </cell>
          <cell r="Z926" t="str">
            <v>Poskytování přístupu k internetu přes bezdrátovou telekomunikační síť</v>
          </cell>
        </row>
        <row r="927">
          <cell r="Q927" t="str">
            <v>Ostatní činnosti související s bezdrátovou telekomunikační sítí</v>
          </cell>
          <cell r="T927" t="str">
            <v>Ostatní činnosti související s bezdrátovou telekomunikační sítí</v>
          </cell>
          <cell r="W927" t="str">
            <v>Ostatní činnosti související s bezdrátovou telekomunikační sítí</v>
          </cell>
          <cell r="Z927" t="str">
            <v>Ostatní činnosti související s bezdrátovou telekomunikační sítí</v>
          </cell>
        </row>
        <row r="928">
          <cell r="Q928" t="str">
            <v>Poskytování úvěrů společnostmi, které nepřijímají vklady</v>
          </cell>
          <cell r="T928" t="str">
            <v>Poskytování úvěrů společnostmi, které nepřijímají vklady</v>
          </cell>
          <cell r="W928" t="str">
            <v>Poskytování úvěrů společnostmi, které nepřijímají vklady</v>
          </cell>
          <cell r="Z928" t="str">
            <v>Poskytování úvěrů společnostmi, které nepřijímají vklady</v>
          </cell>
        </row>
        <row r="929">
          <cell r="Q929" t="str">
            <v>Poskytování obchodních úvěrů</v>
          </cell>
          <cell r="T929" t="str">
            <v>Poskytování obchodních úvěrů</v>
          </cell>
          <cell r="W929" t="str">
            <v>Poskytování obchodních úvěrů</v>
          </cell>
          <cell r="Z929" t="str">
            <v>Poskytování obchodních úvěrů</v>
          </cell>
        </row>
        <row r="930">
          <cell r="Q930" t="str">
            <v>Činnosti zastaváren</v>
          </cell>
          <cell r="T930" t="str">
            <v>Činnosti zastaváren</v>
          </cell>
          <cell r="W930" t="str">
            <v>Činnosti zastaváren</v>
          </cell>
          <cell r="Z930" t="str">
            <v>Činnosti zastaváren</v>
          </cell>
        </row>
        <row r="931">
          <cell r="Q931" t="str">
            <v>Ostatní poskytování úvěrů j. n.</v>
          </cell>
          <cell r="T931" t="str">
            <v>Ostatní poskytování úvěrů j. n.</v>
          </cell>
          <cell r="W931" t="str">
            <v>Ostatní poskytování úvěrů j. n.</v>
          </cell>
          <cell r="Z931" t="str">
            <v>Ostatní poskytování úvěrů j. n.</v>
          </cell>
        </row>
        <row r="932">
          <cell r="Q932" t="str">
            <v>Faktoringové činnosti</v>
          </cell>
          <cell r="T932" t="str">
            <v>Faktoringové činnosti</v>
          </cell>
          <cell r="W932" t="str">
            <v>Faktoringové činnosti</v>
          </cell>
          <cell r="Z932" t="str">
            <v>Faktoringové činnosti</v>
          </cell>
        </row>
        <row r="933">
          <cell r="Q933" t="str">
            <v>Obchodování s cennými papíry na vlastní účet</v>
          </cell>
          <cell r="T933" t="str">
            <v>Obchodování s cennými papíry na vlastní účet</v>
          </cell>
          <cell r="W933" t="str">
            <v>Obchodování s cennými papíry na vlastní účet</v>
          </cell>
          <cell r="Z933" t="str">
            <v>Obchodování s cennými papíry na vlastní účet</v>
          </cell>
        </row>
        <row r="934">
          <cell r="Q934" t="str">
            <v>Jiné finanční zprostředkování j. n.</v>
          </cell>
          <cell r="T934" t="str">
            <v>Jiné finanční zprostředkování j. n.</v>
          </cell>
          <cell r="W934" t="str">
            <v>Jiné finanční zprostředkování j. n.</v>
          </cell>
          <cell r="Z934" t="str">
            <v>Jiné finanční zprostředkování j. n.</v>
          </cell>
        </row>
        <row r="935">
          <cell r="Q935" t="str">
            <v>Pronájem vlastních nebo pronajatých nemovitostí s bytovými prostory</v>
          </cell>
          <cell r="T935" t="str">
            <v>Pronájem vlastních nebo pronajatých nemovitostí s bytovými prostory</v>
          </cell>
          <cell r="W935" t="str">
            <v>Pronájem vlastních nebo pronajatých nemovitostí s bytovými prostory</v>
          </cell>
          <cell r="Z935" t="str">
            <v>Pronájem vlastních nebo pronajatých nemovitostí s bytovými prostory</v>
          </cell>
        </row>
        <row r="936">
          <cell r="Q936" t="str">
            <v>Pronájem vlastních nebo pronajatých nemovitostí s nebytovými prostory</v>
          </cell>
          <cell r="T936" t="str">
            <v>Pronájem vlastních nebo pronajatých nemovitostí s nebytovými prostory</v>
          </cell>
          <cell r="W936" t="str">
            <v>Pronájem vlastních nebo pronajatých nemovitostí s nebytovými prostory</v>
          </cell>
          <cell r="Z936" t="str">
            <v>Pronájem vlastních nebo pronajatých nemovitostí s nebytovými prostory</v>
          </cell>
        </row>
        <row r="937">
          <cell r="Q937" t="str">
            <v>Správa vlastních nebo pronajatých nemovitostí s bytovými prostory</v>
          </cell>
          <cell r="T937" t="str">
            <v>Správa vlastních nebo pronajatých nemovitostí s bytovými prostory</v>
          </cell>
          <cell r="W937" t="str">
            <v>Správa vlastních nebo pronajatých nemovitostí s bytovými prostory</v>
          </cell>
          <cell r="Z937" t="str">
            <v>Správa vlastních nebo pronajatých nemovitostí s bytovými prostory</v>
          </cell>
        </row>
        <row r="938">
          <cell r="Q938" t="str">
            <v>Správa vlastních nebo pronajatých nemovitostí s nebytovými prostory</v>
          </cell>
          <cell r="T938" t="str">
            <v>Správa vlastních nebo pronajatých nemovitostí s nebytovými prostory</v>
          </cell>
          <cell r="W938" t="str">
            <v>Správa vlastních nebo pronajatých nemovitostí s nebytovými prostory</v>
          </cell>
          <cell r="Z938" t="str">
            <v>Správa vlastních nebo pronajatých nemovitostí s nebytovými prostory</v>
          </cell>
        </row>
        <row r="939">
          <cell r="Q939" t="str">
            <v>Geologický průzkum</v>
          </cell>
          <cell r="T939" t="str">
            <v>Geologický průzkum</v>
          </cell>
          <cell r="W939" t="str">
            <v>Geologický průzkum</v>
          </cell>
          <cell r="Z939" t="str">
            <v>Geologický průzkum</v>
          </cell>
        </row>
        <row r="940">
          <cell r="Q940" t="str">
            <v>Zeměměřické a kartografické činnosti</v>
          </cell>
          <cell r="T940" t="str">
            <v>Zeměměřické a kartografické činnosti</v>
          </cell>
          <cell r="W940" t="str">
            <v>Zeměměřické a kartografické činnosti</v>
          </cell>
          <cell r="Z940" t="str">
            <v>Zeměměřické a kartografické činnosti</v>
          </cell>
        </row>
        <row r="941">
          <cell r="Q941" t="str">
            <v>Hydrometeorologické a meteorologické činnosti</v>
          </cell>
          <cell r="T941" t="str">
            <v>Hydrometeorologické a meteorologické činnosti</v>
          </cell>
          <cell r="W941" t="str">
            <v>Hydrometeorologické a meteorologické činnosti</v>
          </cell>
          <cell r="Z941" t="str">
            <v>Hydrometeorologické a meteorologické činnosti</v>
          </cell>
        </row>
        <row r="942">
          <cell r="Q942" t="str">
            <v>Ostatní inženýrské činnosti a související technické poradenství j. n.</v>
          </cell>
          <cell r="T942" t="str">
            <v>Ostatní inženýrské činnosti a související technické poradenství j. n.</v>
          </cell>
          <cell r="W942" t="str">
            <v>Ostatní inženýrské činnosti a související technické poradenství j. n.</v>
          </cell>
          <cell r="Z942" t="str">
            <v>Ostatní inženýrské činnosti a související technické poradenství j. n.</v>
          </cell>
        </row>
        <row r="943">
          <cell r="Q943" t="str">
            <v>Zkoušky a analýzy vyhrazených technických zařízení</v>
          </cell>
          <cell r="T943" t="str">
            <v>Zkoušky a analýzy vyhrazených technických zařízení</v>
          </cell>
          <cell r="W943" t="str">
            <v>Zkoušky a analýzy vyhrazených technických zařízení</v>
          </cell>
          <cell r="Z943" t="str">
            <v>Zkoušky a analýzy vyhrazených technických zařízení</v>
          </cell>
        </row>
        <row r="944">
          <cell r="Q944" t="str">
            <v>Ostatní technické zkouky a analýzy</v>
          </cell>
          <cell r="T944" t="str">
            <v>Ostatní technické zkouky a analýzy</v>
          </cell>
          <cell r="W944" t="str">
            <v>Ostatní technické zkouky a analýzy</v>
          </cell>
          <cell r="Z944" t="str">
            <v>Ostatní technické zkouky a analýzy</v>
          </cell>
        </row>
        <row r="945">
          <cell r="Q945" t="str">
            <v>Ostatní výzkum a vývoj v oblasti přírodních a technických věd</v>
          </cell>
          <cell r="T945" t="str">
            <v>Ostatní výzkum a vývoj v oblasti přírodních a technických věd</v>
          </cell>
          <cell r="W945" t="str">
            <v>Ostatní výzkum a vývoj v oblasti přírodních a technických věd</v>
          </cell>
          <cell r="Z945" t="str">
            <v>Ostatní výzkum a vývoj v oblasti přírodních a technických věd</v>
          </cell>
        </row>
        <row r="946">
          <cell r="Q946" t="str">
            <v>Výzkum a vývoj v oblasti lékařských věd</v>
          </cell>
          <cell r="T946" t="str">
            <v>Výzkum a vývoj v oblasti lékařských věd</v>
          </cell>
          <cell r="W946" t="str">
            <v>Výzkum a vývoj v oblasti lékařských věd</v>
          </cell>
          <cell r="Z946" t="str">
            <v>Výzkum a vývoj v oblasti lékařských věd</v>
          </cell>
        </row>
        <row r="947">
          <cell r="Q947" t="str">
            <v>Výzkum a vývoj v oblasti technických věd</v>
          </cell>
          <cell r="T947" t="str">
            <v>Výzkum a vývoj v oblasti technických věd</v>
          </cell>
          <cell r="W947" t="str">
            <v>Výzkum a vývoj v oblasti technických věd</v>
          </cell>
          <cell r="Z947" t="str">
            <v>Výzkum a vývoj v oblasti technických věd</v>
          </cell>
        </row>
        <row r="948">
          <cell r="Q948" t="str">
            <v>Výzkum a vývoj v oblasti jiných přírodních věd</v>
          </cell>
          <cell r="T948" t="str">
            <v>Výzkum a vývoj v oblasti jiných přírodních věd</v>
          </cell>
          <cell r="W948" t="str">
            <v>Výzkum a vývoj v oblasti jiných přírodních věd</v>
          </cell>
          <cell r="Z948" t="str">
            <v>Výzkum a vývoj v oblasti jiných přírodních věd</v>
          </cell>
        </row>
        <row r="949">
          <cell r="Q949" t="str">
            <v>Ostatní profesní,vědecké a technické činnosti j.n.</v>
          </cell>
          <cell r="T949" t="str">
            <v>Ostatní profesní,vědecké a technické činnosti j.n.</v>
          </cell>
          <cell r="W949" t="str">
            <v>Ostatní profesní,vědecké a technické činnosti j.n.</v>
          </cell>
          <cell r="Z949" t="str">
            <v>Ostatní profesní,vědecké a technické činnosti j.n.</v>
          </cell>
        </row>
        <row r="950">
          <cell r="Q950" t="str">
            <v>Poradenství v oblasti bezpečnosti a ochrany zdraví při práci</v>
          </cell>
          <cell r="T950" t="str">
            <v>Poradenství v oblasti bezpečnosti a ochrany zdraví při práci</v>
          </cell>
          <cell r="W950" t="str">
            <v>Poradenství v oblasti bezpečnosti a ochrany zdraví při práci</v>
          </cell>
          <cell r="Z950" t="str">
            <v>Poradenství v oblasti bezpečnosti a ochrany zdraví při práci</v>
          </cell>
        </row>
        <row r="951">
          <cell r="Q951" t="str">
            <v>Poradenství v oblasti požární ochrany</v>
          </cell>
          <cell r="T951" t="str">
            <v>Poradenství v oblasti požární ochrany</v>
          </cell>
          <cell r="W951" t="str">
            <v>Poradenství v oblasti požární ochrany</v>
          </cell>
          <cell r="Z951" t="str">
            <v>Poradenství v oblasti požární ochrany</v>
          </cell>
        </row>
        <row r="952">
          <cell r="Q952" t="str">
            <v>Jiné profesní, vědecké a technické činnosti j. n.</v>
          </cell>
          <cell r="T952" t="str">
            <v>Jiné profesní, vědecké a technické činnosti j. n.</v>
          </cell>
          <cell r="W952" t="str">
            <v>Jiné profesní, vědecké a technické činnosti j. n.</v>
          </cell>
          <cell r="Z952" t="str">
            <v>Jiné profesní, vědecké a technické činnosti j. n.</v>
          </cell>
        </row>
        <row r="953">
          <cell r="Q953" t="str">
            <v>Průvodcovské činnosti</v>
          </cell>
          <cell r="T953" t="str">
            <v>Průvodcovské činnosti</v>
          </cell>
          <cell r="W953" t="str">
            <v>Průvodcovské činnosti</v>
          </cell>
          <cell r="Z953" t="str">
            <v>Průvodcovské činnosti</v>
          </cell>
        </row>
        <row r="954">
          <cell r="Q954" t="str">
            <v>Ostatní rezervační a související činnosti j. n.</v>
          </cell>
          <cell r="T954" t="str">
            <v>Ostatní rezervační a související činnosti j. n.</v>
          </cell>
          <cell r="W954" t="str">
            <v>Ostatní rezervační a související činnosti j. n.</v>
          </cell>
          <cell r="Z954" t="str">
            <v>Ostatní rezervační a související činnosti j. n.</v>
          </cell>
        </row>
        <row r="955">
          <cell r="Q955" t="str">
            <v>Pomoc cizím zemím při katastrof.nebo v nouz.sit.přímo nebo prostř.mez.org.</v>
          </cell>
          <cell r="T955" t="str">
            <v>Pomoc cizím zemím při katastrof.nebo v nouz.sit.přímo nebo prostř.mez.org.</v>
          </cell>
          <cell r="W955" t="str">
            <v>Pomoc cizím zemím při katastrof.nebo v nouz.sit.přímo nebo prostř.mez.org.</v>
          </cell>
          <cell r="Z955" t="str">
            <v>Pomoc cizím zemím při katastrof.nebo v nouz.sit.přímo nebo prostř.mez.org.</v>
          </cell>
        </row>
        <row r="956">
          <cell r="Q956" t="str">
            <v>Rozvíjení vzájemného přátelství a porozumění mezi národy</v>
          </cell>
          <cell r="T956" t="str">
            <v>Rozvíjení vzájemného přátelství a porozumění mezi národy</v>
          </cell>
          <cell r="W956" t="str">
            <v>Rozvíjení vzájemného přátelství a porozumění mezi národy</v>
          </cell>
          <cell r="Z956" t="str">
            <v>Rozvíjení vzájemného přátelství a porozumění mezi národy</v>
          </cell>
        </row>
        <row r="957">
          <cell r="Q957" t="str">
            <v>Ostatní činnosti v oblasti zahraničních věcí</v>
          </cell>
          <cell r="T957" t="str">
            <v>Ostatní činnosti v oblasti zahraničních věcí</v>
          </cell>
          <cell r="W957" t="str">
            <v>Ostatní činnosti v oblasti zahraničních věcí</v>
          </cell>
          <cell r="Z957" t="str">
            <v>Ostatní činnosti v oblasti zahraničních věcí</v>
          </cell>
        </row>
        <row r="958">
          <cell r="Q958" t="str">
            <v>Základní vzdělávání na druhém stupni základních škol</v>
          </cell>
          <cell r="T958" t="str">
            <v>Základní vzdělávání na druhém stupni základních škol</v>
          </cell>
          <cell r="W958" t="str">
            <v>Základní vzdělávání na druhém stupni základních škol</v>
          </cell>
          <cell r="Z958" t="str">
            <v>Základní vzdělávání na druhém stupni základních škol</v>
          </cell>
        </row>
        <row r="959">
          <cell r="Q959" t="str">
            <v>Střední všeobecné vzdělávání</v>
          </cell>
          <cell r="T959" t="str">
            <v>Střední všeobecné vzdělávání</v>
          </cell>
          <cell r="W959" t="str">
            <v>Střední všeobecné vzdělávání</v>
          </cell>
          <cell r="Z959" t="str">
            <v>Střední všeobecné vzdělávání</v>
          </cell>
        </row>
        <row r="960">
          <cell r="Q960" t="str">
            <v>Střední odborné vzdělávání na učilištích</v>
          </cell>
          <cell r="T960" t="str">
            <v>Střední odborné vzdělávání na učilištích</v>
          </cell>
          <cell r="W960" t="str">
            <v>Střední odborné vzdělávání na učilištích</v>
          </cell>
          <cell r="Z960" t="str">
            <v>Střední odborné vzdělávání na učilištích</v>
          </cell>
        </row>
        <row r="961">
          <cell r="Q961" t="str">
            <v>Střední odborné vzdělávání na středních odborných školách</v>
          </cell>
          <cell r="T961" t="str">
            <v>Střední odborné vzdělávání na středních odborných školách</v>
          </cell>
          <cell r="W961" t="str">
            <v>Střední odborné vzdělávání na středních odborných školách</v>
          </cell>
          <cell r="Z961" t="str">
            <v>Střední odborné vzdělávání na středních odborných školách</v>
          </cell>
        </row>
        <row r="962">
          <cell r="Q962" t="str">
            <v>Činnosti autoškol</v>
          </cell>
          <cell r="T962" t="str">
            <v>Činnosti autoškol</v>
          </cell>
          <cell r="W962" t="str">
            <v>Činnosti autoškol</v>
          </cell>
          <cell r="Z962" t="str">
            <v>Činnosti autoškol</v>
          </cell>
        </row>
        <row r="963">
          <cell r="Q963" t="str">
            <v>Činnosti leteckých škol</v>
          </cell>
          <cell r="T963" t="str">
            <v>Činnosti leteckých škol</v>
          </cell>
          <cell r="W963" t="str">
            <v>Činnosti leteckých škol</v>
          </cell>
          <cell r="Z963" t="str">
            <v>Činnosti leteckých škol</v>
          </cell>
        </row>
        <row r="964">
          <cell r="Q964" t="str">
            <v>Činnosti ostatních škol řízení</v>
          </cell>
          <cell r="T964" t="str">
            <v>Činnosti ostatních škol řízení</v>
          </cell>
          <cell r="W964" t="str">
            <v>Činnosti ostatních škol řízení</v>
          </cell>
          <cell r="Z964" t="str">
            <v>Činnosti ostatních škol řízení</v>
          </cell>
        </row>
        <row r="965">
          <cell r="Q965" t="str">
            <v>Vzdělávání v jazykových školách</v>
          </cell>
          <cell r="T965" t="str">
            <v>Vzdělávání v jazykových školách</v>
          </cell>
          <cell r="W965" t="str">
            <v>Vzdělávání v jazykových školách</v>
          </cell>
          <cell r="Z965" t="str">
            <v>Vzdělávání v jazykových školách</v>
          </cell>
        </row>
        <row r="966">
          <cell r="Q966" t="str">
            <v>Environmentální vzdělávání</v>
          </cell>
          <cell r="T966" t="str">
            <v>Environmentální vzdělávání</v>
          </cell>
          <cell r="W966" t="str">
            <v>Environmentální vzdělávání</v>
          </cell>
          <cell r="Z966" t="str">
            <v>Environmentální vzdělávání</v>
          </cell>
        </row>
        <row r="967">
          <cell r="Q967" t="str">
            <v>Inovační vzdělávání</v>
          </cell>
          <cell r="T967" t="str">
            <v>Inovační vzdělávání</v>
          </cell>
          <cell r="W967" t="str">
            <v>Inovační vzdělávání</v>
          </cell>
          <cell r="Z967" t="str">
            <v>Inovační vzdělávání</v>
          </cell>
        </row>
        <row r="968">
          <cell r="Q968" t="str">
            <v>Jiné vzdělávání j. n.</v>
          </cell>
          <cell r="T968" t="str">
            <v>Jiné vzdělávání j. n.</v>
          </cell>
          <cell r="W968" t="str">
            <v>Jiné vzdělávání j. n.</v>
          </cell>
          <cell r="Z968" t="str">
            <v>Jiné vzdělávání j. n.</v>
          </cell>
        </row>
        <row r="969">
          <cell r="Q969" t="str">
            <v>Činnosti související s ochranou veřejného zdraví</v>
          </cell>
          <cell r="T969" t="str">
            <v>Činnosti související s ochranou veřejného zdraví</v>
          </cell>
          <cell r="W969" t="str">
            <v>Činnosti související s ochranou veřejného zdraví</v>
          </cell>
          <cell r="Z969" t="str">
            <v>Činnosti související s ochranou veřejného zdraví</v>
          </cell>
        </row>
        <row r="970">
          <cell r="Q970" t="str">
            <v>Ostatní činnosti související se zdravotní péčí j. n.</v>
          </cell>
          <cell r="T970" t="str">
            <v>Ostatní činnosti související se zdravotní péčí j. n.</v>
          </cell>
          <cell r="W970" t="str">
            <v>Ostatní činnosti související se zdravotní péčí j. n.</v>
          </cell>
          <cell r="Z970" t="str">
            <v>Ostatní činnosti související se zdravotní péčí j. n.</v>
          </cell>
        </row>
        <row r="971">
          <cell r="Q971" t="str">
            <v>Sociální péče v zařízeních pro osoby s chronickým duševním onemocněním</v>
          </cell>
          <cell r="T971" t="str">
            <v>Sociální péče v zařízeních pro osoby s chronickým duševním onemocněním</v>
          </cell>
          <cell r="W971" t="str">
            <v>Sociální péče v zařízeních pro osoby s chronickým duševním onemocněním</v>
          </cell>
          <cell r="Z971" t="str">
            <v>Sociální péče v zařízeních pro osoby s chronickým duševním onemocněním</v>
          </cell>
        </row>
        <row r="972">
          <cell r="Q972" t="str">
            <v>Sociální péče v zařízeních pro osoby závislé na návykových látkách</v>
          </cell>
          <cell r="T972" t="str">
            <v>Sociální péče v zařízeních pro osoby závislé na návykových látkách</v>
          </cell>
          <cell r="W972" t="str">
            <v>Sociální péče v zařízeních pro osoby závislé na návykových látkách</v>
          </cell>
          <cell r="Z972" t="str">
            <v>Sociální péče v zařízeních pro osoby závislé na návykových látkách</v>
          </cell>
        </row>
        <row r="973">
          <cell r="Q973" t="str">
            <v>Sociální péče v domovech pro seniory</v>
          </cell>
          <cell r="T973" t="str">
            <v>Sociální péče v domovech pro seniory</v>
          </cell>
          <cell r="W973" t="str">
            <v>Sociální péče v domovech pro seniory</v>
          </cell>
          <cell r="Z973" t="str">
            <v>Sociální péče v domovech pro seniory</v>
          </cell>
        </row>
        <row r="974">
          <cell r="Q974" t="str">
            <v>Sociální péče v domovech pro osoby se zdravotním postižením</v>
          </cell>
          <cell r="T974" t="str">
            <v>Sociální péče v domovech pro osoby se zdravotním postižením</v>
          </cell>
          <cell r="W974" t="str">
            <v>Sociální péče v domovech pro osoby se zdravotním postižením</v>
          </cell>
          <cell r="Z974" t="str">
            <v>Sociální péče v domovech pro osoby se zdravotním postižením</v>
          </cell>
        </row>
        <row r="975">
          <cell r="Q975" t="str">
            <v>Mimoústavní sociální péče o seniory a zdravotně postižené osoby</v>
          </cell>
          <cell r="T975" t="str">
            <v>Mimoústavní sociální péče o seniory a zdravotně postižené osoby</v>
          </cell>
          <cell r="W975" t="str">
            <v>Mimoústavní sociální péče o seniory a zdravotně postižené osoby</v>
          </cell>
          <cell r="Z975" t="str">
            <v>Mimoústavní sociální péče o seniory a zdravotně postižené osoby</v>
          </cell>
        </row>
        <row r="976">
          <cell r="Q976" t="str">
            <v>Ambulantní nebo terénní sociální služby pro seniory</v>
          </cell>
          <cell r="T976" t="str">
            <v>Ambulantní nebo terénní sociální služby pro seniory</v>
          </cell>
          <cell r="W976" t="str">
            <v>Ambulantní nebo terénní sociální služby pro seniory</v>
          </cell>
          <cell r="Z976" t="str">
            <v>Ambulantní nebo terénní sociální služby pro seniory</v>
          </cell>
        </row>
        <row r="977">
          <cell r="Q977" t="str">
            <v>Ambulantní nebo terénní sociální služby pro osoby se zdrav.postižením</v>
          </cell>
          <cell r="T977" t="str">
            <v>Ambulantní nebo terénní sociální služby pro osoby se zdrav.postižením</v>
          </cell>
          <cell r="W977" t="str">
            <v>Ambulantní nebo terénní sociální služby pro osoby se zdrav.postižením</v>
          </cell>
          <cell r="Z977" t="str">
            <v>Ambulantní nebo terénní sociální služby pro osoby se zdrav.postižením</v>
          </cell>
        </row>
        <row r="978">
          <cell r="Q978" t="str">
            <v>Sociální služby pro uprchlíky, oběti katastrof</v>
          </cell>
          <cell r="T978" t="str">
            <v>Sociální služby pro uprchlíky, oběti katastrof</v>
          </cell>
          <cell r="W978" t="str">
            <v>Sociální služby pro uprchlíky, oběti katastrof</v>
          </cell>
          <cell r="Z978" t="str">
            <v>Sociální služby pro uprchlíky, oběti katastrof</v>
          </cell>
        </row>
        <row r="979">
          <cell r="Q979" t="str">
            <v>Sociální prevence</v>
          </cell>
          <cell r="T979" t="str">
            <v>Sociální prevence</v>
          </cell>
          <cell r="W979" t="str">
            <v>Sociální prevence</v>
          </cell>
          <cell r="Z979" t="str">
            <v>Sociální prevence</v>
          </cell>
        </row>
        <row r="980">
          <cell r="Q980" t="str">
            <v>Sociální rehabilitace</v>
          </cell>
          <cell r="T980" t="str">
            <v>Sociální rehabilitace</v>
          </cell>
          <cell r="W980" t="str">
            <v>Sociální rehabilitace</v>
          </cell>
          <cell r="Z980" t="str">
            <v>Sociální rehabilitace</v>
          </cell>
        </row>
        <row r="981">
          <cell r="Q981" t="str">
            <v>Jiné ambulantní nebo terénní sociální služby j. n.</v>
          </cell>
          <cell r="T981" t="str">
            <v>Jiné ambulantní nebo terénní sociální služby j. n.</v>
          </cell>
          <cell r="W981" t="str">
            <v>Jiné ambulantní nebo terénní sociální služby j. n.</v>
          </cell>
          <cell r="Z981" t="str">
            <v>Jiné ambulantní nebo terénní sociální služby j. n.</v>
          </cell>
        </row>
        <row r="982">
          <cell r="Q982" t="str">
            <v>Činnosti botanických a zoologických zahrad,přírod.rezervací a národ.parků</v>
          </cell>
          <cell r="T982" t="str">
            <v>Činnosti botanických a zoologických zahrad,přírod.rezervací a národ.parků</v>
          </cell>
          <cell r="W982" t="str">
            <v>Činnosti botanických a zoologických zahrad,přírod.rezervací a národ.parků</v>
          </cell>
          <cell r="Z982" t="str">
            <v>Činnosti botanických a zoologických zahrad,přírod.rezervací a národ.parků</v>
          </cell>
        </row>
        <row r="983">
          <cell r="Q983" t="str">
            <v>Činnosti botanických a zoologických zahrad</v>
          </cell>
          <cell r="T983" t="str">
            <v>Činnosti botanických a zoologických zahrad</v>
          </cell>
          <cell r="W983" t="str">
            <v>Činnosti botanických a zoologických zahrad</v>
          </cell>
          <cell r="Z983" t="str">
            <v>Činnosti botanických a zoologických zahrad</v>
          </cell>
        </row>
        <row r="984">
          <cell r="Q984" t="str">
            <v>Činnosti přírodních rezervací a národních parků</v>
          </cell>
          <cell r="T984" t="str">
            <v>Činnosti přírodních rezervací a národních parků</v>
          </cell>
          <cell r="W984" t="str">
            <v>Činnosti přírodních rezervací a národních parků</v>
          </cell>
          <cell r="Z984" t="str">
            <v>Činnosti přírodních rezervací a národních parků</v>
          </cell>
        </row>
        <row r="985">
          <cell r="Q985" t="str">
            <v>Činnosti organizací dětí a mládeže</v>
          </cell>
          <cell r="T985" t="str">
            <v>Činnosti organizací dětí a mládeže</v>
          </cell>
          <cell r="W985" t="str">
            <v>Činnosti organizací dětí a mládeže</v>
          </cell>
          <cell r="Z985" t="str">
            <v>Činnosti organizací dětí a mládeže</v>
          </cell>
        </row>
        <row r="986">
          <cell r="Q986" t="str">
            <v>Činnosti organizací na podporu kulturní činnosti</v>
          </cell>
          <cell r="T986" t="str">
            <v>Činnosti organizací na podporu kulturní činnosti</v>
          </cell>
          <cell r="W986" t="str">
            <v>Činnosti organizací na podporu kulturní činnosti</v>
          </cell>
          <cell r="Z986" t="str">
            <v>Činnosti organizací na podporu kulturní činnosti</v>
          </cell>
        </row>
        <row r="987">
          <cell r="Q987" t="str">
            <v>Činnosti organizací na podporu rekreační a zájmové činnosti</v>
          </cell>
          <cell r="T987" t="str">
            <v>Činnosti organizací na podporu rekreační a zájmové činnosti</v>
          </cell>
          <cell r="W987" t="str">
            <v>Činnosti organizací na podporu rekreační a zájmové činnosti</v>
          </cell>
          <cell r="Z987" t="str">
            <v>Činnosti organizací na podporu rekreační a zájmové činnosti</v>
          </cell>
        </row>
        <row r="988">
          <cell r="Q988" t="str">
            <v>Činnosti spotřebitelských organizací</v>
          </cell>
          <cell r="T988" t="str">
            <v>Činnosti spotřebitelských organizací</v>
          </cell>
          <cell r="W988" t="str">
            <v>Činnosti spotřebitelských organizací</v>
          </cell>
          <cell r="Z988" t="str">
            <v>Činnosti spotřebitelských organizací</v>
          </cell>
        </row>
        <row r="989">
          <cell r="Q989" t="str">
            <v>Činnosti environmentálních a ekologických hnutí</v>
          </cell>
          <cell r="T989" t="str">
            <v>Činnosti environmentálních a ekologických hnutí</v>
          </cell>
          <cell r="W989" t="str">
            <v>Činnosti environmentálních a ekologických hnutí</v>
          </cell>
          <cell r="Z989" t="str">
            <v>Činnosti environmentálních a ekologických hnutí</v>
          </cell>
        </row>
        <row r="990">
          <cell r="Q990" t="str">
            <v>Čin.org.na ochranu a zlepšení postavení etnických,menšin.a jiných spec.sk.</v>
          </cell>
          <cell r="T990" t="str">
            <v>Čin.org.na ochranu a zlepšení postavení etnických,menšin.a jiných spec.sk.</v>
          </cell>
          <cell r="W990" t="str">
            <v>Čin.org.na ochranu a zlepšení postavení etnických,menšin.a jiných spec.sk.</v>
          </cell>
          <cell r="Z990" t="str">
            <v>Čin.org.na ochranu a zlepšení postavení etnických,menšin.a jiných spec.sk.</v>
          </cell>
        </row>
        <row r="991">
          <cell r="Q991" t="str">
            <v>Činnosti občanských iniciativ, protestních hnutí</v>
          </cell>
          <cell r="T991" t="str">
            <v>Činnosti občanských iniciativ, protestních hnutí</v>
          </cell>
          <cell r="W991" t="str">
            <v>Činnosti občanských iniciativ, protestních hnutí</v>
          </cell>
          <cell r="Z991" t="str">
            <v>Činnosti občanských iniciativ, protestních hnutí</v>
          </cell>
        </row>
        <row r="992">
          <cell r="Q992" t="str">
            <v>Činnosti ostatních organizací j. n.</v>
          </cell>
          <cell r="T992" t="str">
            <v>Činnosti ostatních organizací j. n.</v>
          </cell>
          <cell r="W992" t="str">
            <v>Činnosti ostatních organizací j. n.</v>
          </cell>
          <cell r="Z992" t="str">
            <v>Činnosti ostatních organizací j. n.</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UVOD"/>
      <sheetName val="FU"/>
      <sheetName val="XML Export"/>
      <sheetName val="ZAKL_DATA"/>
      <sheetName val="XML_export"/>
      <sheetName val="1"/>
      <sheetName val="2"/>
      <sheetName val="3"/>
      <sheetName val="4"/>
      <sheetName val="5"/>
      <sheetName val="6"/>
      <sheetName val="7"/>
      <sheetName val="8"/>
      <sheetName val="Př_I"/>
      <sheetName val="Př_H1"/>
      <sheetName val="Př_H2"/>
      <sheetName val="Př_H3"/>
      <sheetName val="Př_12I"/>
      <sheetName val="Povinná_příloha"/>
      <sheetName val="Účetní_závěrka"/>
      <sheetName val="Zálohy"/>
      <sheetName val="Přeplatek"/>
    </sheetNames>
    <sheetDataSet>
      <sheetData sheetId="0"/>
      <sheetData sheetId="1">
        <row r="3">
          <cell r="B3" t="str">
            <v>HLAVNÍ MĚSTO PRAHA</v>
          </cell>
          <cell r="H3" t="str">
            <v>PRAHA 1</v>
          </cell>
          <cell r="J3" t="str">
            <v>ČESKÁ REPUBLIKA</v>
          </cell>
          <cell r="Q3" t="str">
            <v>Rostlinná a živočišná výroba, myslivost a související činnosti</v>
          </cell>
        </row>
        <row r="4">
          <cell r="B4" t="str">
            <v>STŘEDOČESKÝ KRAJ</v>
          </cell>
          <cell r="H4" t="str">
            <v>PRAHA 2</v>
          </cell>
          <cell r="J4" t="str">
            <v>Afghánská islámská republika</v>
          </cell>
          <cell r="Q4" t="str">
            <v>Lesnictví a těžba dřeva</v>
          </cell>
        </row>
        <row r="5">
          <cell r="B5" t="str">
            <v>JIHOČESKÝ KRAJ</v>
          </cell>
          <cell r="H5" t="str">
            <v>PRAHA 3</v>
          </cell>
          <cell r="J5" t="str">
            <v>Provincie Alandy</v>
          </cell>
          <cell r="Q5" t="str">
            <v>Rybolov a akvakultura</v>
          </cell>
        </row>
        <row r="6">
          <cell r="B6" t="str">
            <v>PLZEŇSKÝ KRAJ</v>
          </cell>
          <cell r="H6" t="str">
            <v>PRAHA 4</v>
          </cell>
          <cell r="J6" t="str">
            <v>Albánská republika</v>
          </cell>
          <cell r="Q6" t="str">
            <v>Těžba a úprava černého a hnědého uhlí</v>
          </cell>
        </row>
        <row r="7">
          <cell r="B7" t="str">
            <v>KARLOVARSKÝ KRAJ</v>
          </cell>
          <cell r="H7" t="str">
            <v>PRAHA 5</v>
          </cell>
          <cell r="J7" t="str">
            <v>Alžírská demokratická a lidová republika</v>
          </cell>
          <cell r="Q7" t="str">
            <v>Těžba ropy a zemního plynu</v>
          </cell>
        </row>
        <row r="8">
          <cell r="B8" t="str">
            <v>ÚSTECKÝ KRAJ</v>
          </cell>
          <cell r="H8" t="str">
            <v>PRAHA 6</v>
          </cell>
          <cell r="J8" t="str">
            <v>Území Americká Samoa</v>
          </cell>
          <cell r="Q8" t="str">
            <v>Těžba a úprava rud</v>
          </cell>
        </row>
        <row r="9">
          <cell r="B9" t="str">
            <v>LIBERECKÝ KRAJ</v>
          </cell>
          <cell r="H9" t="str">
            <v>PRAHA 7</v>
          </cell>
          <cell r="J9" t="str">
            <v>Americké Panenské ostrovy</v>
          </cell>
          <cell r="Q9" t="str">
            <v>Ostatní těžba a dobývání</v>
          </cell>
        </row>
        <row r="10">
          <cell r="B10" t="str">
            <v>KRÁLOVÉHRADEC. KR.</v>
          </cell>
          <cell r="H10" t="str">
            <v>PRAHA 8</v>
          </cell>
          <cell r="J10" t="str">
            <v>Andorrské knížectví</v>
          </cell>
          <cell r="Q10" t="str">
            <v>Podpůrné činnosti při těžbě</v>
          </cell>
        </row>
        <row r="11">
          <cell r="B11" t="str">
            <v>PARDUBICKÝ KRAJ</v>
          </cell>
          <cell r="H11" t="str">
            <v>PRAHA 9</v>
          </cell>
          <cell r="J11" t="str">
            <v>Angolská republika</v>
          </cell>
          <cell r="Q11" t="str">
            <v>Výroba potravinářských výrobků</v>
          </cell>
        </row>
        <row r="12">
          <cell r="B12" t="str">
            <v>KRAJ VYSOČINA</v>
          </cell>
          <cell r="H12" t="str">
            <v>PRAHA 10</v>
          </cell>
          <cell r="J12" t="str">
            <v>Anguilla</v>
          </cell>
          <cell r="Q12" t="str">
            <v>Výroba nápojů</v>
          </cell>
        </row>
        <row r="13">
          <cell r="B13" t="str">
            <v>JIHOMORAVSKÝ KRAJ</v>
          </cell>
          <cell r="H13" t="str">
            <v>PRAHA-JIŽNÍ MĚSTO</v>
          </cell>
          <cell r="J13" t="str">
            <v>Antarktida</v>
          </cell>
          <cell r="Q13" t="str">
            <v>Pěstování plodin jiných než trvalých</v>
          </cell>
        </row>
        <row r="14">
          <cell r="B14" t="str">
            <v>OLOMOUCKÝ KRAJ</v>
          </cell>
          <cell r="H14" t="str">
            <v>PRAHA-MODŘANY</v>
          </cell>
          <cell r="J14" t="str">
            <v>Antigua a Barbuda</v>
          </cell>
          <cell r="Q14" t="str">
            <v>Výroba tabákových výrobků</v>
          </cell>
        </row>
        <row r="15">
          <cell r="B15" t="str">
            <v>MORAVSKOSLEZS. KR.</v>
          </cell>
          <cell r="H15" t="str">
            <v>PRAHA - VÝCHOD</v>
          </cell>
          <cell r="J15" t="str">
            <v>Argentinská republika</v>
          </cell>
          <cell r="Q15" t="str">
            <v>Pěstování trvalých plodin</v>
          </cell>
        </row>
        <row r="16">
          <cell r="B16" t="str">
            <v>ZLÍNSKÝ KRAJ</v>
          </cell>
          <cell r="H16" t="str">
            <v>PRAHA ZÁPAD</v>
          </cell>
          <cell r="J16" t="str">
            <v>Arménská republika</v>
          </cell>
          <cell r="Q16" t="str">
            <v>Výroba textilií</v>
          </cell>
        </row>
        <row r="17">
          <cell r="B17" t="str">
            <v>SPECIALIZOVANÝ</v>
          </cell>
          <cell r="H17" t="str">
            <v>BENEŠOV</v>
          </cell>
          <cell r="J17" t="str">
            <v>Aruba</v>
          </cell>
          <cell r="Q17" t="str">
            <v>Množení rostlin</v>
          </cell>
        </row>
        <row r="18">
          <cell r="H18" t="str">
            <v>BEROUN</v>
          </cell>
          <cell r="J18" t="str">
            <v>Australské společenství</v>
          </cell>
          <cell r="Q18" t="str">
            <v>Výroba oděvů</v>
          </cell>
        </row>
        <row r="19">
          <cell r="H19" t="str">
            <v>BRANDÝS N.L. - ST.BOL.</v>
          </cell>
          <cell r="J19" t="str">
            <v>Ázerbájdžánská republika</v>
          </cell>
          <cell r="Q19" t="str">
            <v>živočišná výroba</v>
          </cell>
        </row>
        <row r="20">
          <cell r="H20" t="str">
            <v>ČÁSLAV</v>
          </cell>
          <cell r="J20" t="str">
            <v>Bahamské společenství</v>
          </cell>
          <cell r="Q20" t="str">
            <v>Výroba usní a souvisejících výrobků</v>
          </cell>
        </row>
        <row r="21">
          <cell r="H21" t="str">
            <v>ČESKÝ BROD</v>
          </cell>
          <cell r="J21" t="str">
            <v>Království Bahrajn</v>
          </cell>
          <cell r="Q21" t="str">
            <v>Smíšené hospodářství</v>
          </cell>
        </row>
        <row r="22">
          <cell r="H22" t="str">
            <v>DOBŘÍŠ</v>
          </cell>
          <cell r="J22" t="str">
            <v>Bangladéšská lidová republika</v>
          </cell>
          <cell r="Q22" t="str">
            <v>Zprac.dřeva,výroba dřevěných,korkových,proutěných a slam.výr.,kromě nábytku</v>
          </cell>
        </row>
        <row r="23">
          <cell r="H23" t="str">
            <v>HOŘOVICE</v>
          </cell>
          <cell r="J23" t="str">
            <v>Barbados</v>
          </cell>
          <cell r="Q23" t="str">
            <v>Podpůrné činnosti pro zemědělství a posklizňové činnosti</v>
          </cell>
        </row>
        <row r="24">
          <cell r="H24" t="str">
            <v>KLADNO</v>
          </cell>
          <cell r="J24" t="str">
            <v>Belgické království</v>
          </cell>
          <cell r="Q24" t="str">
            <v>Výroba papíru a výrobků z papíru</v>
          </cell>
        </row>
        <row r="25">
          <cell r="H25" t="str">
            <v>KOLÍN</v>
          </cell>
          <cell r="J25" t="str">
            <v>Belize</v>
          </cell>
          <cell r="Q25" t="str">
            <v>Lov a odchyt divokých zvířat a související činnosti</v>
          </cell>
        </row>
        <row r="26">
          <cell r="H26" t="str">
            <v>KRALUPY NAD VLTAVOU</v>
          </cell>
          <cell r="J26" t="str">
            <v>Běloruská republika</v>
          </cell>
          <cell r="Q26" t="str">
            <v>Tisk a rozmnožování nahraných nosičů</v>
          </cell>
        </row>
        <row r="27">
          <cell r="H27" t="str">
            <v>KUTNÁ HORA</v>
          </cell>
          <cell r="J27" t="str">
            <v>Beninská republika</v>
          </cell>
          <cell r="Q27" t="str">
            <v>Výroba koksu a rafinovaných ropných produktů</v>
          </cell>
        </row>
        <row r="28">
          <cell r="H28" t="str">
            <v>MĚLNÍK</v>
          </cell>
          <cell r="J28" t="str">
            <v>Bermudy</v>
          </cell>
          <cell r="Q28" t="str">
            <v>Výroba chemických látek a chemických přípravků</v>
          </cell>
        </row>
        <row r="29">
          <cell r="H29" t="str">
            <v>MLADÁ BOLESLAV</v>
          </cell>
          <cell r="J29" t="str">
            <v>Bhútánské království</v>
          </cell>
          <cell r="Q29" t="str">
            <v>Výroba základních farmaceutických výrobků a farmaceutických přípravků</v>
          </cell>
        </row>
        <row r="30">
          <cell r="H30" t="str">
            <v>MNICHOVO HRADIŠTĚ</v>
          </cell>
          <cell r="J30" t="str">
            <v>Mnohonárodní stát Bolívie</v>
          </cell>
          <cell r="Q30" t="str">
            <v>Lesní hospodářství a jiné činnosti v oblasti lesnictví</v>
          </cell>
        </row>
        <row r="31">
          <cell r="H31" t="str">
            <v>NERATOVICE</v>
          </cell>
          <cell r="J31" t="str">
            <v>Bonaire, Svatý Eustach a Saba</v>
          </cell>
          <cell r="Q31" t="str">
            <v>Výroba pryžových a plastových výrobků</v>
          </cell>
        </row>
        <row r="32">
          <cell r="H32" t="str">
            <v>NYMBURK</v>
          </cell>
          <cell r="J32" t="str">
            <v>Bosna a Hercegovina</v>
          </cell>
          <cell r="Q32" t="str">
            <v>Těžba dřeva</v>
          </cell>
        </row>
        <row r="33">
          <cell r="H33" t="str">
            <v>PODĚBRADY</v>
          </cell>
          <cell r="J33" t="str">
            <v>Botswanská republika</v>
          </cell>
          <cell r="Q33" t="str">
            <v>Výroba ostatních nekovových minerálních výrobků</v>
          </cell>
        </row>
        <row r="34">
          <cell r="H34" t="str">
            <v>PŘÍBRAM</v>
          </cell>
          <cell r="J34" t="str">
            <v>Bouvetův ostrov</v>
          </cell>
          <cell r="Q34" t="str">
            <v>Sběr a získávání volně rostoucích plodů a materiálů, kromě dřeva</v>
          </cell>
        </row>
        <row r="35">
          <cell r="H35" t="str">
            <v>RAKOVNÍK</v>
          </cell>
          <cell r="J35" t="str">
            <v>Brazilská federativní republika</v>
          </cell>
          <cell r="Q35" t="str">
            <v>Výroba základních kovů, hutní zpracování kovů; slévárenství</v>
          </cell>
        </row>
        <row r="36">
          <cell r="H36" t="str">
            <v>ŘÍČANY</v>
          </cell>
          <cell r="J36" t="str">
            <v>Britské území v Indickém oceánu</v>
          </cell>
          <cell r="Q36" t="str">
            <v>Podpůrné činnosti pro lesnictví</v>
          </cell>
        </row>
        <row r="37">
          <cell r="H37" t="str">
            <v>SEDLČANY</v>
          </cell>
          <cell r="J37" t="str">
            <v>Britské Panenské ostrovy</v>
          </cell>
          <cell r="Q37" t="str">
            <v>Výroba kovových konstrukcí a kovodělných výrobků, kromě strojů a zařízení</v>
          </cell>
        </row>
        <row r="38">
          <cell r="H38" t="str">
            <v>SLANÝ</v>
          </cell>
          <cell r="J38" t="str">
            <v>Stát Brunej Darussalam</v>
          </cell>
          <cell r="Q38" t="str">
            <v>Výroba počítačů, elektronických a optických přístrojů a zařízení</v>
          </cell>
        </row>
        <row r="39">
          <cell r="H39" t="str">
            <v>VLAŠIM</v>
          </cell>
          <cell r="J39" t="str">
            <v>Bulharská republika</v>
          </cell>
          <cell r="Q39" t="str">
            <v>Výroba elektrických zařízení</v>
          </cell>
        </row>
        <row r="40">
          <cell r="H40" t="str">
            <v>VOTICE</v>
          </cell>
          <cell r="J40" t="str">
            <v>Burkina Faso</v>
          </cell>
          <cell r="Q40" t="str">
            <v>Výroba strojů a zařízení j. n.</v>
          </cell>
        </row>
        <row r="41">
          <cell r="H41" t="str">
            <v>ČESKÉ BUDĚJOVICE</v>
          </cell>
          <cell r="J41" t="str">
            <v>Burundská republika</v>
          </cell>
          <cell r="Q41" t="str">
            <v>Výroba motorových vozidel (kromě motocyklů), přívěsů a návěsů</v>
          </cell>
        </row>
        <row r="42">
          <cell r="H42" t="str">
            <v>BLATNÁ</v>
          </cell>
          <cell r="J42" t="str">
            <v>Cookovy ostrovy</v>
          </cell>
          <cell r="Q42" t="str">
            <v>Výroba ostatních dopravních prostředků a zařízení</v>
          </cell>
        </row>
        <row r="43">
          <cell r="H43" t="str">
            <v>ČESKÝ KRUMLOV</v>
          </cell>
          <cell r="J43" t="str">
            <v>Curaçao</v>
          </cell>
          <cell r="Q43" t="str">
            <v>Výroba nábytku</v>
          </cell>
        </row>
        <row r="44">
          <cell r="H44" t="str">
            <v>DAČICE</v>
          </cell>
          <cell r="J44" t="str">
            <v>Čadská republika</v>
          </cell>
          <cell r="Q44" t="str">
            <v>Rybolov</v>
          </cell>
        </row>
        <row r="45">
          <cell r="H45" t="str">
            <v>JINDŘICHŮV HRADEC</v>
          </cell>
          <cell r="J45" t="str">
            <v>Černá Hora</v>
          </cell>
          <cell r="Q45" t="str">
            <v>Ostatní zpracovatelský průmysl</v>
          </cell>
        </row>
        <row r="46">
          <cell r="H46" t="str">
            <v>KAPLICE</v>
          </cell>
          <cell r="J46" t="str">
            <v>Česká republika</v>
          </cell>
          <cell r="Q46" t="str">
            <v>Akvakultura</v>
          </cell>
        </row>
        <row r="47">
          <cell r="H47" t="str">
            <v>MILEVSKO</v>
          </cell>
          <cell r="J47" t="str">
            <v>Čínská lidová republika</v>
          </cell>
          <cell r="Q47" t="str">
            <v>Opravy a instalace strojů a zařízení</v>
          </cell>
        </row>
        <row r="48">
          <cell r="H48" t="str">
            <v>PÍSEK</v>
          </cell>
          <cell r="J48" t="str">
            <v>Dánské království</v>
          </cell>
          <cell r="Q48" t="str">
            <v>Výroba a rozvod elektřiny, plynu, tepla a klimatizovaného vzduchu</v>
          </cell>
        </row>
        <row r="49">
          <cell r="H49" t="str">
            <v>PRACHATICE</v>
          </cell>
          <cell r="J49" t="str">
            <v>Demokratická republika Kongo</v>
          </cell>
          <cell r="Q49" t="str">
            <v>Shromažďování, úprava a rozvod vody</v>
          </cell>
        </row>
        <row r="50">
          <cell r="H50" t="str">
            <v>SOBĚSLAV</v>
          </cell>
          <cell r="J50" t="str">
            <v>Dominické společenství</v>
          </cell>
          <cell r="Q50" t="str">
            <v>Činnosti související s odpadními vodami</v>
          </cell>
        </row>
        <row r="51">
          <cell r="H51" t="str">
            <v>STRAKONICE</v>
          </cell>
          <cell r="J51" t="str">
            <v>Dominikánská republika</v>
          </cell>
          <cell r="Q51" t="str">
            <v>Shromažďování,sběr a odstraňování odpadů,úprava odpadů k dalšímu využití</v>
          </cell>
        </row>
        <row r="52">
          <cell r="H52" t="str">
            <v>TÁBOR</v>
          </cell>
          <cell r="J52" t="str">
            <v>Džibutská republika</v>
          </cell>
          <cell r="Q52" t="str">
            <v>Sanace a jiné činnosti související s odpady</v>
          </cell>
        </row>
        <row r="53">
          <cell r="H53" t="str">
            <v>TRHOVÉ SVINY</v>
          </cell>
          <cell r="J53" t="str">
            <v>Egyptská arabská republika</v>
          </cell>
          <cell r="Q53" t="str">
            <v>Výstavba budov</v>
          </cell>
        </row>
        <row r="54">
          <cell r="H54" t="str">
            <v>TŘEBOŇ</v>
          </cell>
          <cell r="J54" t="str">
            <v>Ekvádorská republika</v>
          </cell>
          <cell r="Q54" t="str">
            <v>Inženýrské stavitelství</v>
          </cell>
        </row>
        <row r="55">
          <cell r="H55" t="str">
            <v>TÝN NAD VLTAVOU</v>
          </cell>
          <cell r="J55" t="str">
            <v>Stát Eritrea</v>
          </cell>
          <cell r="Q55" t="str">
            <v>Specializované stavební činnosti</v>
          </cell>
        </row>
        <row r="56">
          <cell r="H56" t="str">
            <v>VIMPERK</v>
          </cell>
          <cell r="J56" t="str">
            <v>Estonská republika</v>
          </cell>
          <cell r="Q56" t="str">
            <v>Velkoobchod, maloobchod a opravy motorových vozidel</v>
          </cell>
        </row>
        <row r="57">
          <cell r="H57" t="str">
            <v>VODŇANY</v>
          </cell>
          <cell r="J57" t="str">
            <v>Etiopská federativní demokratická republika</v>
          </cell>
          <cell r="Q57" t="str">
            <v>Velkoobchod, kromě motorových vozidel</v>
          </cell>
        </row>
        <row r="58">
          <cell r="H58" t="str">
            <v>PLZEŇ</v>
          </cell>
          <cell r="J58" t="str">
            <v>Faerské ostrovy</v>
          </cell>
          <cell r="Q58" t="str">
            <v>Maloobchod, kromě motorových vozidel</v>
          </cell>
        </row>
        <row r="59">
          <cell r="H59" t="str">
            <v>PLZEŇ-SEVER</v>
          </cell>
          <cell r="J59" t="str">
            <v>Falklandské ostrovy</v>
          </cell>
          <cell r="Q59" t="str">
            <v>Pozemní a potrubní doprava</v>
          </cell>
        </row>
        <row r="60">
          <cell r="H60" t="str">
            <v>PLZEŇ-JIH</v>
          </cell>
          <cell r="J60" t="str">
            <v>Fidžijská republika</v>
          </cell>
          <cell r="Q60" t="str">
            <v>Vodní doprava</v>
          </cell>
        </row>
        <row r="61">
          <cell r="H61" t="str">
            <v>BLOVICE</v>
          </cell>
          <cell r="J61" t="str">
            <v>Filipínská republika</v>
          </cell>
          <cell r="Q61" t="str">
            <v>Letecká doprava</v>
          </cell>
        </row>
        <row r="62">
          <cell r="H62" t="str">
            <v>DOMAŽLICE</v>
          </cell>
          <cell r="J62" t="str">
            <v>Finská republika</v>
          </cell>
          <cell r="Q62" t="str">
            <v>Těžba a úprava černého uhlí</v>
          </cell>
        </row>
        <row r="63">
          <cell r="H63" t="str">
            <v>HORAŽĎOVICE</v>
          </cell>
          <cell r="J63" t="str">
            <v>Francouzská republika</v>
          </cell>
          <cell r="Q63" t="str">
            <v>Skladování a vedlejší činnosti v dopravě</v>
          </cell>
        </row>
        <row r="64">
          <cell r="H64" t="str">
            <v>HORŠOVSKÝ TÝN</v>
          </cell>
          <cell r="J64" t="str">
            <v>Region Francouzská Guyana</v>
          </cell>
          <cell r="Q64" t="str">
            <v>Těžba a úprava hnědého uhlí</v>
          </cell>
        </row>
        <row r="65">
          <cell r="H65" t="str">
            <v>KLATOVY</v>
          </cell>
          <cell r="J65" t="str">
            <v>Teritorium Francouzská jižní a antarktická území</v>
          </cell>
          <cell r="Q65" t="str">
            <v>Poštovní a kurýrní činnosti</v>
          </cell>
        </row>
        <row r="66">
          <cell r="H66" t="str">
            <v>KRALOVICE</v>
          </cell>
          <cell r="J66" t="str">
            <v>Francouzská Polynésie</v>
          </cell>
          <cell r="Q66" t="str">
            <v>Ubytování</v>
          </cell>
        </row>
        <row r="67">
          <cell r="H67" t="str">
            <v>NEPOMUK</v>
          </cell>
          <cell r="J67" t="str">
            <v>Gabonská republika</v>
          </cell>
          <cell r="Q67" t="str">
            <v>Stravování a pohostinství</v>
          </cell>
        </row>
        <row r="68">
          <cell r="H68" t="str">
            <v>PŘEŠTICE</v>
          </cell>
          <cell r="J68" t="str">
            <v>Gambijská republika</v>
          </cell>
          <cell r="Q68" t="str">
            <v>Vydavatelské činnosti</v>
          </cell>
        </row>
        <row r="69">
          <cell r="H69" t="str">
            <v>ROKYCANY</v>
          </cell>
          <cell r="J69" t="str">
            <v>Ghanská republika</v>
          </cell>
          <cell r="Q69" t="str">
            <v>Čin.v obl.filmů,videozázn.a tel.programů,pořiz.zvuk.nahr.a hudeb.vyd.čin.</v>
          </cell>
        </row>
        <row r="70">
          <cell r="H70" t="str">
            <v>TACHOV</v>
          </cell>
          <cell r="J70" t="str">
            <v>Gibraltar</v>
          </cell>
          <cell r="Q70" t="str">
            <v>Tvorba programů a vysílání</v>
          </cell>
        </row>
        <row r="71">
          <cell r="H71" t="str">
            <v>STŘÍBRO</v>
          </cell>
          <cell r="J71" t="str">
            <v>Grenadský stát</v>
          </cell>
          <cell r="Q71" t="str">
            <v>Telekomunikační činnosti</v>
          </cell>
        </row>
        <row r="72">
          <cell r="H72" t="str">
            <v>SUŠICE</v>
          </cell>
          <cell r="J72" t="str">
            <v>Grónsko</v>
          </cell>
          <cell r="Q72" t="str">
            <v>Těžba ropy</v>
          </cell>
        </row>
        <row r="73">
          <cell r="H73" t="str">
            <v>KARLOVY VARY</v>
          </cell>
          <cell r="J73" t="str">
            <v>Gruzie</v>
          </cell>
          <cell r="Q73" t="str">
            <v>Činnosti v oblasti informačních technologií</v>
          </cell>
        </row>
        <row r="74">
          <cell r="H74" t="str">
            <v>AŠ</v>
          </cell>
          <cell r="J74" t="str">
            <v>Region Guadeloupe</v>
          </cell>
          <cell r="Q74" t="str">
            <v>Těžba zemního plynu</v>
          </cell>
        </row>
        <row r="75">
          <cell r="H75" t="str">
            <v>CHEB</v>
          </cell>
          <cell r="J75" t="str">
            <v>Teritorium Guam</v>
          </cell>
          <cell r="Q75" t="str">
            <v>Informační činnosti</v>
          </cell>
        </row>
        <row r="76">
          <cell r="H76" t="str">
            <v>KRASLICE</v>
          </cell>
          <cell r="J76" t="str">
            <v>Guatemalská republika</v>
          </cell>
          <cell r="Q76" t="str">
            <v>Finanční zprostředkování, kromě pojišťovnictví a penzijního financování</v>
          </cell>
        </row>
        <row r="77">
          <cell r="H77" t="str">
            <v>MARIÁNSKÉ LÁZNĚ</v>
          </cell>
          <cell r="J77" t="str">
            <v>Bailiwick Guernsey</v>
          </cell>
          <cell r="Q77" t="str">
            <v>Pojištění,zajištění a penzijní financování,kromě povinného soc.zabezpečení</v>
          </cell>
        </row>
        <row r="78">
          <cell r="H78" t="str">
            <v>OSTROV NAD OHŘÍ</v>
          </cell>
          <cell r="J78" t="str">
            <v>Guinejská republika</v>
          </cell>
          <cell r="Q78" t="str">
            <v>Ostatní finanční činnosti</v>
          </cell>
        </row>
        <row r="79">
          <cell r="H79" t="str">
            <v>SOKOLOV</v>
          </cell>
          <cell r="J79" t="str">
            <v>Republika Guinea-Bissau</v>
          </cell>
          <cell r="Q79" t="str">
            <v>Činnosti v oblasti nemovitostí</v>
          </cell>
        </row>
        <row r="80">
          <cell r="H80" t="str">
            <v>ÚSTÍ NAD LABEM</v>
          </cell>
          <cell r="J80" t="str">
            <v>Guyanská kooperativní republika</v>
          </cell>
          <cell r="Q80" t="str">
            <v>Právní a účetnické činnosti</v>
          </cell>
        </row>
        <row r="81">
          <cell r="H81" t="str">
            <v>BÍLINA</v>
          </cell>
          <cell r="J81" t="str">
            <v>Republika Haiti</v>
          </cell>
          <cell r="Q81" t="str">
            <v>Činnosti vedení podniků; poradenství v oblasti řízení</v>
          </cell>
        </row>
        <row r="82">
          <cell r="H82" t="str">
            <v>DĚČÍN</v>
          </cell>
          <cell r="J82" t="str">
            <v>Heardův ostrov a MacDonaldovy ostrovy</v>
          </cell>
          <cell r="Q82" t="str">
            <v>Architektonické a inženýrské činnosti; technické zkoušky a analýzy</v>
          </cell>
        </row>
        <row r="83">
          <cell r="H83" t="str">
            <v>CHOMUTOV</v>
          </cell>
          <cell r="J83" t="str">
            <v>Honduraská republika</v>
          </cell>
          <cell r="Q83" t="str">
            <v>Těžba a úprava železných rud</v>
          </cell>
        </row>
        <row r="84">
          <cell r="H84" t="str">
            <v>KADAŇ</v>
          </cell>
          <cell r="J84" t="str">
            <v>Zvláštní administrativní oblast Čínské lidové republiky Hongkong</v>
          </cell>
          <cell r="Q84" t="str">
            <v>Výzkum a vývoj</v>
          </cell>
        </row>
        <row r="85">
          <cell r="H85" t="str">
            <v>LIBOCHOVICE</v>
          </cell>
          <cell r="J85" t="str">
            <v>Chilská republika</v>
          </cell>
          <cell r="Q85" t="str">
            <v>Těžba a úprava neželezných rud</v>
          </cell>
        </row>
        <row r="86">
          <cell r="H86" t="str">
            <v>LITOMĚŘICE</v>
          </cell>
          <cell r="J86" t="str">
            <v>Chorvatská republika</v>
          </cell>
          <cell r="Q86" t="str">
            <v>Reklama a průzkum trhu</v>
          </cell>
        </row>
        <row r="87">
          <cell r="H87" t="str">
            <v>LITVÍNOV</v>
          </cell>
          <cell r="J87" t="str">
            <v>Indická republika</v>
          </cell>
          <cell r="Q87" t="str">
            <v>Ostatní profesní, vědecké a technické činnosti</v>
          </cell>
        </row>
        <row r="88">
          <cell r="H88" t="str">
            <v>LOUNY</v>
          </cell>
          <cell r="J88" t="str">
            <v>Indonéská republika</v>
          </cell>
          <cell r="Q88" t="str">
            <v>Veterinární činnosti</v>
          </cell>
        </row>
        <row r="89">
          <cell r="H89" t="str">
            <v>MOST</v>
          </cell>
          <cell r="J89" t="str">
            <v>Irácká republika</v>
          </cell>
          <cell r="Q89" t="str">
            <v>Činnosti v oblasti pronájmu a operativního leasingu</v>
          </cell>
        </row>
        <row r="90">
          <cell r="H90" t="str">
            <v>PODBOŘANY</v>
          </cell>
          <cell r="J90" t="str">
            <v>Íránská islámská republika</v>
          </cell>
          <cell r="Q90" t="str">
            <v>Činnosti související se zaměstnáním</v>
          </cell>
        </row>
        <row r="91">
          <cell r="H91" t="str">
            <v>ROUDNICE NAD LABEM</v>
          </cell>
          <cell r="J91" t="str">
            <v>Irsko</v>
          </cell>
          <cell r="Q91" t="str">
            <v>Činnosti cest.agentur,kanceláří a jiné rezervační a související činnosti</v>
          </cell>
        </row>
        <row r="92">
          <cell r="H92" t="str">
            <v>RUMBURK</v>
          </cell>
          <cell r="J92" t="str">
            <v>Islandská republika</v>
          </cell>
          <cell r="Q92" t="str">
            <v>Bezpečnostní a pátrací činnosti</v>
          </cell>
        </row>
        <row r="93">
          <cell r="H93" t="str">
            <v>TEPLICE</v>
          </cell>
          <cell r="J93" t="str">
            <v>Italská republika</v>
          </cell>
          <cell r="Q93" t="str">
            <v>Činnosti související se stavbami a úpravou krajiny</v>
          </cell>
        </row>
        <row r="94">
          <cell r="H94" t="str">
            <v>ŽATEC</v>
          </cell>
          <cell r="J94" t="str">
            <v>Stát Izrael</v>
          </cell>
          <cell r="Q94" t="str">
            <v>Dobývání kamene, písků a jílů</v>
          </cell>
        </row>
        <row r="95">
          <cell r="H95" t="str">
            <v>LIBEREC</v>
          </cell>
          <cell r="J95" t="str">
            <v>Jamajka</v>
          </cell>
          <cell r="Q95" t="str">
            <v>Administrativní, kancelářské a jiné podpůrné činnosti pro podnikání</v>
          </cell>
        </row>
        <row r="96">
          <cell r="H96" t="str">
            <v>ČESKÁ LÍPA</v>
          </cell>
          <cell r="J96" t="str">
            <v>Japonsko</v>
          </cell>
          <cell r="Q96" t="str">
            <v>Veřejná správa a obrana; povinné sociální zabezpečení</v>
          </cell>
        </row>
        <row r="97">
          <cell r="H97" t="str">
            <v>FRÝDLANT</v>
          </cell>
          <cell r="J97" t="str">
            <v>Jemenská republika</v>
          </cell>
          <cell r="Q97" t="str">
            <v>Vzdělávání</v>
          </cell>
        </row>
        <row r="98">
          <cell r="H98" t="str">
            <v>JABLONEC NAD NISOU</v>
          </cell>
          <cell r="J98" t="str">
            <v>Bailiwick Jersey</v>
          </cell>
          <cell r="Q98" t="str">
            <v>Zdravotní péče</v>
          </cell>
        </row>
        <row r="99">
          <cell r="H99" t="str">
            <v>JILEMNICE</v>
          </cell>
          <cell r="J99" t="str">
            <v>Jihoafrická republika</v>
          </cell>
          <cell r="Q99" t="str">
            <v>Pobytové služby sociální péče</v>
          </cell>
        </row>
        <row r="100">
          <cell r="H100" t="str">
            <v>NOVÝ BOR</v>
          </cell>
          <cell r="J100" t="str">
            <v>Jižní Georgie a Jižní Sandwichovy ostrovy</v>
          </cell>
          <cell r="Q100" t="str">
            <v>Ambulantní nebo terénní sociální služby</v>
          </cell>
        </row>
        <row r="101">
          <cell r="H101" t="str">
            <v>SEMILY</v>
          </cell>
          <cell r="J101" t="str">
            <v>Jihosúdánská republika</v>
          </cell>
          <cell r="Q101" t="str">
            <v>Těžba a dobývání j. n.</v>
          </cell>
        </row>
        <row r="102">
          <cell r="H102" t="str">
            <v>TANVALD</v>
          </cell>
          <cell r="J102" t="str">
            <v>Jordánské hášimovské království</v>
          </cell>
          <cell r="Q102" t="str">
            <v>Tvůrčí, umělecké a zábavní činnosti</v>
          </cell>
        </row>
        <row r="103">
          <cell r="H103" t="str">
            <v>TURNOV</v>
          </cell>
          <cell r="J103" t="str">
            <v>Kajmanské ostrovy</v>
          </cell>
          <cell r="Q103" t="str">
            <v>Činnosti knihoven, archivů, muzeí a jiných kulturních zařízení</v>
          </cell>
        </row>
        <row r="104">
          <cell r="H104" t="str">
            <v>ŽELEZNÝ BROD</v>
          </cell>
          <cell r="J104" t="str">
            <v>Kambodžské království</v>
          </cell>
          <cell r="Q104" t="str">
            <v>Podpůrné činnosti při těžbě ropy a zemního plynu</v>
          </cell>
        </row>
        <row r="105">
          <cell r="H105" t="str">
            <v>HRADEC KRÁLOVÉ</v>
          </cell>
          <cell r="J105" t="str">
            <v>Kamerunská republika</v>
          </cell>
          <cell r="Q105" t="str">
            <v>Činnosti heren, kasin a sázkových kanceláří</v>
          </cell>
        </row>
        <row r="106">
          <cell r="H106" t="str">
            <v>BROUMOV</v>
          </cell>
          <cell r="J106" t="str">
            <v>Kanada</v>
          </cell>
          <cell r="Q106" t="str">
            <v>Sportovní, zábavní a rekreační činnosti</v>
          </cell>
        </row>
        <row r="107">
          <cell r="H107" t="str">
            <v>DOBRUŠKA</v>
          </cell>
          <cell r="J107" t="str">
            <v>Kapverdská republika</v>
          </cell>
          <cell r="Q107" t="str">
            <v>Činnosti organizací sdružujících osoby za účelem prosazování spol.zájmů</v>
          </cell>
        </row>
        <row r="108">
          <cell r="H108" t="str">
            <v>DVŮR KRÁLOVÉ</v>
          </cell>
          <cell r="J108" t="str">
            <v>Stát Katar</v>
          </cell>
          <cell r="Q108" t="str">
            <v>Opravy počítačů a výrobků pro osobní potřebu a převážně pro domácnost</v>
          </cell>
        </row>
        <row r="109">
          <cell r="H109" t="str">
            <v>HOŘICE</v>
          </cell>
          <cell r="J109" t="str">
            <v>Republika Kazachstán</v>
          </cell>
          <cell r="Q109" t="str">
            <v>Poskytování ostatních osobních služeb</v>
          </cell>
        </row>
        <row r="110">
          <cell r="H110" t="str">
            <v>JAROMĚŘ</v>
          </cell>
          <cell r="J110" t="str">
            <v>Keňská republika</v>
          </cell>
          <cell r="Q110" t="str">
            <v>Činnosti domácností jako zaměstnavatelů domácího personálu</v>
          </cell>
        </row>
        <row r="111">
          <cell r="H111" t="str">
            <v>JIČÍN</v>
          </cell>
          <cell r="J111" t="str">
            <v>Republika Kiribati</v>
          </cell>
          <cell r="Q111" t="str">
            <v>Činnosti domác.produk.blíže neurčené výrobky a služby pro vlast.potřebu</v>
          </cell>
        </row>
        <row r="112">
          <cell r="H112" t="str">
            <v>KOSTELEC NAD ORLICÍ</v>
          </cell>
          <cell r="J112" t="str">
            <v>Území Kokosové (Keelingovy) ostrovy</v>
          </cell>
          <cell r="Q112" t="str">
            <v>Činnosti exteritoriálních organizací a orgánů</v>
          </cell>
        </row>
        <row r="113">
          <cell r="H113" t="str">
            <v>NÁCHOD</v>
          </cell>
          <cell r="J113" t="str">
            <v>Kolumbijská republika</v>
          </cell>
          <cell r="Q113" t="str">
            <v>Podpůrné činnosti při ostatní těžbě a dobývání</v>
          </cell>
        </row>
        <row r="114">
          <cell r="H114" t="str">
            <v>NOVÁ PAKA</v>
          </cell>
          <cell r="J114" t="str">
            <v>Komorský svaz</v>
          </cell>
          <cell r="Q114" t="str">
            <v>Zpracování a konzervování masa a výroba masných výrobků</v>
          </cell>
        </row>
        <row r="115">
          <cell r="H115" t="str">
            <v>NOVÝ BYDŽOV</v>
          </cell>
          <cell r="J115" t="str">
            <v>Konžská republika</v>
          </cell>
          <cell r="Q115" t="str">
            <v>Zpracování a konzervování ryb, korýšů a měkkýšů</v>
          </cell>
        </row>
        <row r="116">
          <cell r="H116" t="str">
            <v>RYCHNOV NAD KNĚŽ.</v>
          </cell>
          <cell r="J116" t="str">
            <v>Korejská lidově demokratická republika</v>
          </cell>
          <cell r="Q116" t="str">
            <v>Zpracování a konzervování ovoce a zeleniny</v>
          </cell>
        </row>
        <row r="117">
          <cell r="H117" t="str">
            <v>TRUTNOV</v>
          </cell>
          <cell r="J117" t="str">
            <v>Korejská republika</v>
          </cell>
          <cell r="Q117" t="str">
            <v>Výroba rostlinných a živočišných olejů a tuků</v>
          </cell>
        </row>
        <row r="118">
          <cell r="H118" t="str">
            <v>VRCHLABÍ</v>
          </cell>
          <cell r="J118" t="str">
            <v>Kosovská republika</v>
          </cell>
          <cell r="Q118" t="str">
            <v>Výroba mléčných výrobků</v>
          </cell>
        </row>
        <row r="119">
          <cell r="H119" t="str">
            <v>PARDUBICE</v>
          </cell>
          <cell r="J119" t="str">
            <v>Kostarická republika</v>
          </cell>
          <cell r="Q119" t="str">
            <v>Výroba mlýnských a škrobárenských výrobků</v>
          </cell>
        </row>
        <row r="120">
          <cell r="H120" t="str">
            <v>HLINSKO</v>
          </cell>
          <cell r="J120" t="str">
            <v>Kubánská republika</v>
          </cell>
          <cell r="Q120" t="str">
            <v>Výroba pekařských, cukrářských a jiných moučných výrobků</v>
          </cell>
        </row>
        <row r="121">
          <cell r="H121" t="str">
            <v>HOLICE</v>
          </cell>
          <cell r="J121" t="str">
            <v>Kuvajtský stát</v>
          </cell>
          <cell r="Q121" t="str">
            <v>Výroba ostatních potravinářských výrobků</v>
          </cell>
        </row>
        <row r="122">
          <cell r="H122" t="str">
            <v>CHRUDIM</v>
          </cell>
          <cell r="J122" t="str">
            <v>Kyperská republika</v>
          </cell>
          <cell r="Q122" t="str">
            <v>Výroba průmyslových krmiv</v>
          </cell>
        </row>
        <row r="123">
          <cell r="H123" t="str">
            <v>LITOMYŠL</v>
          </cell>
          <cell r="J123" t="str">
            <v>Kyrgyzská republika</v>
          </cell>
          <cell r="Q123" t="str">
            <v>Pěstování obilovin (kromě rýže), luštěnin a olejnatých semen</v>
          </cell>
        </row>
        <row r="124">
          <cell r="H124" t="str">
            <v>MORAVSKÁ TŘEBOVÁ</v>
          </cell>
          <cell r="J124" t="str">
            <v>Laoská lidově demokratická republika</v>
          </cell>
          <cell r="Q124" t="str">
            <v>Pěstování rýže</v>
          </cell>
        </row>
        <row r="125">
          <cell r="H125" t="str">
            <v>PŘELOUČ</v>
          </cell>
          <cell r="J125" t="str">
            <v>Lesothské království</v>
          </cell>
          <cell r="Q125" t="str">
            <v>Pěstování zeleniny a melounů, kořenů a hlíz</v>
          </cell>
        </row>
        <row r="126">
          <cell r="H126" t="str">
            <v>SVITAVY</v>
          </cell>
          <cell r="J126" t="str">
            <v>Libanonská republika</v>
          </cell>
          <cell r="Q126" t="str">
            <v>Pěstování tabáku</v>
          </cell>
        </row>
        <row r="127">
          <cell r="H127" t="str">
            <v>ÚSTÍ NAD ORLICÍ</v>
          </cell>
          <cell r="J127" t="str">
            <v>Liberijská republika</v>
          </cell>
          <cell r="Q127" t="str">
            <v>Pěstování přadných rostlin</v>
          </cell>
        </row>
        <row r="128">
          <cell r="H128" t="str">
            <v>VYSOKÉ MÝTO</v>
          </cell>
          <cell r="J128" t="str">
            <v>Libyjský stát</v>
          </cell>
          <cell r="Q128" t="str">
            <v>Pěstování ostatních plodin jiných než trvalých</v>
          </cell>
        </row>
        <row r="129">
          <cell r="H129" t="str">
            <v>ŽAMBERK</v>
          </cell>
          <cell r="J129" t="str">
            <v>Lichtenštejnské knížectví</v>
          </cell>
          <cell r="Q129" t="str">
            <v>Pěstování vinných hroznů</v>
          </cell>
        </row>
        <row r="130">
          <cell r="H130" t="str">
            <v>JIHLAVA</v>
          </cell>
          <cell r="J130" t="str">
            <v>Litevská republika</v>
          </cell>
          <cell r="Q130" t="str">
            <v>Pěstování tropického a subtropického ovoce</v>
          </cell>
        </row>
        <row r="131">
          <cell r="H131" t="str">
            <v>BYSTŘICE NAD PERN.</v>
          </cell>
          <cell r="J131" t="str">
            <v>Lotyšská republika</v>
          </cell>
          <cell r="Q131" t="str">
            <v>Pěstování citrusových plodů</v>
          </cell>
        </row>
        <row r="132">
          <cell r="H132" t="str">
            <v>HAVLÍČKŮV BROD</v>
          </cell>
          <cell r="J132" t="str">
            <v>Lucemburské velkovévodství</v>
          </cell>
          <cell r="Q132" t="str">
            <v>Pěstování jádrového a peckového ovoce</v>
          </cell>
        </row>
        <row r="133">
          <cell r="H133" t="str">
            <v>HUMPOLEC</v>
          </cell>
          <cell r="J133" t="str">
            <v>Zvláštní administrativní oblast Čínské lidové republiky Macao</v>
          </cell>
          <cell r="Q133" t="str">
            <v>Pěstování ostatního stromového a keřového ovoce a ořechů</v>
          </cell>
        </row>
        <row r="134">
          <cell r="H134" t="str">
            <v>CHOTĚBOŘ</v>
          </cell>
          <cell r="J134" t="str">
            <v>Madagaskarská republika</v>
          </cell>
          <cell r="Q134" t="str">
            <v>Pěstování olejnatých plodů</v>
          </cell>
        </row>
        <row r="135">
          <cell r="H135" t="str">
            <v>LEDEČ NAD SÁZAVOU</v>
          </cell>
          <cell r="J135" t="str">
            <v>Maďarsko</v>
          </cell>
          <cell r="Q135" t="str">
            <v>Pěstování rostlin pro výrobu nápojů</v>
          </cell>
        </row>
        <row r="136">
          <cell r="H136" t="str">
            <v>MORAVSKÉ BUDĚJOVICE</v>
          </cell>
          <cell r="J136" t="str">
            <v>Bývalá jugoslávská republika Makedonie</v>
          </cell>
          <cell r="Q136" t="str">
            <v>Pěstování koření, aromatických, léčivých a farmaceutických rostlin</v>
          </cell>
        </row>
        <row r="137">
          <cell r="H137" t="str">
            <v>NÁMĚŠŤ NAD OSLAVOU</v>
          </cell>
          <cell r="J137" t="str">
            <v>Malajsie</v>
          </cell>
          <cell r="Q137" t="str">
            <v>Pěstování ostatních trvalých plodin</v>
          </cell>
        </row>
        <row r="138">
          <cell r="H138" t="str">
            <v>PACOV</v>
          </cell>
          <cell r="J138" t="str">
            <v>Malawiská republika</v>
          </cell>
          <cell r="Q138" t="str">
            <v>Úprava a spřádání textilních vláken a příze</v>
          </cell>
        </row>
        <row r="139">
          <cell r="H139" t="str">
            <v>PELHŘIMOV</v>
          </cell>
          <cell r="J139" t="str">
            <v>Maledivská republika</v>
          </cell>
          <cell r="Q139" t="str">
            <v>Tkaní textilií</v>
          </cell>
        </row>
        <row r="140">
          <cell r="H140" t="str">
            <v>TELČ</v>
          </cell>
          <cell r="J140" t="str">
            <v>Republika Mali</v>
          </cell>
          <cell r="Q140" t="str">
            <v>Konečná úprava textilií</v>
          </cell>
        </row>
        <row r="141">
          <cell r="H141" t="str">
            <v>TŘEBÍČ</v>
          </cell>
          <cell r="J141" t="str">
            <v>Maltská republika</v>
          </cell>
          <cell r="Q141" t="str">
            <v>Výroba ostatních textilií</v>
          </cell>
        </row>
        <row r="142">
          <cell r="H142" t="str">
            <v>VELKÉ MEZIŘÍČÍ</v>
          </cell>
          <cell r="J142" t="str">
            <v>Ostrov Man</v>
          </cell>
          <cell r="Q142" t="str">
            <v>Pěstování cukrové třtiny</v>
          </cell>
        </row>
        <row r="143">
          <cell r="H143" t="str">
            <v>ŽĎÁR NAD SÁZAVOU</v>
          </cell>
          <cell r="J143" t="str">
            <v>Marocké království</v>
          </cell>
          <cell r="Q143" t="str">
            <v>Výroba oděvů, kromě kožešinových výrobků</v>
          </cell>
        </row>
        <row r="144">
          <cell r="H144" t="str">
            <v>BRNO I</v>
          </cell>
          <cell r="J144" t="str">
            <v>Republika Marshallovy ostrovy</v>
          </cell>
          <cell r="Q144" t="str">
            <v>Chov mléčného skotu</v>
          </cell>
        </row>
        <row r="145">
          <cell r="H145" t="str">
            <v>BRNO II</v>
          </cell>
          <cell r="J145" t="str">
            <v>Region Martinik</v>
          </cell>
          <cell r="Q145" t="str">
            <v>Výroba kožešinových výrobků</v>
          </cell>
        </row>
        <row r="146">
          <cell r="H146" t="str">
            <v>BRNO III</v>
          </cell>
          <cell r="J146" t="str">
            <v>Mauricijská republika</v>
          </cell>
          <cell r="Q146" t="str">
            <v>Chov jiného skotu</v>
          </cell>
        </row>
        <row r="147">
          <cell r="H147" t="str">
            <v>BRNO IV</v>
          </cell>
          <cell r="J147" t="str">
            <v>Mauritánská islámská republika</v>
          </cell>
          <cell r="Q147" t="str">
            <v>Výroba pletených a háčkovaných oděvů</v>
          </cell>
        </row>
        <row r="148">
          <cell r="H148" t="str">
            <v>BRNO VENKOV</v>
          </cell>
          <cell r="J148" t="str">
            <v>Departementní společenství Mayotte</v>
          </cell>
          <cell r="Q148" t="str">
            <v>Chov koní a jiných koňovitých</v>
          </cell>
        </row>
        <row r="149">
          <cell r="H149" t="str">
            <v>BLANSKO</v>
          </cell>
          <cell r="J149" t="str">
            <v>Menší odlehlé ostrovy USA</v>
          </cell>
          <cell r="Q149" t="str">
            <v>Chov velbloudů a velbloudovitých</v>
          </cell>
        </row>
        <row r="150">
          <cell r="H150" t="str">
            <v>BOSKOVICE</v>
          </cell>
          <cell r="J150" t="str">
            <v>Spojené státy mexické</v>
          </cell>
          <cell r="Q150" t="str">
            <v>Chov ovcí a koz</v>
          </cell>
        </row>
        <row r="151">
          <cell r="H151" t="str">
            <v>BŘECLAV</v>
          </cell>
          <cell r="J151" t="str">
            <v>Federativní státy Mikronésie</v>
          </cell>
          <cell r="Q151" t="str">
            <v>Chov prasat</v>
          </cell>
        </row>
        <row r="152">
          <cell r="H152" t="str">
            <v>BUČOVICE</v>
          </cell>
          <cell r="J152" t="str">
            <v>Moldavská republika</v>
          </cell>
          <cell r="Q152" t="str">
            <v>Chov drůbeže</v>
          </cell>
        </row>
        <row r="153">
          <cell r="H153" t="str">
            <v>HODONÍN</v>
          </cell>
          <cell r="J153" t="str">
            <v>Monacké knížectví</v>
          </cell>
          <cell r="Q153" t="str">
            <v>Chov ostatních zvířat</v>
          </cell>
        </row>
        <row r="154">
          <cell r="H154" t="str">
            <v>HUSTOPEČE</v>
          </cell>
          <cell r="J154" t="str">
            <v>Mongolsko</v>
          </cell>
          <cell r="Q154" t="str">
            <v>Činění a úprava usní (vyčiněných kůží); zpracování a barvení kožešin; výrob</v>
          </cell>
        </row>
        <row r="155">
          <cell r="H155" t="str">
            <v>IVANČICE</v>
          </cell>
          <cell r="J155" t="str">
            <v>Montserrat</v>
          </cell>
          <cell r="Q155" t="str">
            <v>Výroba obuvi</v>
          </cell>
        </row>
        <row r="156">
          <cell r="H156" t="str">
            <v>KYJOV</v>
          </cell>
          <cell r="J156" t="str">
            <v>Mosambická republika</v>
          </cell>
          <cell r="Q156" t="str">
            <v>Výroba pilařská a impregnace dřeva</v>
          </cell>
        </row>
        <row r="157">
          <cell r="H157" t="str">
            <v>MIKULOV</v>
          </cell>
          <cell r="J157" t="str">
            <v>Republika Myanmarský svaz</v>
          </cell>
          <cell r="Q157" t="str">
            <v>Podpůrné činnosti pro rostlinnou výrobu</v>
          </cell>
        </row>
        <row r="158">
          <cell r="H158" t="str">
            <v>MORAVSKÝ KRUMLOV</v>
          </cell>
          <cell r="J158" t="str">
            <v>Namibijská republika</v>
          </cell>
          <cell r="Q158" t="str">
            <v>Výroba dřevěných,korkových,proutěných a slaměných výrobků,kromě nábytku</v>
          </cell>
        </row>
        <row r="159">
          <cell r="H159" t="str">
            <v>SLAVKOV U BRNA</v>
          </cell>
          <cell r="J159" t="str">
            <v>Republika Nauru</v>
          </cell>
          <cell r="Q159" t="str">
            <v>Podpůrné činnosti pro živočišnou výrobu</v>
          </cell>
        </row>
        <row r="160">
          <cell r="H160" t="str">
            <v>TIŠNOV</v>
          </cell>
          <cell r="J160" t="str">
            <v>Spolková republika Německo</v>
          </cell>
          <cell r="Q160" t="str">
            <v>Posklizňové činnosti</v>
          </cell>
        </row>
        <row r="161">
          <cell r="H161" t="str">
            <v>VESELÍ NAD MORAVOU</v>
          </cell>
          <cell r="J161" t="str">
            <v>Nepálská federativní demokratická republika</v>
          </cell>
          <cell r="Q161" t="str">
            <v>Zpracování osiva pro účely množení</v>
          </cell>
        </row>
        <row r="162">
          <cell r="H162" t="str">
            <v>VYŠKOV</v>
          </cell>
          <cell r="J162" t="str">
            <v>Nigerská republika</v>
          </cell>
          <cell r="Q162" t="str">
            <v>Výroba buničiny, papíru a lepenky</v>
          </cell>
        </row>
        <row r="163">
          <cell r="H163" t="str">
            <v>ZNOJMO</v>
          </cell>
          <cell r="J163" t="str">
            <v>Nigerijská federativní republika</v>
          </cell>
          <cell r="Q163" t="str">
            <v>Výroba výrobků z papíru a lepenky</v>
          </cell>
        </row>
        <row r="164">
          <cell r="H164" t="str">
            <v>OLOMOUC</v>
          </cell>
          <cell r="J164" t="str">
            <v>Nikaragujská republika</v>
          </cell>
          <cell r="Q164" t="str">
            <v>Tisk a činnosti související s tiskem</v>
          </cell>
        </row>
        <row r="165">
          <cell r="H165" t="str">
            <v>HRANICE</v>
          </cell>
          <cell r="J165" t="str">
            <v>Niue</v>
          </cell>
          <cell r="Q165" t="str">
            <v>Rozmnožování nahraných nosičů</v>
          </cell>
        </row>
        <row r="166">
          <cell r="H166" t="str">
            <v>JESENÍK</v>
          </cell>
          <cell r="J166" t="str">
            <v>Nizozemsko</v>
          </cell>
          <cell r="Q166" t="str">
            <v>Výroba koksárenských produktů</v>
          </cell>
        </row>
        <row r="167">
          <cell r="H167" t="str">
            <v>KONICE</v>
          </cell>
          <cell r="J167" t="str">
            <v>Území Norfolk</v>
          </cell>
          <cell r="Q167" t="str">
            <v>Výroba rafinovaných ropných produktů</v>
          </cell>
        </row>
        <row r="168">
          <cell r="H168" t="str">
            <v>LITOVEL</v>
          </cell>
          <cell r="J168" t="str">
            <v>Norské království</v>
          </cell>
          <cell r="Q168" t="str">
            <v>Výroba zákl.chem.látek,hnojiv a dusík.sl.,plastů a synt.kaučuku v prim.f.</v>
          </cell>
        </row>
        <row r="169">
          <cell r="H169" t="str">
            <v>PROSTĚJOV</v>
          </cell>
          <cell r="J169" t="str">
            <v>Nová Kaledonie</v>
          </cell>
          <cell r="Q169" t="str">
            <v>Výroba pesticidů a jiných agrochemických přípravků</v>
          </cell>
        </row>
        <row r="170">
          <cell r="H170" t="str">
            <v>PŘEROV</v>
          </cell>
          <cell r="J170" t="str">
            <v>Nový Zéland</v>
          </cell>
          <cell r="Q170" t="str">
            <v>Výroba nátěr.barev,laků a jiných nátěrových mater.,tisk.barev a tmelů</v>
          </cell>
        </row>
        <row r="171">
          <cell r="H171" t="str">
            <v>ŠTERNBERK</v>
          </cell>
          <cell r="J171" t="str">
            <v>Sultanát Omán</v>
          </cell>
          <cell r="Q171" t="str">
            <v>Výroba mýdel a detergentů,čist.a lešticích prostř.,parfémů a toal. přípr.</v>
          </cell>
        </row>
        <row r="172">
          <cell r="H172" t="str">
            <v>ŠUMPERK</v>
          </cell>
          <cell r="J172" t="str">
            <v>Pákistánská islámská republika</v>
          </cell>
          <cell r="Q172" t="str">
            <v>Výroba ostatních chemických výrobků</v>
          </cell>
        </row>
        <row r="173">
          <cell r="H173" t="str">
            <v>ZÁBŘEH</v>
          </cell>
          <cell r="J173" t="str">
            <v>Republika Palau</v>
          </cell>
          <cell r="Q173" t="str">
            <v>Výroba chemických vláken</v>
          </cell>
        </row>
        <row r="174">
          <cell r="H174" t="str">
            <v>OSTRAVA I</v>
          </cell>
          <cell r="J174" t="str">
            <v>Palestinská autonomní území</v>
          </cell>
          <cell r="Q174" t="str">
            <v>Výroba základních farmaceutických výrobků</v>
          </cell>
        </row>
        <row r="175">
          <cell r="H175" t="str">
            <v>OSTRAVA II</v>
          </cell>
          <cell r="J175" t="str">
            <v>Panamská republika</v>
          </cell>
          <cell r="Q175" t="str">
            <v>Výroba farmaceutických přípravků</v>
          </cell>
        </row>
        <row r="176">
          <cell r="H176" t="str">
            <v>OSTRAVA III</v>
          </cell>
          <cell r="J176" t="str">
            <v>Nezávislý stát Papua Nová Guinea</v>
          </cell>
          <cell r="Q176" t="str">
            <v>Výroba pryžových výrobků</v>
          </cell>
        </row>
        <row r="177">
          <cell r="H177" t="str">
            <v>BOHUMÍN</v>
          </cell>
          <cell r="J177" t="str">
            <v>Paraguayská republika</v>
          </cell>
          <cell r="Q177" t="str">
            <v>Výroba plastových výrobků</v>
          </cell>
        </row>
        <row r="178">
          <cell r="H178" t="str">
            <v>BRUNTÁL</v>
          </cell>
          <cell r="J178" t="str">
            <v>Peruánská republika</v>
          </cell>
          <cell r="Q178" t="str">
            <v>Výroba skla a skleněných výrobků</v>
          </cell>
        </row>
        <row r="179">
          <cell r="H179" t="str">
            <v>ČESKÝ TĚŠÍN</v>
          </cell>
          <cell r="J179" t="str">
            <v>Pitcairnovy ostrovy</v>
          </cell>
          <cell r="Q179" t="str">
            <v>Výroba žáruvzdorných výrobků</v>
          </cell>
        </row>
        <row r="180">
          <cell r="H180" t="str">
            <v>FRÝDEK-MÍSTEK</v>
          </cell>
          <cell r="J180" t="str">
            <v>Republika Pobřeží slonoviny</v>
          </cell>
          <cell r="Q180" t="str">
            <v>Výroba stavebních výrobků z jílovitých materiálů</v>
          </cell>
        </row>
        <row r="181">
          <cell r="H181" t="str">
            <v>FRÝDLANT NAD OSTRAV.</v>
          </cell>
          <cell r="J181" t="str">
            <v>Polská republika</v>
          </cell>
          <cell r="Q181" t="str">
            <v>Výroba ostatních porcelánových a keramických výrobků</v>
          </cell>
        </row>
        <row r="182">
          <cell r="H182" t="str">
            <v>FULNEK</v>
          </cell>
          <cell r="J182" t="str">
            <v>Portorické společenství</v>
          </cell>
          <cell r="Q182" t="str">
            <v>Výroba cementu, vápna a sádry</v>
          </cell>
        </row>
        <row r="183">
          <cell r="H183" t="str">
            <v>HAVÍŘOV</v>
          </cell>
          <cell r="J183" t="str">
            <v>Portugalská republika</v>
          </cell>
          <cell r="Q183" t="str">
            <v>Výroba betonových, cementových a sádrových výrobků</v>
          </cell>
        </row>
        <row r="184">
          <cell r="H184" t="str">
            <v>HLUČÍN</v>
          </cell>
          <cell r="J184" t="str">
            <v>Rakouská republika</v>
          </cell>
          <cell r="Q184" t="str">
            <v>Řezání, tvarování a konečná úprava kamenů</v>
          </cell>
        </row>
        <row r="185">
          <cell r="H185" t="str">
            <v>KARVINÁ</v>
          </cell>
          <cell r="J185" t="str">
            <v>Region Réunion</v>
          </cell>
          <cell r="Q185" t="str">
            <v>Výroba brusiv a ostatních nekovových minerálních výrobků j. n.</v>
          </cell>
        </row>
        <row r="186">
          <cell r="H186" t="str">
            <v>KOPŘIVNICE</v>
          </cell>
          <cell r="J186" t="str">
            <v>Republika Rovníková Guinea</v>
          </cell>
          <cell r="Q186" t="str">
            <v>Výroba sur.železa,oceli a feroslitin,ploch.výr.,tváření výrobků za tepla</v>
          </cell>
        </row>
        <row r="187">
          <cell r="H187" t="str">
            <v>KRNOV</v>
          </cell>
          <cell r="J187" t="str">
            <v>Rumunsko</v>
          </cell>
          <cell r="Q187" t="str">
            <v>Výroba ocelových trub,trubek,dutých profilů a souvis.potrubních tvarovek</v>
          </cell>
        </row>
        <row r="188">
          <cell r="H188" t="str">
            <v>NOVÝ JIČÍN</v>
          </cell>
          <cell r="J188" t="str">
            <v>Ruská federace</v>
          </cell>
          <cell r="Q188" t="str">
            <v>Výroba ostatních výrobků získaných jednostupňovým zpracováním oceli</v>
          </cell>
        </row>
        <row r="189">
          <cell r="H189" t="str">
            <v>OPAVA</v>
          </cell>
          <cell r="J189" t="str">
            <v>Rwandská republika</v>
          </cell>
          <cell r="Q189" t="str">
            <v>Výroba a hutní zpracování drahých a neželezných kovů</v>
          </cell>
        </row>
        <row r="190">
          <cell r="H190" t="str">
            <v>ORLOVÁ</v>
          </cell>
          <cell r="J190" t="str">
            <v>Řecká republika</v>
          </cell>
          <cell r="Q190" t="str">
            <v>Slévárenství</v>
          </cell>
        </row>
        <row r="191">
          <cell r="H191" t="str">
            <v>TŘINEC</v>
          </cell>
          <cell r="J191" t="str">
            <v>Územní společenství Saint Pierre a Miquelon</v>
          </cell>
          <cell r="Q191" t="str">
            <v>Výroba konstrukčních kovových výrobků</v>
          </cell>
        </row>
        <row r="192">
          <cell r="H192" t="str">
            <v>ZLÍN</v>
          </cell>
          <cell r="J192" t="str">
            <v>Salvadorská republika</v>
          </cell>
          <cell r="Q192" t="str">
            <v>Výroba radiátorů a kotlů k ústřednímu topení, kovových nádrží a zásobníků</v>
          </cell>
        </row>
        <row r="193">
          <cell r="H193" t="str">
            <v>BYSTŘICE POD HOSTÝNEM</v>
          </cell>
          <cell r="J193" t="str">
            <v>Nezávislý stát Samoa</v>
          </cell>
          <cell r="Q193" t="str">
            <v>Výroba parních kotlů, kromě kotlů pro ústřední topení</v>
          </cell>
        </row>
        <row r="194">
          <cell r="H194" t="str">
            <v>HOLEŠOV</v>
          </cell>
          <cell r="J194" t="str">
            <v>Republika San Marino</v>
          </cell>
          <cell r="Q194" t="str">
            <v>Výroba zbraní a střeliva</v>
          </cell>
        </row>
        <row r="195">
          <cell r="H195" t="str">
            <v>KROMĚŘÍŽ</v>
          </cell>
          <cell r="J195" t="str">
            <v>Království Saúdská Arábie</v>
          </cell>
          <cell r="Q195" t="str">
            <v>Kování,lisování,ražení,válcování a protlačování kovů;prášková metalurgie</v>
          </cell>
        </row>
        <row r="196">
          <cell r="H196" t="str">
            <v>LUHAČOVICE</v>
          </cell>
          <cell r="J196" t="str">
            <v>Senegalská republika</v>
          </cell>
          <cell r="Q196" t="str">
            <v>Povrchová úprava a zušlechťování kovů; obrábění</v>
          </cell>
        </row>
        <row r="197">
          <cell r="H197" t="str">
            <v>OTROKOVICE</v>
          </cell>
          <cell r="J197" t="str">
            <v>Společenství Severní Mariany</v>
          </cell>
          <cell r="Q197" t="str">
            <v>Výroba nožířských výrobků, nástrojů a železářských výrobků</v>
          </cell>
        </row>
        <row r="198">
          <cell r="H198" t="str">
            <v>ROŽNOV POD RADH.</v>
          </cell>
          <cell r="J198" t="str">
            <v>Seychelská republika</v>
          </cell>
          <cell r="Q198" t="str">
            <v>Výroba ostatních kovodělných výrobků</v>
          </cell>
        </row>
        <row r="199">
          <cell r="H199" t="str">
            <v>UHERSKÝ BROD</v>
          </cell>
          <cell r="J199" t="str">
            <v>Republika Sierra Leone</v>
          </cell>
          <cell r="Q199" t="str">
            <v>Výroba elektronických součástek a desek</v>
          </cell>
        </row>
        <row r="200">
          <cell r="H200" t="str">
            <v>UHERSKÉ HRADIŠTĚ</v>
          </cell>
          <cell r="J200" t="str">
            <v>Singapurská republika</v>
          </cell>
          <cell r="Q200" t="str">
            <v>Výroba počítačů a periferních zařízení</v>
          </cell>
        </row>
        <row r="201">
          <cell r="H201" t="str">
            <v>VALAŠSKÉ MEZIŘÍČÍ</v>
          </cell>
          <cell r="J201" t="str">
            <v>Slovenská republika</v>
          </cell>
          <cell r="Q201" t="str">
            <v>Výroba komunikačních zařízení</v>
          </cell>
        </row>
        <row r="202">
          <cell r="H202" t="str">
            <v>VALAŠSKÉ KLOBOUKY</v>
          </cell>
          <cell r="J202" t="str">
            <v>Slovinská republika</v>
          </cell>
          <cell r="Q202" t="str">
            <v>Výroba spotřební elektroniky</v>
          </cell>
        </row>
        <row r="203">
          <cell r="H203" t="str">
            <v>VSETÍN</v>
          </cell>
          <cell r="J203" t="str">
            <v>Somálská federativní republika</v>
          </cell>
          <cell r="Q203" t="str">
            <v>Výroba měřicích,zkušebních a navigačních přístrojů;výroba časoměr.přístrojů</v>
          </cell>
        </row>
        <row r="204">
          <cell r="H204" t="str">
            <v>SPECIALIZOVANÝ</v>
          </cell>
          <cell r="J204" t="str">
            <v>Stát Spojené arabské emiráty</v>
          </cell>
          <cell r="Q204" t="str">
            <v>Výroba ozařovacích, elektroléčebných a elektroterapeutických přístrojů</v>
          </cell>
        </row>
        <row r="205">
          <cell r="J205" t="str">
            <v>Spojené státy americké</v>
          </cell>
          <cell r="Q205" t="str">
            <v>Výroba optických a fotografických přístrojů a zařízení</v>
          </cell>
        </row>
        <row r="206">
          <cell r="J206" t="str">
            <v>Srbská republika</v>
          </cell>
          <cell r="Q206" t="str">
            <v>Výroba magnetických a optických médií</v>
          </cell>
        </row>
        <row r="207">
          <cell r="J207" t="str">
            <v>Středoafrická republika</v>
          </cell>
          <cell r="Q207" t="str">
            <v>Výroba elektr.motorů,generátorů,transformátorů a elektr.rozvod.a kontrol.z.</v>
          </cell>
        </row>
        <row r="208">
          <cell r="J208" t="str">
            <v>Súdánská republika</v>
          </cell>
          <cell r="Q208" t="str">
            <v>Výroba baterií a akumulátorů</v>
          </cell>
        </row>
        <row r="209">
          <cell r="J209" t="str">
            <v>Surinamská republika</v>
          </cell>
          <cell r="Q209" t="str">
            <v>Výroba optických a elektr.kabelů,elektr.vodičů a elektroinstal.zařízení</v>
          </cell>
        </row>
        <row r="210">
          <cell r="J210" t="str">
            <v>Svatá Helena, Ascension a Tristan da Cunha</v>
          </cell>
          <cell r="Q210" t="str">
            <v>Výroba elektrických osvětlovacích zařízení</v>
          </cell>
        </row>
        <row r="211">
          <cell r="J211" t="str">
            <v>Svatá Lucie</v>
          </cell>
          <cell r="Q211" t="str">
            <v>Výroba spotřebičů převážně pro domácnost</v>
          </cell>
        </row>
        <row r="212">
          <cell r="J212" t="str">
            <v>Společenství Svatý Bartoloměj</v>
          </cell>
          <cell r="Q212" t="str">
            <v>Výroba ostatních elektrických zařízení</v>
          </cell>
        </row>
        <row r="213">
          <cell r="J213" t="str">
            <v>Federace Svatý Kryštof a Nevis</v>
          </cell>
          <cell r="Q213" t="str">
            <v>Výroba strojů a zařízení pro všeobecné účely</v>
          </cell>
        </row>
        <row r="214">
          <cell r="J214" t="str">
            <v>Společenství Svatý Martin</v>
          </cell>
          <cell r="Q214" t="str">
            <v>Výroba ostatních strojů a zařízení pro všeobecné účely</v>
          </cell>
        </row>
        <row r="215">
          <cell r="J215" t="str">
            <v>Svatý Martin (NL)</v>
          </cell>
          <cell r="Q215" t="str">
            <v>Výroba zemědělských a lesnických strojů</v>
          </cell>
        </row>
        <row r="216">
          <cell r="J216" t="str">
            <v>Demokratická republika Svatý Tomáš a Princův ostrov</v>
          </cell>
          <cell r="Q216" t="str">
            <v>Výroba kovoobráběcích a ostatních obráběcích strojů</v>
          </cell>
        </row>
        <row r="217">
          <cell r="J217" t="str">
            <v>Svatý Vincenc a Grenadiny</v>
          </cell>
          <cell r="Q217" t="str">
            <v>Výroba ostatních strojů pro speciální účely</v>
          </cell>
        </row>
        <row r="218">
          <cell r="J218" t="str">
            <v>Svazijské království</v>
          </cell>
          <cell r="Q218" t="str">
            <v>Výroba motorových vozidel a jejich motorů</v>
          </cell>
        </row>
        <row r="219">
          <cell r="J219" t="str">
            <v>Syrská arabská republika</v>
          </cell>
          <cell r="Q219" t="str">
            <v>Výroba karoserií motorových vozidel; výroba přívěsů a návěsů</v>
          </cell>
        </row>
        <row r="220">
          <cell r="J220" t="str">
            <v>Šalomounovy ostrovy</v>
          </cell>
          <cell r="Q220" t="str">
            <v>Výroba dílů a příslušenství pro motorová vozidla a jejich motory</v>
          </cell>
        </row>
        <row r="221">
          <cell r="J221" t="str">
            <v>Španělské království</v>
          </cell>
          <cell r="Q221" t="str">
            <v>Stavba lodí a člunů</v>
          </cell>
        </row>
        <row r="222">
          <cell r="J222" t="str">
            <v>Špicberky a Jan Mayen</v>
          </cell>
          <cell r="Q222" t="str">
            <v>Výroba železničních lokomotiv a vozového parku</v>
          </cell>
        </row>
        <row r="223">
          <cell r="J223" t="str">
            <v>Šrílanská demokratická socialistická republika</v>
          </cell>
          <cell r="Q223" t="str">
            <v>Výroba letadel a jejich motorů,kosmických lodí a souvisejících zařízení</v>
          </cell>
        </row>
        <row r="224">
          <cell r="J224" t="str">
            <v>Švédské království</v>
          </cell>
          <cell r="Q224" t="str">
            <v>Výroba vojenských bojových vozidel</v>
          </cell>
        </row>
        <row r="225">
          <cell r="J225" t="str">
            <v>Švýcarská konfederace</v>
          </cell>
          <cell r="Q225" t="str">
            <v>Výroba dopravních prostředků a zařízení j. n.</v>
          </cell>
        </row>
        <row r="226">
          <cell r="J226" t="str">
            <v>Republika Tádžikistán</v>
          </cell>
          <cell r="Q226" t="str">
            <v>Mořský rybolov</v>
          </cell>
        </row>
        <row r="227">
          <cell r="J227" t="str">
            <v>Tanzanská sjednocená republika</v>
          </cell>
          <cell r="Q227" t="str">
            <v>Sladkovodní rybolov</v>
          </cell>
        </row>
        <row r="228">
          <cell r="J228" t="str">
            <v>Thajské království</v>
          </cell>
          <cell r="Q228" t="str">
            <v>Výroba klenotů, bižuterie a příbuzných výrobků</v>
          </cell>
        </row>
        <row r="229">
          <cell r="J229" t="str">
            <v>Čínská republika (Tchaj-wan)</v>
          </cell>
          <cell r="Q229" t="str">
            <v>Mořská akvakultura</v>
          </cell>
        </row>
        <row r="230">
          <cell r="J230" t="str">
            <v>Tožská republika</v>
          </cell>
          <cell r="Q230" t="str">
            <v>Výroba hudebních nástrojů</v>
          </cell>
        </row>
        <row r="231">
          <cell r="J231" t="str">
            <v>Tokelau</v>
          </cell>
          <cell r="Q231" t="str">
            <v>Sladkovodní akvakultura</v>
          </cell>
        </row>
        <row r="232">
          <cell r="J232" t="str">
            <v>Království Tonga</v>
          </cell>
          <cell r="Q232" t="str">
            <v>Výroba sportovních potřeb</v>
          </cell>
        </row>
        <row r="233">
          <cell r="J233" t="str">
            <v>Republika Trinidad a Tobago</v>
          </cell>
          <cell r="Q233" t="str">
            <v>Výroba her a hraček</v>
          </cell>
        </row>
        <row r="234">
          <cell r="J234" t="str">
            <v>Tuniská republika</v>
          </cell>
          <cell r="Q234" t="str">
            <v>Výroba lékařských a dentálních nástrojů a potřeb</v>
          </cell>
        </row>
        <row r="235">
          <cell r="J235" t="str">
            <v>Turecká republika</v>
          </cell>
          <cell r="Q235" t="str">
            <v>Zpracovatelský průmysl j. n.</v>
          </cell>
        </row>
        <row r="236">
          <cell r="J236" t="str">
            <v>Turkmenistán</v>
          </cell>
          <cell r="Q236" t="str">
            <v>Opravy kovodělných výrobků, strojů a zařízení</v>
          </cell>
        </row>
        <row r="237">
          <cell r="J237" t="str">
            <v>Ostrovy Turks a Caicos</v>
          </cell>
          <cell r="Q237" t="str">
            <v>Instalace průmyslových strojů a zařízení</v>
          </cell>
        </row>
        <row r="238">
          <cell r="J238" t="str">
            <v>Tuvalu</v>
          </cell>
          <cell r="Q238" t="str">
            <v>Výroba, přenos a rozvod elektřiny</v>
          </cell>
        </row>
        <row r="239">
          <cell r="J239" t="str">
            <v>Ugandská republika</v>
          </cell>
          <cell r="Q239" t="str">
            <v>Výroba plynu; rozvod plynných paliv prostřednictvím sítí</v>
          </cell>
        </row>
        <row r="240">
          <cell r="J240" t="str">
            <v>Ukrajina</v>
          </cell>
          <cell r="Q240" t="str">
            <v>Výroba a rozvod tepla a klimatizovaného vzduchu, výroba ledu</v>
          </cell>
        </row>
        <row r="241">
          <cell r="J241" t="str">
            <v>Uruguayská východní republika</v>
          </cell>
          <cell r="Q241" t="str">
            <v>Shromažďování a sběr odpadů</v>
          </cell>
        </row>
        <row r="242">
          <cell r="J242" t="str">
            <v>Republika Uzbekistán</v>
          </cell>
          <cell r="Q242" t="str">
            <v>Odstraňování odpadů</v>
          </cell>
        </row>
        <row r="243">
          <cell r="J243" t="str">
            <v>Území Vánoční ostrov</v>
          </cell>
          <cell r="Q243" t="str">
            <v>Úprava odpadů k dalšímu využití</v>
          </cell>
        </row>
        <row r="244">
          <cell r="J244" t="str">
            <v>Republika Vanuatu</v>
          </cell>
          <cell r="Q244" t="str">
            <v>Developerská činnost</v>
          </cell>
        </row>
        <row r="245">
          <cell r="J245" t="str">
            <v>Vatikánský městský stát</v>
          </cell>
          <cell r="Q245" t="str">
            <v>Výstavba bytových a nebytových budov</v>
          </cell>
        </row>
        <row r="246">
          <cell r="J246" t="str">
            <v>Spojené království Velké Británie a Severního Irska</v>
          </cell>
          <cell r="Q246" t="str">
            <v>Výstavba silnic a železnic</v>
          </cell>
        </row>
        <row r="247">
          <cell r="J247" t="str">
            <v>Bolívarovská republika Venezuela</v>
          </cell>
          <cell r="Q247" t="str">
            <v>Výstavba inženýrských sítí</v>
          </cell>
        </row>
        <row r="248">
          <cell r="J248" t="str">
            <v>Vietnamská socialistická republika</v>
          </cell>
          <cell r="Q248" t="str">
            <v>Výstavba ostatních staveb</v>
          </cell>
        </row>
        <row r="249">
          <cell r="J249" t="str">
            <v>Demokratická republika Východní Timor</v>
          </cell>
          <cell r="Q249" t="str">
            <v>Demolice a příprava staveniště</v>
          </cell>
        </row>
        <row r="250">
          <cell r="J250" t="str">
            <v>Teritorium Wallisovy ostrovy a Futuna</v>
          </cell>
          <cell r="Q250" t="str">
            <v>Elektroinstalační, instalatérské a ostatní stavebně instalační práce</v>
          </cell>
        </row>
        <row r="251">
          <cell r="J251" t="str">
            <v>Zambijská republika</v>
          </cell>
          <cell r="Q251" t="str">
            <v>Kompletační a dokončovací práce</v>
          </cell>
        </row>
        <row r="252">
          <cell r="J252" t="str">
            <v>Saharská arabská demokratická republika</v>
          </cell>
          <cell r="Q252" t="str">
            <v>Ostatní specializované stavební činnosti</v>
          </cell>
        </row>
        <row r="253">
          <cell r="J253" t="str">
            <v>Zimbabwská republika</v>
          </cell>
          <cell r="Q253" t="str">
            <v>Obchod s motorovými vozidly, kromě motocyklů</v>
          </cell>
        </row>
        <row r="254">
          <cell r="Q254" t="str">
            <v>Opravy a údržba motorových vozidel, kromě motocyklů</v>
          </cell>
        </row>
        <row r="255">
          <cell r="Q255" t="str">
            <v>Obchod s díly a příslušenstvím pro motorová vozidla, kromě motocyklů</v>
          </cell>
        </row>
        <row r="256">
          <cell r="Q256" t="str">
            <v>Obchod, opravy a údržba motocyklů, jejich dílů a příslušenství</v>
          </cell>
        </row>
        <row r="257">
          <cell r="Q257" t="str">
            <v>Zprostředkování velkoobchodu a velkoobchod v zastoupení</v>
          </cell>
        </row>
        <row r="258">
          <cell r="Q258" t="str">
            <v>Velkoobchod se základními zemědělskými produkty a živými zvířaty</v>
          </cell>
        </row>
        <row r="259">
          <cell r="Q259" t="str">
            <v>Velkoobchod s potravinami, nápoji a tabákovými výrobky</v>
          </cell>
        </row>
        <row r="260">
          <cell r="Q260" t="str">
            <v>Velkoobchod s výrobky převážně pro domácnost</v>
          </cell>
        </row>
        <row r="261">
          <cell r="Q261" t="str">
            <v>Velkoobchod s počítačovým a komunikačním zařízením</v>
          </cell>
        </row>
        <row r="262">
          <cell r="Q262" t="str">
            <v>Velkoobchod s ostatními stroji, strojním zařízením a příslušenstvím</v>
          </cell>
        </row>
        <row r="263">
          <cell r="Q263" t="str">
            <v>Ostatní specializovaný velkoobchod</v>
          </cell>
        </row>
        <row r="264">
          <cell r="Q264" t="str">
            <v>Nespecializovaný velkoobchod</v>
          </cell>
        </row>
        <row r="265">
          <cell r="Q265" t="str">
            <v>Maloobchod v nespecializovaných prodejnách</v>
          </cell>
        </row>
        <row r="266">
          <cell r="Q266" t="str">
            <v>Maloobchod s potravinami,nápoji a tabák.výrobky ve specializ.prodejnách</v>
          </cell>
        </row>
        <row r="267">
          <cell r="Q267" t="str">
            <v>Maloobchod s pohonnými hmotami ve specializovaných prodejnách</v>
          </cell>
        </row>
        <row r="268">
          <cell r="Q268" t="str">
            <v>Maloobchod s počítačovým a komunikačním zařízením ve specializ.prodejnách</v>
          </cell>
        </row>
        <row r="269">
          <cell r="Q269" t="str">
            <v>Maloobchod s ost.výrobky převážně pro domácnost ve specializ.prodejnách</v>
          </cell>
        </row>
        <row r="270">
          <cell r="Q270" t="str">
            <v>Maloobchod s výrobky pro kulturní rozhled a rekreaci ve specializ.prod.</v>
          </cell>
        </row>
        <row r="271">
          <cell r="Q271" t="str">
            <v>Maloobchod s ostatním zbožím ve specializovaných prodejnách</v>
          </cell>
        </row>
        <row r="272">
          <cell r="Q272" t="str">
            <v>Maloobchod ve stáncích a na trzích</v>
          </cell>
        </row>
        <row r="273">
          <cell r="Q273" t="str">
            <v>Maloobchod mimo prodejny, stánky a trhy</v>
          </cell>
        </row>
        <row r="274">
          <cell r="Q274" t="str">
            <v>železniční osobní doprava meziměstská</v>
          </cell>
        </row>
        <row r="275">
          <cell r="Q275" t="str">
            <v>železniční nákladní doprava</v>
          </cell>
        </row>
        <row r="276">
          <cell r="Q276" t="str">
            <v>Ostatní pozemní osobní doprava</v>
          </cell>
        </row>
        <row r="277">
          <cell r="Q277" t="str">
            <v>Silniční nákladní doprava a stěhovací služby</v>
          </cell>
        </row>
        <row r="278">
          <cell r="Q278" t="str">
            <v>Potrubní doprava</v>
          </cell>
        </row>
        <row r="279">
          <cell r="Q279" t="str">
            <v>Námořní a pobřežní osobní doprava</v>
          </cell>
        </row>
        <row r="280">
          <cell r="Q280" t="str">
            <v>Námořní a pobřežní nákladní doprava</v>
          </cell>
        </row>
        <row r="281">
          <cell r="Q281" t="str">
            <v>Vnitrozemská vodní osobní doprava</v>
          </cell>
        </row>
        <row r="282">
          <cell r="Q282" t="str">
            <v>Vnitrozemská vodní nákladní doprava</v>
          </cell>
        </row>
        <row r="283">
          <cell r="Q283" t="str">
            <v>Letecká osobní doprava</v>
          </cell>
        </row>
        <row r="284">
          <cell r="Q284" t="str">
            <v>Letecká nákladní doprava a kosmická doprava</v>
          </cell>
        </row>
        <row r="285">
          <cell r="Q285" t="str">
            <v>Skladování</v>
          </cell>
        </row>
        <row r="286">
          <cell r="Q286" t="str">
            <v>Vedlejší činnosti v dopravě</v>
          </cell>
        </row>
        <row r="287">
          <cell r="Q287" t="str">
            <v>Základní poštovní služby poskytované na základě poštovní licence</v>
          </cell>
        </row>
        <row r="288">
          <cell r="Q288" t="str">
            <v>Ostatní poštovní a kurýrní činnosti</v>
          </cell>
        </row>
        <row r="289">
          <cell r="Q289" t="str">
            <v>Ubytování v hotelích a podobných ubytovacích zařízeních</v>
          </cell>
        </row>
        <row r="290">
          <cell r="Q290" t="str">
            <v>Rekreační a ostatní krátkodobé ubytování</v>
          </cell>
        </row>
        <row r="291">
          <cell r="Q291" t="str">
            <v>Kempy a tábořiště</v>
          </cell>
        </row>
        <row r="292">
          <cell r="Q292" t="str">
            <v>Ostatní ubytování</v>
          </cell>
        </row>
        <row r="293">
          <cell r="Q293" t="str">
            <v>Stravování v restauracích, u stánků a v mobilních zařízeních</v>
          </cell>
        </row>
        <row r="294">
          <cell r="Q294" t="str">
            <v>Poskytování cateringových a ostatních stravovacích služeb</v>
          </cell>
        </row>
        <row r="295">
          <cell r="Q295" t="str">
            <v>Pohostinství</v>
          </cell>
        </row>
        <row r="296">
          <cell r="Q296" t="str">
            <v>Vydávání knih, periodických publikací a ostatní vydavatelské činnosti</v>
          </cell>
        </row>
        <row r="297">
          <cell r="Q297" t="str">
            <v>Vydávání softwaru</v>
          </cell>
        </row>
        <row r="298">
          <cell r="Q298" t="str">
            <v>Činnosti v oblasti filmů, videozáznamů a televizních programů</v>
          </cell>
        </row>
        <row r="299">
          <cell r="Q299" t="str">
            <v>Pořizování zvukových nahrávek a hudební vydavatelské činnosti</v>
          </cell>
        </row>
        <row r="300">
          <cell r="Q300" t="str">
            <v>Rozhlasové vysílání</v>
          </cell>
        </row>
        <row r="301">
          <cell r="Q301" t="str">
            <v>Tvorba televizních programů a televizní vysílání</v>
          </cell>
        </row>
        <row r="302">
          <cell r="Q302" t="str">
            <v>Činnosti související s pevnou telekomunikační sítí</v>
          </cell>
        </row>
        <row r="303">
          <cell r="Q303" t="str">
            <v>Činnosti související s bezdrátovou telekomunikační sítí</v>
          </cell>
        </row>
        <row r="304">
          <cell r="Q304" t="str">
            <v>Činnosti související se satelitní telekomunikační sítí</v>
          </cell>
        </row>
        <row r="305">
          <cell r="Q305" t="str">
            <v>Ostatní telekomunikační činnosti</v>
          </cell>
        </row>
        <row r="306">
          <cell r="Q306" t="str">
            <v>Činnosti souvis.se zprac.dat a hostingem;činnosti souvis.s web.portály</v>
          </cell>
        </row>
        <row r="307">
          <cell r="Q307" t="str">
            <v>Ostatní informační činnosti</v>
          </cell>
        </row>
        <row r="308">
          <cell r="Q308" t="str">
            <v>Peněžní zprostředkování</v>
          </cell>
        </row>
        <row r="309">
          <cell r="Q309" t="str">
            <v>Činnosti holdingových společností</v>
          </cell>
        </row>
        <row r="310">
          <cell r="Q310" t="str">
            <v>Činnosti trustů, fondů a podobných finančních subjektů</v>
          </cell>
        </row>
        <row r="311">
          <cell r="Q311" t="str">
            <v>Ostatní finanční zprostředkování</v>
          </cell>
        </row>
        <row r="312">
          <cell r="Q312" t="str">
            <v>Pojištění</v>
          </cell>
        </row>
        <row r="313">
          <cell r="Q313" t="str">
            <v>Zajištění</v>
          </cell>
        </row>
        <row r="314">
          <cell r="Q314" t="str">
            <v>Penzijní financování</v>
          </cell>
        </row>
        <row r="315">
          <cell r="Q315" t="str">
            <v>Pomocné činnosti související s fin.zprostřed.,kromě pojišť.a penzij.fin.</v>
          </cell>
        </row>
        <row r="316">
          <cell r="Q316" t="str">
            <v>Pomocné činnosti související s pojišťovnictvím a penzijním financováním</v>
          </cell>
        </row>
        <row r="317">
          <cell r="Q317" t="str">
            <v>Správa fondů</v>
          </cell>
        </row>
        <row r="318">
          <cell r="Q318" t="str">
            <v>Nákup a následný prodej vlastních nemovitostí</v>
          </cell>
        </row>
        <row r="319">
          <cell r="Q319" t="str">
            <v>Pronájem a správa vlastních nebo pronajatých nemovitostí</v>
          </cell>
        </row>
        <row r="320">
          <cell r="Q320" t="str">
            <v>Činnosti v oblasti nemovitostí na základě smlouvy nebo dohody</v>
          </cell>
        </row>
        <row r="321">
          <cell r="Q321" t="str">
            <v>Právní činnosti</v>
          </cell>
        </row>
        <row r="322">
          <cell r="Q322" t="str">
            <v>Účetnické a auditorské činnosti; daňové poradenství</v>
          </cell>
        </row>
        <row r="323">
          <cell r="Q323" t="str">
            <v>Činnosti vedení podniků</v>
          </cell>
        </row>
        <row r="324">
          <cell r="Q324" t="str">
            <v>Poradenství v oblasti řízení</v>
          </cell>
        </row>
        <row r="325">
          <cell r="Q325" t="str">
            <v>Architektonické a inženýrské činnosti a související technické poradenství</v>
          </cell>
        </row>
        <row r="326">
          <cell r="Q326" t="str">
            <v>Technické zkoušky a analýzy</v>
          </cell>
        </row>
        <row r="327">
          <cell r="Q327" t="str">
            <v>Výzkum a vývoj v oblasti přírodních a technických věd</v>
          </cell>
        </row>
        <row r="328">
          <cell r="Q328" t="str">
            <v>Těžba a úprava uranových a thoriových rud</v>
          </cell>
        </row>
        <row r="329">
          <cell r="Q329" t="str">
            <v>Výzkum a vývoj v oblasti společenských a humanitních věd</v>
          </cell>
        </row>
        <row r="330">
          <cell r="Q330" t="str">
            <v>Těžba a úprava ostatních neželezných rud</v>
          </cell>
        </row>
        <row r="331">
          <cell r="Q331" t="str">
            <v>Reklamní činnosti</v>
          </cell>
        </row>
        <row r="332">
          <cell r="Q332" t="str">
            <v>Průzkum trhu a veřejného mínění</v>
          </cell>
        </row>
        <row r="333">
          <cell r="Q333" t="str">
            <v>Specializované návrhářské činnosti</v>
          </cell>
        </row>
        <row r="334">
          <cell r="Q334" t="str">
            <v>Fotografické činnosti</v>
          </cell>
        </row>
        <row r="335">
          <cell r="Q335" t="str">
            <v>Překladatelské a tlumočnické činnosti</v>
          </cell>
        </row>
        <row r="336">
          <cell r="Q336" t="str">
            <v>Ostatní profesní, vědecké a technické činnosti j. n.</v>
          </cell>
        </row>
        <row r="337">
          <cell r="Q337" t="str">
            <v>Pronájem a leasing motorových vozidel, kromě motocyklů</v>
          </cell>
        </row>
        <row r="338">
          <cell r="Q338" t="str">
            <v>Pronájem a leasing výrobků pro osobní potřebu a převážně pro domácnost</v>
          </cell>
        </row>
        <row r="339">
          <cell r="Q339" t="str">
            <v>Pronájem a leasing ostatních strojů, zařízení a výrobků</v>
          </cell>
        </row>
        <row r="340">
          <cell r="Q340" t="str">
            <v>Leasing duševního vlast.a podobných produktů,kromě děl chrán.autor.právem</v>
          </cell>
        </row>
        <row r="341">
          <cell r="Q341" t="str">
            <v>Činnosti agentur zprostředkujících zaměstnání</v>
          </cell>
        </row>
        <row r="342">
          <cell r="Q342" t="str">
            <v>Činnosti agentur zprostředkujících práci na přechodnou dobu</v>
          </cell>
        </row>
        <row r="343">
          <cell r="Q343" t="str">
            <v>Ostatní poskytování lidských zdrojů</v>
          </cell>
        </row>
        <row r="344">
          <cell r="Q344" t="str">
            <v>Činnosti cestovních agentur a cestovních kanceláří</v>
          </cell>
        </row>
        <row r="345">
          <cell r="Q345" t="str">
            <v>Ostatní rezervační a související činnosti</v>
          </cell>
        </row>
        <row r="346">
          <cell r="Q346" t="str">
            <v>Činnosti soukromých bezpečnostních agentur</v>
          </cell>
        </row>
        <row r="347">
          <cell r="Q347" t="str">
            <v>Činnosti související s provozem bezpečnostních systémů</v>
          </cell>
        </row>
        <row r="348">
          <cell r="Q348" t="str">
            <v>Pátrací činnosti</v>
          </cell>
        </row>
        <row r="349">
          <cell r="Q349" t="str">
            <v>Kombinované pomocné činnosti</v>
          </cell>
        </row>
        <row r="350">
          <cell r="Q350" t="str">
            <v>Dobývání kamene pro výtv.nebo stav.účely,vápence,sádrovce,křídy,břidl.</v>
          </cell>
        </row>
        <row r="351">
          <cell r="Q351" t="str">
            <v>Úklidové činnosti</v>
          </cell>
        </row>
        <row r="352">
          <cell r="Q352" t="str">
            <v>Provoz pískoven a štěrkopískoven; těžba jílů a kaolinu</v>
          </cell>
        </row>
        <row r="353">
          <cell r="Q353" t="str">
            <v>Činnosti související s úpravou krajiny</v>
          </cell>
        </row>
        <row r="354">
          <cell r="Q354" t="str">
            <v>Administrativní a kancelářské činnosti</v>
          </cell>
        </row>
        <row r="355">
          <cell r="Q355" t="str">
            <v>Činnosti zprostředkovatelských středisek po telefonu</v>
          </cell>
        </row>
        <row r="356">
          <cell r="Q356" t="str">
            <v>Pořádání konferencí a hospodářských výstav</v>
          </cell>
        </row>
        <row r="357">
          <cell r="Q357" t="str">
            <v>Podpůrné činnosti pro podnikání j. n.</v>
          </cell>
        </row>
        <row r="358">
          <cell r="Q358" t="str">
            <v>Veřejná správa a hospodářská a sociální politika</v>
          </cell>
        </row>
        <row r="359">
          <cell r="Q359" t="str">
            <v>Činnosti pro společnost jako celek</v>
          </cell>
        </row>
        <row r="360">
          <cell r="Q360" t="str">
            <v>Činnosti v oblasti povinného sociálního zabezpečení</v>
          </cell>
        </row>
        <row r="361">
          <cell r="Q361" t="str">
            <v>Předškolní vzdělávání</v>
          </cell>
        </row>
        <row r="362">
          <cell r="Q362" t="str">
            <v>Primární vzdělávání</v>
          </cell>
        </row>
        <row r="363">
          <cell r="Q363" t="str">
            <v>Sekundární vzdělávání</v>
          </cell>
        </row>
        <row r="364">
          <cell r="Q364" t="str">
            <v>Postsekundární vzdělávání</v>
          </cell>
        </row>
        <row r="365">
          <cell r="Q365" t="str">
            <v>Ostatní vzdělávání</v>
          </cell>
        </row>
        <row r="366">
          <cell r="Q366" t="str">
            <v>Podpůrné činnosti ve vzdělávání</v>
          </cell>
        </row>
        <row r="367">
          <cell r="Q367" t="str">
            <v>Ústavní zdravotní péče</v>
          </cell>
        </row>
        <row r="368">
          <cell r="Q368" t="str">
            <v>Ambulantní a zubní zdravotní péče</v>
          </cell>
        </row>
        <row r="369">
          <cell r="Q369" t="str">
            <v>Ostatní činnosti související se zdravotní péčí</v>
          </cell>
        </row>
        <row r="370">
          <cell r="Q370" t="str">
            <v>Ústavní sociální péče</v>
          </cell>
        </row>
        <row r="371">
          <cell r="Q371" t="str">
            <v>Sociální péče ve zdravotnických zařízeních ústavní péče</v>
          </cell>
        </row>
        <row r="372">
          <cell r="Q372" t="str">
            <v>Soc.péče v zaříz.pro osoby s chron.duš.onemoc.a osoby závislé na návyk.l.</v>
          </cell>
        </row>
        <row r="373">
          <cell r="Q373" t="str">
            <v>Sociální péče v domovech pro seniory a osoby se zdravotním postižením</v>
          </cell>
        </row>
        <row r="374">
          <cell r="Q374" t="str">
            <v>Ostatní pobytové služby sociální péče</v>
          </cell>
        </row>
        <row r="375">
          <cell r="Q375" t="str">
            <v>Ambulantní nebo terénní soc.služby pro seniory a osoby se zdrav.postižením</v>
          </cell>
        </row>
        <row r="376">
          <cell r="Q376" t="str">
            <v>Ostatní ambulantní nebo terénní sociální služby</v>
          </cell>
        </row>
        <row r="377">
          <cell r="Q377" t="str">
            <v>Těžba chemických minerálů a minerálů pro výrobu hnojiv</v>
          </cell>
        </row>
        <row r="378">
          <cell r="Q378" t="str">
            <v>Těžba rašeliny</v>
          </cell>
        </row>
        <row r="379">
          <cell r="Q379" t="str">
            <v>Těžba soli</v>
          </cell>
        </row>
        <row r="380">
          <cell r="Q380" t="str">
            <v>Ostatní těžba a dobývání j. n.</v>
          </cell>
        </row>
        <row r="381">
          <cell r="Q381" t="str">
            <v>Sportovní činnosti</v>
          </cell>
        </row>
        <row r="382">
          <cell r="Q382" t="str">
            <v>Ostatní zábavní a rekreační činnosti</v>
          </cell>
        </row>
        <row r="383">
          <cell r="Q383" t="str">
            <v>Činnosti podnikatelských, zaměstnavatelských a profesních organizací</v>
          </cell>
        </row>
        <row r="384">
          <cell r="Q384" t="str">
            <v>Činnosti odborových svazů</v>
          </cell>
        </row>
        <row r="385">
          <cell r="Q385" t="str">
            <v>Činnosti ost.org.sdružujících osoby za účelem prosazování společných zájmů</v>
          </cell>
        </row>
        <row r="386">
          <cell r="Q386" t="str">
            <v>Opravy počítačů a komunikačních zařízení</v>
          </cell>
        </row>
        <row r="387">
          <cell r="Q387" t="str">
            <v>Opravy výrobků pro osobní potřebu a převážně pro domácnost</v>
          </cell>
        </row>
        <row r="388">
          <cell r="Q388" t="str">
            <v>Činnosti domác.produk.blíže neurčené výrobky pro vlastní potřebu</v>
          </cell>
        </row>
        <row r="389">
          <cell r="Q389" t="str">
            <v>Činnosti domácností poskyt.blíže neurčené služby pro vlastní potřebu</v>
          </cell>
        </row>
        <row r="390">
          <cell r="Q390" t="str">
            <v>Zpracování a konzervování masa, kromě drůbežího</v>
          </cell>
        </row>
        <row r="391">
          <cell r="Q391" t="str">
            <v>Zpracování a konzervování drůbežího masa</v>
          </cell>
        </row>
        <row r="392">
          <cell r="Q392" t="str">
            <v>Výroba masných výrobků a výrobků z drůbežího masa</v>
          </cell>
        </row>
        <row r="393">
          <cell r="Q393" t="str">
            <v>Zpracování a konzervování brambor</v>
          </cell>
        </row>
        <row r="394">
          <cell r="Q394" t="str">
            <v>Výroba ovocných a zeleninových šťáv</v>
          </cell>
        </row>
        <row r="395">
          <cell r="Q395" t="str">
            <v>Ostatní zpracování a konzervování ovoce a zeleniny</v>
          </cell>
        </row>
        <row r="396">
          <cell r="Q396" t="str">
            <v>Výroba olejů a tuků</v>
          </cell>
        </row>
        <row r="397">
          <cell r="Q397" t="str">
            <v>Výroba margarínu a podobných jedlých tuků</v>
          </cell>
        </row>
        <row r="398">
          <cell r="Q398" t="str">
            <v>Zpracování mléka, výroba mléčných výrobků a sýrů</v>
          </cell>
        </row>
        <row r="399">
          <cell r="Q399" t="str">
            <v>Výroba zmrzliny</v>
          </cell>
        </row>
        <row r="400">
          <cell r="Q400" t="str">
            <v>Výroba mlýnských výrobků</v>
          </cell>
        </row>
        <row r="401">
          <cell r="Q401" t="str">
            <v>Výroba škrobárenských výrobků</v>
          </cell>
        </row>
        <row r="402">
          <cell r="Q402" t="str">
            <v>Výroba pekařských a cukrářských výrobků, kromě trvanlivých</v>
          </cell>
        </row>
        <row r="403">
          <cell r="Q403" t="str">
            <v>Výroba sucharů a sušenek; výroba trvanlivých cukrářských výrobků</v>
          </cell>
        </row>
        <row r="404">
          <cell r="Q404" t="str">
            <v>Výroba makaronů, nudlí, kuskusu a podobných moučných výrobků</v>
          </cell>
        </row>
        <row r="405">
          <cell r="Q405" t="str">
            <v>Výroba cukru</v>
          </cell>
        </row>
        <row r="406">
          <cell r="Q406" t="str">
            <v>Výroba kakaa, čokolády a cukrovinek</v>
          </cell>
        </row>
        <row r="407">
          <cell r="Q407" t="str">
            <v>Zpracování čaje a kávy</v>
          </cell>
        </row>
        <row r="408">
          <cell r="Q408" t="str">
            <v>Výroba koření a aromatických výtažků</v>
          </cell>
        </row>
        <row r="409">
          <cell r="Q409" t="str">
            <v>Výroba hotových pokrmů</v>
          </cell>
        </row>
        <row r="410">
          <cell r="Q410" t="str">
            <v>Výroba homogenizovaných potravinářských přípravků a dietních potravin</v>
          </cell>
        </row>
        <row r="411">
          <cell r="Q411" t="str">
            <v>Výroba ostatních potravinářských výrobků j. n.</v>
          </cell>
        </row>
        <row r="412">
          <cell r="Q412" t="str">
            <v>Výroba průmyslových krmiv pro hospodářská zvířata</v>
          </cell>
        </row>
        <row r="413">
          <cell r="Q413" t="str">
            <v>Výroba průmyslových krmiv pro zvířata v zájmovém chovu</v>
          </cell>
        </row>
        <row r="414">
          <cell r="Q414" t="str">
            <v>Destilace, rektifikace a míchání lihovin</v>
          </cell>
        </row>
        <row r="415">
          <cell r="Q415" t="str">
            <v>Výroba vína z vinných hroznů</v>
          </cell>
        </row>
        <row r="416">
          <cell r="Q416" t="str">
            <v>Výroba jablečného vína a jiných ovocných vín</v>
          </cell>
        </row>
        <row r="417">
          <cell r="Q417" t="str">
            <v>Výroba ostatních nedestilovaných kvašených nápojů</v>
          </cell>
        </row>
        <row r="418">
          <cell r="Q418" t="str">
            <v>Výroba piva</v>
          </cell>
        </row>
        <row r="419">
          <cell r="Q419" t="str">
            <v>Výroba sladu</v>
          </cell>
        </row>
        <row r="420">
          <cell r="Q420" t="str">
            <v>Výroba nealkohol.nápojů;stáčení minerálních a ostatních vod do lahví</v>
          </cell>
        </row>
        <row r="421">
          <cell r="Q421" t="str">
            <v>Výroba pletených a háčkovaných materiálů</v>
          </cell>
        </row>
        <row r="422">
          <cell r="Q422" t="str">
            <v>Výroba konfekčních textilních výrobků, kromě oděvů</v>
          </cell>
        </row>
        <row r="423">
          <cell r="Q423" t="str">
            <v>Výroba koberců a kobercových předložek</v>
          </cell>
        </row>
        <row r="424">
          <cell r="Q424" t="str">
            <v>Výroba lan, provazů a síťovaných výrobků</v>
          </cell>
        </row>
        <row r="425">
          <cell r="Q425" t="str">
            <v>Výroba netkaných textilií a výrobků z nich, kromě oděvů</v>
          </cell>
        </row>
        <row r="426">
          <cell r="Q426" t="str">
            <v>Výroba ostatních technických a průmyslových textilií</v>
          </cell>
        </row>
        <row r="427">
          <cell r="Q427" t="str">
            <v>Výroba ostatních textilií j. n.</v>
          </cell>
        </row>
        <row r="428">
          <cell r="Q428" t="str">
            <v>Výroba kožených oděvů</v>
          </cell>
        </row>
        <row r="429">
          <cell r="Q429" t="str">
            <v>Výroba pracovních oděvů</v>
          </cell>
        </row>
        <row r="430">
          <cell r="Q430" t="str">
            <v>Výroba ostatních svrchních oděvů</v>
          </cell>
        </row>
        <row r="431">
          <cell r="Q431" t="str">
            <v>Výroba osobního prádla</v>
          </cell>
        </row>
        <row r="432">
          <cell r="Q432" t="str">
            <v>Výroba ostatních oděvů a oděvních doplňků</v>
          </cell>
        </row>
        <row r="433">
          <cell r="Q433" t="str">
            <v>Výroba pletených a háčkovaných punčochových výrobků</v>
          </cell>
        </row>
        <row r="434">
          <cell r="Q434" t="str">
            <v>Výroba ostatních pletených a háčkovaných oděvů</v>
          </cell>
        </row>
        <row r="435">
          <cell r="Q435" t="str">
            <v>Chov drobných hospodářských zvířat</v>
          </cell>
        </row>
        <row r="436">
          <cell r="Q436" t="str">
            <v>Chov kožešinových zvířat</v>
          </cell>
        </row>
        <row r="437">
          <cell r="Q437" t="str">
            <v>Chov zvířat pro zájmový chov</v>
          </cell>
        </row>
        <row r="438">
          <cell r="Q438" t="str">
            <v>Chov ostatních zvířat j. n.</v>
          </cell>
        </row>
        <row r="439">
          <cell r="Q439" t="str">
            <v>Činění a úprava usní (vyčiněných kůží); zpracování a barvení kožešin</v>
          </cell>
        </row>
        <row r="440">
          <cell r="Q440" t="str">
            <v>Výroba brašnářských, sedlářských a podobných výrobků</v>
          </cell>
        </row>
        <row r="441">
          <cell r="Q441" t="str">
            <v>Výroba dýh a desek na bázi dřeva</v>
          </cell>
        </row>
        <row r="442">
          <cell r="Q442" t="str">
            <v>Výroba sestavených parketových podlah</v>
          </cell>
        </row>
        <row r="443">
          <cell r="Q443" t="str">
            <v>Výroba ostatních výrobků stavebního truhlářství a tesařství</v>
          </cell>
        </row>
        <row r="444">
          <cell r="Q444" t="str">
            <v>Výroba dřevěných obalů</v>
          </cell>
        </row>
        <row r="445">
          <cell r="Q445" t="str">
            <v>Výroba ost.dřevěných,korkových,proutěných a slaměných výr.,kromě nábytku</v>
          </cell>
        </row>
        <row r="446">
          <cell r="Q446" t="str">
            <v>Výroba buničiny</v>
          </cell>
        </row>
        <row r="447">
          <cell r="Q447" t="str">
            <v>Výroba papíru a lepenky</v>
          </cell>
        </row>
        <row r="448">
          <cell r="Q448" t="str">
            <v>Výroba vlnitého papíru a lepenky, papírových a lepenkových obalů</v>
          </cell>
        </row>
        <row r="449">
          <cell r="Q449" t="str">
            <v>Výroba domácích potřeb, hygienických a toaletních výrobků z papíru</v>
          </cell>
        </row>
        <row r="450">
          <cell r="Q450" t="str">
            <v>Výroba kancelářských potřeb z papíru</v>
          </cell>
        </row>
        <row r="451">
          <cell r="Q451" t="str">
            <v>Výroba tapet</v>
          </cell>
        </row>
        <row r="452">
          <cell r="Q452" t="str">
            <v>Výroba ostatních výrobků z papíru a lepenky</v>
          </cell>
        </row>
        <row r="453">
          <cell r="Q453" t="str">
            <v>Tisk novin</v>
          </cell>
        </row>
        <row r="454">
          <cell r="Q454" t="str">
            <v>Tisk ostatní, kromě novin</v>
          </cell>
        </row>
        <row r="455">
          <cell r="Q455" t="str">
            <v>Příprava tisku a digitálních dat</v>
          </cell>
        </row>
        <row r="456">
          <cell r="Q456" t="str">
            <v>Vázání a související činnosti</v>
          </cell>
        </row>
        <row r="457">
          <cell r="Q457" t="str">
            <v>Výroba technických plynů</v>
          </cell>
        </row>
        <row r="458">
          <cell r="Q458" t="str">
            <v>Výroba barviv a pigmentů</v>
          </cell>
        </row>
        <row r="459">
          <cell r="Q459" t="str">
            <v>Výroba jiných základních anorganických chemických látek</v>
          </cell>
        </row>
        <row r="460">
          <cell r="Q460" t="str">
            <v>Výroba jiných základních organických chemických látek</v>
          </cell>
        </row>
        <row r="461">
          <cell r="Q461" t="str">
            <v>Výroba hnojiv a dusíkatých sloučenin</v>
          </cell>
        </row>
        <row r="462">
          <cell r="Q462" t="str">
            <v>Výroba plastů v primárních formách</v>
          </cell>
        </row>
        <row r="463">
          <cell r="Q463" t="str">
            <v>Výroba syntetického kaučuku v primárních formách</v>
          </cell>
        </row>
        <row r="464">
          <cell r="Q464" t="str">
            <v>Výroba mýdel a detergentů, čisticích a lešticích prostředků</v>
          </cell>
        </row>
        <row r="465">
          <cell r="Q465" t="str">
            <v>Výroba parfémů a toaletních přípravků</v>
          </cell>
        </row>
        <row r="466">
          <cell r="Q466" t="str">
            <v>Výroba výbušnin</v>
          </cell>
        </row>
        <row r="467">
          <cell r="Q467" t="str">
            <v>Výroba klihů</v>
          </cell>
        </row>
        <row r="468">
          <cell r="Q468" t="str">
            <v>Výroba vonných silic</v>
          </cell>
        </row>
        <row r="469">
          <cell r="Q469" t="str">
            <v>Výroba ostatních chemických výrobků j. n.</v>
          </cell>
        </row>
        <row r="470">
          <cell r="Q470" t="str">
            <v>Výroba pryžových plášťů a duší; protektorování pneumatik</v>
          </cell>
        </row>
        <row r="471">
          <cell r="Q471" t="str">
            <v>Výroba ostatních pryžových výrobků</v>
          </cell>
        </row>
        <row r="472">
          <cell r="Q472" t="str">
            <v>Výroba plastových desek, fólií, hadic, trubek a profilů</v>
          </cell>
        </row>
        <row r="473">
          <cell r="Q473" t="str">
            <v>Výroba plastových obalů</v>
          </cell>
        </row>
        <row r="474">
          <cell r="Q474" t="str">
            <v>Výroba plastových výrobků pro stavebnictví</v>
          </cell>
        </row>
        <row r="475">
          <cell r="Q475" t="str">
            <v>Výroba ostatních plastových výrobků</v>
          </cell>
        </row>
        <row r="476">
          <cell r="Q476" t="str">
            <v>Výroba plochého skla</v>
          </cell>
        </row>
        <row r="477">
          <cell r="Q477" t="str">
            <v>Tvarování a zpracování plochého skla</v>
          </cell>
        </row>
        <row r="478">
          <cell r="Q478" t="str">
            <v>Výroba dutého skla</v>
          </cell>
        </row>
        <row r="479">
          <cell r="Q479" t="str">
            <v>Výroba skleněných vláken</v>
          </cell>
        </row>
        <row r="480">
          <cell r="Q480" t="str">
            <v>Výroba a zpracování ostatního skla vč. technického</v>
          </cell>
        </row>
        <row r="481">
          <cell r="Q481" t="str">
            <v>Výroba keramických obkládaček a dlaždic</v>
          </cell>
        </row>
        <row r="482">
          <cell r="Q482" t="str">
            <v>Výroba pálených zdicích materiálů, tašek, dlaždic a podobných výrobků</v>
          </cell>
        </row>
        <row r="483">
          <cell r="Q483" t="str">
            <v>Výroba keram.a porcelán.výrobků převážně pro domácnost a ozdob.předmětů</v>
          </cell>
        </row>
        <row r="484">
          <cell r="Q484" t="str">
            <v>Výroba keramických sanitárních výrobků</v>
          </cell>
        </row>
        <row r="485">
          <cell r="Q485" t="str">
            <v>Výroba keramických izolátorů a izolačního příslušenství</v>
          </cell>
        </row>
        <row r="486">
          <cell r="Q486" t="str">
            <v>Výroba ostatních technických keramických výrobků</v>
          </cell>
        </row>
        <row r="487">
          <cell r="Q487" t="str">
            <v>Výroba ostatních keramických výrobků</v>
          </cell>
        </row>
        <row r="488">
          <cell r="Q488" t="str">
            <v>Výroba cementu</v>
          </cell>
        </row>
        <row r="489">
          <cell r="Q489" t="str">
            <v>Výroba vápna a sádry</v>
          </cell>
        </row>
        <row r="490">
          <cell r="Q490" t="str">
            <v>Výroba betonových výrobků pro stavební účely</v>
          </cell>
        </row>
        <row r="491">
          <cell r="Q491" t="str">
            <v>Výroba sádrových výrobků pro stavební účely</v>
          </cell>
        </row>
        <row r="492">
          <cell r="Q492" t="str">
            <v>Výroba betonu připraveného k lití</v>
          </cell>
        </row>
        <row r="493">
          <cell r="Q493" t="str">
            <v>Výroba malt</v>
          </cell>
        </row>
        <row r="494">
          <cell r="Q494" t="str">
            <v>Výroba vláknitých cementů</v>
          </cell>
        </row>
        <row r="495">
          <cell r="Q495" t="str">
            <v>Výroba ostatních betonových, cementových a sádrových výrobků</v>
          </cell>
        </row>
        <row r="496">
          <cell r="Q496" t="str">
            <v>Výroba brusiv</v>
          </cell>
        </row>
        <row r="497">
          <cell r="Q497" t="str">
            <v>Výroba ostatních nekovových minerálních výrobků j.n.</v>
          </cell>
        </row>
        <row r="498">
          <cell r="Q498" t="str">
            <v>Tažení tyčí za studena</v>
          </cell>
        </row>
        <row r="499">
          <cell r="Q499" t="str">
            <v>Válcování ocelových úzkých pásů za studena</v>
          </cell>
        </row>
        <row r="500">
          <cell r="Q500" t="str">
            <v>Tváření ocelových profilů za studena</v>
          </cell>
        </row>
        <row r="501">
          <cell r="Q501" t="str">
            <v>Tažení ocelového drátu za studena</v>
          </cell>
        </row>
        <row r="502">
          <cell r="Q502" t="str">
            <v>Výroba a hutní zpracování drahých kovů</v>
          </cell>
        </row>
        <row r="503">
          <cell r="Q503" t="str">
            <v>Výroba a hutní zpracování hliníku</v>
          </cell>
        </row>
        <row r="504">
          <cell r="Q504" t="str">
            <v>Výroba a hutní zpracování olova, zinku a cínu</v>
          </cell>
        </row>
        <row r="505">
          <cell r="Q505" t="str">
            <v>Výroba a hutní zpracování mědi</v>
          </cell>
        </row>
        <row r="506">
          <cell r="Q506" t="str">
            <v>Výroba a hutní zpracování ostatních neželezných kovů</v>
          </cell>
        </row>
        <row r="507">
          <cell r="Q507" t="str">
            <v>Zpracování jaderného paliva</v>
          </cell>
        </row>
        <row r="508">
          <cell r="Q508" t="str">
            <v>Výroba odlitků z litiny</v>
          </cell>
        </row>
        <row r="509">
          <cell r="Q509" t="str">
            <v>Výroba odlitků z oceli</v>
          </cell>
        </row>
        <row r="510">
          <cell r="Q510" t="str">
            <v>Výroba odlitků z lehkých neželezných kovů</v>
          </cell>
        </row>
        <row r="511">
          <cell r="Q511" t="str">
            <v>Výroba odlitků z ostatních neželezných kovů</v>
          </cell>
        </row>
        <row r="512">
          <cell r="Q512" t="str">
            <v>Výroba kovových konstrukcí a jejich dílů</v>
          </cell>
        </row>
        <row r="513">
          <cell r="Q513" t="str">
            <v>Výroba kovových dveří a oken</v>
          </cell>
        </row>
        <row r="514">
          <cell r="Q514" t="str">
            <v>Výroba radiátorů a kotlů k ústřednímu topení</v>
          </cell>
        </row>
        <row r="515">
          <cell r="Q515" t="str">
            <v>Výroba kovových nádrží a zásobníků</v>
          </cell>
        </row>
        <row r="516">
          <cell r="Q516" t="str">
            <v>Povrchová úprava a zušlechťování kovů</v>
          </cell>
        </row>
        <row r="517">
          <cell r="Q517" t="str">
            <v>Obrábění</v>
          </cell>
        </row>
        <row r="518">
          <cell r="Q518" t="str">
            <v>Výroba nožířských výrobků</v>
          </cell>
        </row>
        <row r="519">
          <cell r="Q519" t="str">
            <v>Výroba zámků a kování</v>
          </cell>
        </row>
        <row r="520">
          <cell r="Q520" t="str">
            <v>Výroba nástrojů a nářadí</v>
          </cell>
        </row>
        <row r="521">
          <cell r="Q521" t="str">
            <v>Výroba ocelových sudů a podobných nádob</v>
          </cell>
        </row>
        <row r="522">
          <cell r="Q522" t="str">
            <v>Výroba drobných kovových obalů</v>
          </cell>
        </row>
        <row r="523">
          <cell r="Q523" t="str">
            <v>Výroba drátěných výrobků, řetězů a pružin</v>
          </cell>
        </row>
        <row r="524">
          <cell r="Q524" t="str">
            <v>Výroba spojovacích materiálů a spojovacích výrobků se závity</v>
          </cell>
        </row>
        <row r="525">
          <cell r="Q525" t="str">
            <v>Výroba ostatních kovodělných výrobků j. n.</v>
          </cell>
        </row>
        <row r="526">
          <cell r="Q526" t="str">
            <v>Výroba elektronických součástek</v>
          </cell>
        </row>
        <row r="527">
          <cell r="Q527" t="str">
            <v>Výroba osazených elektronických desek</v>
          </cell>
        </row>
        <row r="528">
          <cell r="Q528" t="str">
            <v>Výroba měřicích, zkušebních a navigačních přístrojů</v>
          </cell>
        </row>
        <row r="529">
          <cell r="Q529" t="str">
            <v>Výroba časoměrných přístrojů</v>
          </cell>
        </row>
        <row r="530">
          <cell r="Q530" t="str">
            <v>Výroba elektrických motorů, generátorů a transformátorů</v>
          </cell>
        </row>
        <row r="531">
          <cell r="Q531" t="str">
            <v>Výroba elektrických rozvodných a kontrolních zařízení</v>
          </cell>
        </row>
        <row r="532">
          <cell r="Q532" t="str">
            <v>Výroba optických kabelů</v>
          </cell>
        </row>
        <row r="533">
          <cell r="Q533" t="str">
            <v>Výroba elektrických vodičů a kabelů j. n.</v>
          </cell>
        </row>
        <row r="534">
          <cell r="Q534" t="str">
            <v>Výroba elektroinstalačních zařízení</v>
          </cell>
        </row>
        <row r="535">
          <cell r="Q535" t="str">
            <v>Výroba elektrických spotřebičů převážně pro domácnost</v>
          </cell>
        </row>
        <row r="536">
          <cell r="Q536" t="str">
            <v>Výroba neelektrických spotřebičů převážně pro domácnost</v>
          </cell>
        </row>
        <row r="537">
          <cell r="Q537" t="str">
            <v>Výroba motorů a turbín, kromě motorů pro letadla, automobily a motocykly</v>
          </cell>
        </row>
        <row r="538">
          <cell r="Q538" t="str">
            <v>Výroba hydraulických a pneumatických zařízení</v>
          </cell>
        </row>
        <row r="539">
          <cell r="Q539" t="str">
            <v>Výroba ostatních čerpadel a kompresorů</v>
          </cell>
        </row>
        <row r="540">
          <cell r="Q540" t="str">
            <v>Výroba ostatních potrubních armatur</v>
          </cell>
        </row>
        <row r="541">
          <cell r="Q541" t="str">
            <v>Výroba ložisek, ozubených kol, převodů a hnacích prvků</v>
          </cell>
        </row>
        <row r="542">
          <cell r="Q542" t="str">
            <v>Výroba pecí a hořáků pro topeniště</v>
          </cell>
        </row>
        <row r="543">
          <cell r="Q543" t="str">
            <v>Výroba zdvihacích a manipulačních zařízení</v>
          </cell>
        </row>
        <row r="544">
          <cell r="Q544" t="str">
            <v>Výroba kancelářských strojů a zařízení,kromě počítačů a perif.zařízení</v>
          </cell>
        </row>
        <row r="545">
          <cell r="Q545" t="str">
            <v>Výroba ručních mechanizovaných nástrojů</v>
          </cell>
        </row>
        <row r="546">
          <cell r="Q546" t="str">
            <v>Výroba průmyslových chladicích a klimatizačních zařízení</v>
          </cell>
        </row>
        <row r="547">
          <cell r="Q547" t="str">
            <v>Výroba ostatních strojů a zařízení pro všeobecné účely j. n.</v>
          </cell>
        </row>
        <row r="548">
          <cell r="Q548" t="str">
            <v>Výroba kovoobráběcích strojů</v>
          </cell>
        </row>
        <row r="549">
          <cell r="Q549" t="str">
            <v>Výroba ostatních obráběcích strojů</v>
          </cell>
        </row>
        <row r="550">
          <cell r="Q550" t="str">
            <v>Výroba strojů pro metalurgii</v>
          </cell>
        </row>
        <row r="551">
          <cell r="Q551" t="str">
            <v>Výroba strojů pro těžbu, dobývání a stavebnictví</v>
          </cell>
        </row>
        <row r="552">
          <cell r="Q552" t="str">
            <v>Výroba strojů na výrobu potravin, nápojů a zpracování tabáku</v>
          </cell>
        </row>
        <row r="553">
          <cell r="Q553" t="str">
            <v>Výroba strojů na výrobu textilu, oděvních výrobků a výrobků z usní</v>
          </cell>
        </row>
        <row r="554">
          <cell r="Q554" t="str">
            <v>Výroba strojů a přístrojů na výrobu papíru a lepenky</v>
          </cell>
        </row>
        <row r="555">
          <cell r="Q555" t="str">
            <v>Výroba strojů na výrobu plastů a pryže</v>
          </cell>
        </row>
        <row r="556">
          <cell r="Q556" t="str">
            <v>Výroba ostatních strojů pro speciální účely j. n.</v>
          </cell>
        </row>
        <row r="557">
          <cell r="Q557" t="str">
            <v>Výroba elektrického a elektronického zařízení pro motorová vozidla</v>
          </cell>
        </row>
        <row r="558">
          <cell r="Q558" t="str">
            <v>Výroba ostatních dílů a příslušenství pro motorová vozidla</v>
          </cell>
        </row>
        <row r="559">
          <cell r="Q559" t="str">
            <v>Stavba lodí a plavidel</v>
          </cell>
        </row>
        <row r="560">
          <cell r="Q560" t="str">
            <v>Stavba rekreačních a sportovních člunů</v>
          </cell>
        </row>
        <row r="561">
          <cell r="Q561" t="str">
            <v>Výroba motocyklů</v>
          </cell>
        </row>
        <row r="562">
          <cell r="Q562" t="str">
            <v>Výroba jízdních kol a vozíků pro invalidy</v>
          </cell>
        </row>
        <row r="563">
          <cell r="Q563" t="str">
            <v>Výroba ostatních dopravních prostředků a zařízení j. n.</v>
          </cell>
        </row>
        <row r="564">
          <cell r="Q564" t="str">
            <v>Výroba kancelářského nábytku a zařízení obchodů</v>
          </cell>
        </row>
        <row r="565">
          <cell r="Q565" t="str">
            <v>Výroba kuchyňského nábytku</v>
          </cell>
        </row>
        <row r="566">
          <cell r="Q566" t="str">
            <v>Výroba matrací</v>
          </cell>
        </row>
        <row r="567">
          <cell r="Q567" t="str">
            <v>Výroba ostatního nábytku</v>
          </cell>
        </row>
        <row r="568">
          <cell r="Q568" t="str">
            <v>Ražení mincí</v>
          </cell>
        </row>
        <row r="569">
          <cell r="Q569" t="str">
            <v>Výroba klenotů a příbuzných výrobků</v>
          </cell>
        </row>
        <row r="570">
          <cell r="Q570" t="str">
            <v>Výroba bižuterie a příbuzných výrobků</v>
          </cell>
        </row>
        <row r="571">
          <cell r="Q571" t="str">
            <v>Výroba košťat a kartáčnických výrobků</v>
          </cell>
        </row>
        <row r="572">
          <cell r="Q572" t="str">
            <v>Ostatní zpracovatelský průmysl j. n.</v>
          </cell>
        </row>
        <row r="573">
          <cell r="Q573" t="str">
            <v>Opravy kovodělných výrobků</v>
          </cell>
        </row>
        <row r="574">
          <cell r="Q574" t="str">
            <v>Opravy strojů</v>
          </cell>
        </row>
        <row r="575">
          <cell r="Q575" t="str">
            <v>Opravy elektronických a optických přístrojů a zařízení</v>
          </cell>
        </row>
        <row r="576">
          <cell r="Q576" t="str">
            <v>Opravy elektrických zařízen</v>
          </cell>
        </row>
        <row r="577">
          <cell r="Q577" t="str">
            <v>Opravy a údržba lodí a člunů</v>
          </cell>
        </row>
        <row r="578">
          <cell r="Q578" t="str">
            <v>Opravy a údržba letadel a kosmických lodí</v>
          </cell>
        </row>
        <row r="579">
          <cell r="Q579" t="str">
            <v>Opravy a údržba ostatních dopravních prostředků a zařízení j. n.</v>
          </cell>
        </row>
        <row r="580">
          <cell r="Q580" t="str">
            <v>Opravy ostatních zařízení</v>
          </cell>
        </row>
        <row r="581">
          <cell r="Q581" t="str">
            <v>Výroba elektřiny</v>
          </cell>
        </row>
        <row r="582">
          <cell r="Q582" t="str">
            <v>Přenos elektřiny</v>
          </cell>
        </row>
        <row r="583">
          <cell r="Q583" t="str">
            <v>Rozvod elektřiny</v>
          </cell>
        </row>
        <row r="584">
          <cell r="Q584" t="str">
            <v>Obchod s elektřinou</v>
          </cell>
        </row>
        <row r="585">
          <cell r="Q585" t="str">
            <v>Výroba plynu</v>
          </cell>
        </row>
        <row r="586">
          <cell r="Q586" t="str">
            <v>Rozvod plynných paliv prostřednictvím sítí</v>
          </cell>
        </row>
        <row r="587">
          <cell r="Q587" t="str">
            <v>Obchod s plynem prostřednictvím sítí</v>
          </cell>
        </row>
        <row r="588">
          <cell r="Q588" t="str">
            <v>Shromažďování a sběr odpadů, kromě nebezpečných</v>
          </cell>
        </row>
        <row r="589">
          <cell r="Q589" t="str">
            <v>Shromažďování a sběr nebezpečných odpadů</v>
          </cell>
        </row>
        <row r="590">
          <cell r="Q590" t="str">
            <v>Odstraňování odpadů, kromě nebezpečných</v>
          </cell>
        </row>
        <row r="591">
          <cell r="Q591" t="str">
            <v>Odstraňování nebezpečných odpadů</v>
          </cell>
        </row>
        <row r="592">
          <cell r="Q592" t="str">
            <v>Demontáž vraků a vyřazených strojů a zařízení pro účely recyklace</v>
          </cell>
        </row>
        <row r="593">
          <cell r="Q593" t="str">
            <v>Úprava odpadů k dalšímu využití,kromě demontáže vraků,strojů a zařízení</v>
          </cell>
        </row>
        <row r="594">
          <cell r="Q594" t="str">
            <v>Výstavba bytových budov</v>
          </cell>
        </row>
        <row r="595">
          <cell r="Q595" t="str">
            <v>Výstavba silnic a dálnic</v>
          </cell>
        </row>
        <row r="596">
          <cell r="Q596" t="str">
            <v>Výstavba železnic a podzemních drah</v>
          </cell>
        </row>
        <row r="597">
          <cell r="Q597" t="str">
            <v>Výstavba mostů a tunelů</v>
          </cell>
        </row>
        <row r="598">
          <cell r="Q598" t="str">
            <v>Výstavba inženýrských sítí pro kapaliny a plyny</v>
          </cell>
        </row>
        <row r="599">
          <cell r="Q599" t="str">
            <v>Výstavba inženýrských sítí pro elektřinu a telekomunikace</v>
          </cell>
        </row>
        <row r="600">
          <cell r="Q600" t="str">
            <v>Výstavba vodních děl</v>
          </cell>
        </row>
        <row r="601">
          <cell r="Q601" t="str">
            <v>Výstavba ostatních staveb j. n.</v>
          </cell>
        </row>
        <row r="602">
          <cell r="Q602" t="str">
            <v>Demolice</v>
          </cell>
        </row>
        <row r="603">
          <cell r="Q603" t="str">
            <v>Příprava staveniště</v>
          </cell>
        </row>
        <row r="604">
          <cell r="Q604" t="str">
            <v>Průzkumné vrtné práce</v>
          </cell>
        </row>
        <row r="605">
          <cell r="Q605" t="str">
            <v>Elektrické instalace</v>
          </cell>
        </row>
        <row r="606">
          <cell r="Q606" t="str">
            <v>Instalace vody, odpadu, plynu, topení a klimatizace</v>
          </cell>
        </row>
        <row r="607">
          <cell r="Q607" t="str">
            <v>Ostatní stavební instalace</v>
          </cell>
        </row>
        <row r="608">
          <cell r="Q608" t="str">
            <v>Omítkářské práce</v>
          </cell>
        </row>
        <row r="609">
          <cell r="Q609" t="str">
            <v>Truhlářské práce</v>
          </cell>
        </row>
        <row r="610">
          <cell r="Q610" t="str">
            <v>Obkládání stěn a pokládání podlahových krytin</v>
          </cell>
        </row>
        <row r="611">
          <cell r="Q611" t="str">
            <v>Sklenářské, malířské a natěračské práce</v>
          </cell>
        </row>
        <row r="612">
          <cell r="Q612" t="str">
            <v>Ostatní kompletační a dokončovací práce</v>
          </cell>
        </row>
        <row r="613">
          <cell r="Q613" t="str">
            <v>Pokrývačské práce</v>
          </cell>
        </row>
        <row r="614">
          <cell r="Q614" t="str">
            <v>Ostatní specializované stavební činnosti j. n.</v>
          </cell>
        </row>
        <row r="615">
          <cell r="Q615" t="str">
            <v>Obchod s automobily a jinými lehkými motorovými vozidly</v>
          </cell>
        </row>
        <row r="616">
          <cell r="Q616" t="str">
            <v>Obchod s ostatními motorovými vozidly, kromě motocyklů</v>
          </cell>
        </row>
        <row r="617">
          <cell r="Q617" t="str">
            <v>Velkoobchod s díly a příslušenstvím pro motorová vozidla,kromě motocyklů</v>
          </cell>
        </row>
        <row r="618">
          <cell r="Q618" t="str">
            <v>Maloobchod s díly a příslušenstvím pro motorová vozidla,kromě motocyklů</v>
          </cell>
        </row>
        <row r="619">
          <cell r="Q619" t="str">
            <v>Zprostř.velkoob.a velkoob.v zast.se zákl.zem.pr.,živými zv.,text.sur.a pol.</v>
          </cell>
        </row>
        <row r="620">
          <cell r="Q620" t="str">
            <v>Zprostř.velkoob.a velkoob.v zast.s palivy,rudami,kovy a prům.chemikáliemi</v>
          </cell>
        </row>
        <row r="621">
          <cell r="Q621" t="str">
            <v>Zprostř.velkoobchodu a velkoobchod v zast.se dřevem a staveb.materiály</v>
          </cell>
        </row>
        <row r="622">
          <cell r="Q622" t="str">
            <v>Zprostř.velkoobchodu a velkoob.v zast.se stroji,prům.zař.,loděmi a letadly</v>
          </cell>
        </row>
        <row r="623">
          <cell r="Q623" t="str">
            <v>Zprostř.velkoob.a velkoob.v zast.s náb.,želez.zbožím a potř.převáž.pro dom.</v>
          </cell>
        </row>
        <row r="624">
          <cell r="Q624" t="str">
            <v>Zprostř.velkoob.a velkoob.v zast.s text.,oděvy,kožešinami,obuví a kož.výr.</v>
          </cell>
        </row>
        <row r="625">
          <cell r="Q625" t="str">
            <v>Zprostř.velkoob.a velkoob.v zast.s potr.,nápoji,tabákem a tabák.výrobky</v>
          </cell>
        </row>
        <row r="626">
          <cell r="Q626" t="str">
            <v>Zprostř.specializ.velkoob.a specializ.velkoob.v zast.s ost.výrobky</v>
          </cell>
        </row>
        <row r="627">
          <cell r="Q627" t="str">
            <v>Zprostř.nespecializ.velkoobchodu a nespecializ.velkoobchod v zast.</v>
          </cell>
        </row>
        <row r="628">
          <cell r="Q628" t="str">
            <v>Velkoobchod s obilím, surovým tabákem, osivy a krmivy</v>
          </cell>
        </row>
        <row r="629">
          <cell r="Q629" t="str">
            <v>Velkoobchod s květinami a jinými rostlinami</v>
          </cell>
        </row>
        <row r="630">
          <cell r="Q630" t="str">
            <v>Velkoobchod s živými zvířaty</v>
          </cell>
        </row>
        <row r="631">
          <cell r="Q631" t="str">
            <v>Velkoobchod se surovými kůžemi, kožešinami a usněmi</v>
          </cell>
        </row>
        <row r="632">
          <cell r="Q632" t="str">
            <v>Velkoobchod s ovocem a zeleninou</v>
          </cell>
        </row>
        <row r="633">
          <cell r="Q633" t="str">
            <v>Velkoobchod s masem a masnými výrobky</v>
          </cell>
        </row>
        <row r="634">
          <cell r="Q634" t="str">
            <v>Velkoobchod s mléčnými výrobky, vejci, jedlými oleji a tuky</v>
          </cell>
        </row>
        <row r="635">
          <cell r="Q635" t="str">
            <v>Velkoobchod s nápoji</v>
          </cell>
        </row>
        <row r="636">
          <cell r="Q636" t="str">
            <v>Velkoobchod s tabákovými výrobky</v>
          </cell>
        </row>
        <row r="637">
          <cell r="Q637" t="str">
            <v>Velkoobchod s cukrem, čokoládou a cukrovinkami</v>
          </cell>
        </row>
        <row r="638">
          <cell r="Q638" t="str">
            <v>Velkoobchod s kávou, čajem, kakaem a kořením</v>
          </cell>
        </row>
        <row r="639">
          <cell r="Q639" t="str">
            <v>Specializ.velkoobchod s jinými potravinami,včetně ryb,korýšů a měkkýšů</v>
          </cell>
        </row>
        <row r="640">
          <cell r="Q640" t="str">
            <v>Nespecializovaný velkoobchod s potravinami,nápoji a tabákovými výroby</v>
          </cell>
        </row>
        <row r="641">
          <cell r="Q641" t="str">
            <v>Velkoobchod s textilem</v>
          </cell>
        </row>
        <row r="642">
          <cell r="Q642" t="str">
            <v>Velkoobchod s oděvy a obuví</v>
          </cell>
        </row>
        <row r="643">
          <cell r="Q643" t="str">
            <v>Velkoobchod s elektrospotřebiči a elektronikou</v>
          </cell>
        </row>
        <row r="644">
          <cell r="Q644" t="str">
            <v>Velkoobchod s porcelán.,keram.a skleněnými výrobky a čisticími prostř.</v>
          </cell>
        </row>
        <row r="645">
          <cell r="Q645" t="str">
            <v>Velkoobchod s kosmetickými výrobky</v>
          </cell>
        </row>
        <row r="646">
          <cell r="Q646" t="str">
            <v>Velkoobchod s farmaceutickými výrobky</v>
          </cell>
        </row>
        <row r="647">
          <cell r="Q647" t="str">
            <v>Velkoobchod s nábytkem, koberci a svítidly</v>
          </cell>
        </row>
        <row r="648">
          <cell r="Q648" t="str">
            <v>Velkoobchod s hodinami, hodinkami a klenoty</v>
          </cell>
        </row>
        <row r="649">
          <cell r="Q649" t="str">
            <v>Velkoobchod s ostatními výrobky převážně pro domácnost</v>
          </cell>
        </row>
        <row r="650">
          <cell r="Q650" t="str">
            <v>Velkoobchod s počítači, počítačovým periferním zařízením a softwarem</v>
          </cell>
        </row>
        <row r="651">
          <cell r="Q651" t="str">
            <v>Velkoobchod s elektronickým a telekomunikačním zařízením a jeho díly</v>
          </cell>
        </row>
        <row r="652">
          <cell r="Q652" t="str">
            <v>Velkoobchod se zemědělskými stroji, strojním zařízením a příslušenstvím</v>
          </cell>
        </row>
        <row r="653">
          <cell r="Q653" t="str">
            <v>Velkoobchod s obráběcími stroji</v>
          </cell>
        </row>
        <row r="654">
          <cell r="Q654" t="str">
            <v>Velkoobchod s těžebními a stavebními stroji a zařízením</v>
          </cell>
        </row>
        <row r="655">
          <cell r="Q655" t="str">
            <v>Velkoobchod se strojním zařízením pro text.průmysl,šicími a plet.stroji</v>
          </cell>
        </row>
        <row r="656">
          <cell r="Q656" t="str">
            <v>Velkoobchod s kancelářským nábytkem</v>
          </cell>
        </row>
        <row r="657">
          <cell r="Q657" t="str">
            <v>Velkoobchod s ostatními kancelářskými stroji a zařízením</v>
          </cell>
        </row>
        <row r="658">
          <cell r="Q658" t="str">
            <v>Velkoobchod s ostatními stroji a zařízením</v>
          </cell>
        </row>
        <row r="659">
          <cell r="Q659" t="str">
            <v>Velkoobchod s pevnými, kapalnými a plynnými palivy a příbuznými výrobky</v>
          </cell>
        </row>
        <row r="660">
          <cell r="Q660" t="str">
            <v>Velkoobchod s rudami, kovy a hutními výrobky</v>
          </cell>
        </row>
        <row r="661">
          <cell r="Q661" t="str">
            <v>Velkoobchod se dřevem, stavebními materiály a sanitárním vybavením</v>
          </cell>
        </row>
        <row r="662">
          <cell r="Q662" t="str">
            <v>Velkoobchod s železářským zbožím,instalatér.a topenářskými potřebami</v>
          </cell>
        </row>
        <row r="663">
          <cell r="Q663" t="str">
            <v>Velkoobchod s chemickými výrobky</v>
          </cell>
        </row>
        <row r="664">
          <cell r="Q664" t="str">
            <v>Velkoobchod s ostatními meziprodukty</v>
          </cell>
        </row>
        <row r="665">
          <cell r="Q665" t="str">
            <v>Velkoobchod s odpadem a šrotem</v>
          </cell>
        </row>
        <row r="666">
          <cell r="Q666" t="str">
            <v>Maloobchod s převahou potravin,nápojů a tabák.výrobků v nespecializ.prod.</v>
          </cell>
        </row>
        <row r="667">
          <cell r="Q667" t="str">
            <v>Ostatní maloobchod v nespecializovaných prodejnách</v>
          </cell>
        </row>
        <row r="668">
          <cell r="Q668" t="str">
            <v>Maloobchod s ovocem a zeleninou</v>
          </cell>
        </row>
        <row r="669">
          <cell r="Q669" t="str">
            <v>Maloobchod s masem a masnými výrobky</v>
          </cell>
        </row>
        <row r="670">
          <cell r="Q670" t="str">
            <v>Maloobchod s rybami, korýši a měkkýši</v>
          </cell>
        </row>
        <row r="671">
          <cell r="Q671" t="str">
            <v>Maloobchod s chlebem, pečivem, cukrářskými výrobky a cukrovinkami</v>
          </cell>
        </row>
        <row r="672">
          <cell r="Q672" t="str">
            <v>Maloobchod s nápoji</v>
          </cell>
        </row>
        <row r="673">
          <cell r="Q673" t="str">
            <v>Maloobchod s tabákovými výrobky</v>
          </cell>
        </row>
        <row r="674">
          <cell r="Q674" t="str">
            <v>Ostatní maloobchod s potravinami ve specializovaných prodejnách</v>
          </cell>
        </row>
        <row r="675">
          <cell r="Q675" t="str">
            <v>Maloobchod s počítači, počítačovým periferním zařízením a softwarem</v>
          </cell>
        </row>
        <row r="676">
          <cell r="Q676" t="str">
            <v>Maloobchod s telekomunikačním zařízením</v>
          </cell>
        </row>
        <row r="677">
          <cell r="Q677" t="str">
            <v>Maloobchod s audio- a videozařízením</v>
          </cell>
        </row>
        <row r="678">
          <cell r="Q678" t="str">
            <v>Maloobchod s textilem</v>
          </cell>
        </row>
        <row r="679">
          <cell r="Q679" t="str">
            <v>Maloobchod s železářským zbožím, barvami, sklem a potřebami pro kutily</v>
          </cell>
        </row>
        <row r="680">
          <cell r="Q680" t="str">
            <v>Maloobchod s koberci, podlahovými krytinami a nástěnnými obklady</v>
          </cell>
        </row>
        <row r="681">
          <cell r="Q681" t="str">
            <v>Maloobchod s elektrospotřebiči a elektronikou</v>
          </cell>
        </row>
        <row r="682">
          <cell r="Q682" t="str">
            <v>Maloobchod s nábytkem,svítidly a ost.výr.přev.pro dom.ve specializ.prod.</v>
          </cell>
        </row>
        <row r="683">
          <cell r="Q683" t="str">
            <v>Maloobchod s knihami</v>
          </cell>
        </row>
        <row r="684">
          <cell r="Q684" t="str">
            <v>Maloobchod s novinami, časopisy a papírnickým zbožím</v>
          </cell>
        </row>
        <row r="685">
          <cell r="Q685" t="str">
            <v>Maloobchod s audio- a videozáznamy</v>
          </cell>
        </row>
        <row r="686">
          <cell r="Q686" t="str">
            <v>Maloobchod se sportovním vybavením</v>
          </cell>
        </row>
        <row r="687">
          <cell r="Q687" t="str">
            <v>Maloobchod s hrami a hračkami</v>
          </cell>
        </row>
        <row r="688">
          <cell r="Q688" t="str">
            <v>Maloobchod s oděvy</v>
          </cell>
        </row>
        <row r="689">
          <cell r="Q689" t="str">
            <v>Maloobchod s obuví a koženými výrobky</v>
          </cell>
        </row>
        <row r="690">
          <cell r="Q690" t="str">
            <v>Maloobchod s farmaceutickými přípravky</v>
          </cell>
        </row>
        <row r="691">
          <cell r="Q691" t="str">
            <v>Maloobchod se zdravotnickými a ortopedickými výrobky</v>
          </cell>
        </row>
        <row r="692">
          <cell r="Q692" t="str">
            <v>Maloobchod s kosmetickými a toaletními výrobky</v>
          </cell>
        </row>
        <row r="693">
          <cell r="Q693" t="str">
            <v>Maloob.s květinami,rostl.,osivy,hnoj.,zvířaty pro záj.chov a krmivy pro ně</v>
          </cell>
        </row>
        <row r="694">
          <cell r="Q694" t="str">
            <v>Maloobchod s hodinami, hodinkami a klenoty</v>
          </cell>
        </row>
        <row r="695">
          <cell r="Q695" t="str">
            <v>Ostatní maloobchod s novým zbožím ve specializovaných prodejnách</v>
          </cell>
        </row>
        <row r="696">
          <cell r="Q696" t="str">
            <v>Maloobchod s použitým zbožím v prodejnách</v>
          </cell>
        </row>
        <row r="697">
          <cell r="Q697" t="str">
            <v>Maloobchod s potravinami,nápoji a tabák.výrobky ve stáncích a na trzích</v>
          </cell>
        </row>
        <row r="698">
          <cell r="Q698" t="str">
            <v>Maloobchod s textilem, oděvy a obuví ve stáncích a na trzích</v>
          </cell>
        </row>
        <row r="699">
          <cell r="Q699" t="str">
            <v>Maloobchod s ostatním zbožím ve stáncích a na trzích</v>
          </cell>
        </row>
        <row r="700">
          <cell r="Q700" t="str">
            <v>Maloobchod prostřednictvím internetu nebo zásilkové služby</v>
          </cell>
        </row>
        <row r="701">
          <cell r="Q701" t="str">
            <v>Ostatní maloobchod mimo prodejny, stánky a trhy</v>
          </cell>
        </row>
        <row r="702">
          <cell r="Q702" t="str">
            <v>Městská a příměstská pozemní osobní doprava</v>
          </cell>
        </row>
        <row r="703">
          <cell r="Q703" t="str">
            <v>Taxislužba a pronájem osobních vozů s řidičem</v>
          </cell>
        </row>
        <row r="704">
          <cell r="Q704" t="str">
            <v>Ostatní pozemní osobní doprava j. n.</v>
          </cell>
        </row>
        <row r="705">
          <cell r="Q705" t="str">
            <v>Silniční nákladní doprava</v>
          </cell>
        </row>
        <row r="706">
          <cell r="Q706" t="str">
            <v>Stěhovací služby</v>
          </cell>
        </row>
        <row r="707">
          <cell r="Q707" t="str">
            <v>Těžba černého uhlí</v>
          </cell>
        </row>
        <row r="708">
          <cell r="Q708" t="str">
            <v>Úprava černého uhlí</v>
          </cell>
        </row>
        <row r="709">
          <cell r="Q709" t="str">
            <v>Letecká nákladní doprava</v>
          </cell>
        </row>
        <row r="710">
          <cell r="Q710" t="str">
            <v>Kosmická doprava</v>
          </cell>
        </row>
        <row r="711">
          <cell r="Q711" t="str">
            <v>Těžba hnědého uhlí, kromě lignitu</v>
          </cell>
        </row>
        <row r="712">
          <cell r="Q712" t="str">
            <v>Úprava hnědého uhlí, kromě lignitu</v>
          </cell>
        </row>
        <row r="713">
          <cell r="Q713" t="str">
            <v>Těžba lignitu</v>
          </cell>
        </row>
        <row r="714">
          <cell r="Q714" t="str">
            <v>Úprava lignitu</v>
          </cell>
        </row>
        <row r="715">
          <cell r="Q715" t="str">
            <v>Činnosti související s pozemní dopravou</v>
          </cell>
        </row>
        <row r="716">
          <cell r="Q716" t="str">
            <v>Činnosti související s vodní dopravou</v>
          </cell>
        </row>
        <row r="717">
          <cell r="Q717" t="str">
            <v>Činnosti související s leteckou dopravou</v>
          </cell>
        </row>
        <row r="718">
          <cell r="Q718" t="str">
            <v>Manipulace s nákladem</v>
          </cell>
        </row>
        <row r="719">
          <cell r="Q719" t="str">
            <v>Ostatní vedlejší činnosti v dopravě</v>
          </cell>
        </row>
        <row r="720">
          <cell r="Q720" t="str">
            <v>Poskytování cateringových služeb</v>
          </cell>
        </row>
        <row r="721">
          <cell r="Q721" t="str">
            <v>Poskytování ostatních stravovacích služeb</v>
          </cell>
        </row>
        <row r="722">
          <cell r="Q722" t="str">
            <v>Vydávání knih</v>
          </cell>
        </row>
        <row r="723">
          <cell r="Q723" t="str">
            <v>Vydávání adresářů a jiných seznamů</v>
          </cell>
        </row>
        <row r="724">
          <cell r="Q724" t="str">
            <v>Vydávání novin</v>
          </cell>
        </row>
        <row r="725">
          <cell r="Q725" t="str">
            <v>Vydávání časopisů a ostatních periodických publikací</v>
          </cell>
        </row>
        <row r="726">
          <cell r="Q726" t="str">
            <v>Ostatní vydavatelské činnosti</v>
          </cell>
        </row>
        <row r="727">
          <cell r="Q727" t="str">
            <v>Vydávání počítačových her</v>
          </cell>
        </row>
        <row r="728">
          <cell r="Q728" t="str">
            <v>Ostatní vydávání softwaru</v>
          </cell>
        </row>
        <row r="729">
          <cell r="Q729" t="str">
            <v>Produkce filmů, videozáznamů a televizních programů</v>
          </cell>
        </row>
        <row r="730">
          <cell r="Q730" t="str">
            <v>Postprodukce filmů, videozáznamů a televizních programů</v>
          </cell>
        </row>
        <row r="731">
          <cell r="Q731" t="str">
            <v>Distribuce filmů, videozáznamů a televizních programů</v>
          </cell>
        </row>
        <row r="732">
          <cell r="Q732" t="str">
            <v>Promítání filmů</v>
          </cell>
        </row>
        <row r="733">
          <cell r="Q733" t="str">
            <v>Programování</v>
          </cell>
        </row>
        <row r="734">
          <cell r="Q734" t="str">
            <v>Poradenství v oblasti informačních technologií</v>
          </cell>
        </row>
        <row r="735">
          <cell r="Q735" t="str">
            <v>Správa počítačového vybavení</v>
          </cell>
        </row>
        <row r="736">
          <cell r="Q736" t="str">
            <v>Ostatní činnosti v oblasti informačních technologií</v>
          </cell>
        </row>
        <row r="737">
          <cell r="Q737" t="str">
            <v>Činnosti související se zpracováním dat a hostingem</v>
          </cell>
        </row>
        <row r="738">
          <cell r="Q738" t="str">
            <v>Činnosti související s webovými portály</v>
          </cell>
        </row>
        <row r="739">
          <cell r="Q739" t="str">
            <v>Činnosti zpravodajských tiskových kanceláří a agentur</v>
          </cell>
        </row>
        <row r="740">
          <cell r="Q740" t="str">
            <v>Ostatní informační činnosti j. n.</v>
          </cell>
        </row>
        <row r="741">
          <cell r="Q741" t="str">
            <v>Centrální bankovnictví</v>
          </cell>
        </row>
        <row r="742">
          <cell r="Q742" t="str">
            <v>Ostatní peněžní zprostředkování</v>
          </cell>
        </row>
        <row r="743">
          <cell r="Q743" t="str">
            <v>Finanční leasing</v>
          </cell>
        </row>
        <row r="744">
          <cell r="Q744" t="str">
            <v>Ostatní poskytování úvěrů</v>
          </cell>
        </row>
        <row r="745">
          <cell r="Q745" t="str">
            <v>Ostatní finanční zprostředkování j. n.</v>
          </cell>
        </row>
        <row r="746">
          <cell r="Q746" t="str">
            <v>životní pojištění</v>
          </cell>
        </row>
        <row r="747">
          <cell r="Q747" t="str">
            <v>Neživotní pojištění</v>
          </cell>
        </row>
        <row r="748">
          <cell r="Q748" t="str">
            <v>Řízení a správa finančních trhů</v>
          </cell>
        </row>
        <row r="749">
          <cell r="Q749" t="str">
            <v>Obchodování s cennými papíry a komoditami na burzách</v>
          </cell>
        </row>
        <row r="750">
          <cell r="Q750" t="str">
            <v>Ostatní pomocné činnosti související s finančním zprostředkováním</v>
          </cell>
        </row>
        <row r="751">
          <cell r="Q751" t="str">
            <v>Vyhodnocování rizik a škod</v>
          </cell>
        </row>
        <row r="752">
          <cell r="Q752" t="str">
            <v>Činnosti zástupců pojišťovny a makléřů</v>
          </cell>
        </row>
        <row r="753">
          <cell r="Q753" t="str">
            <v>Ostatní pomocné činnosti související s pojišťovnictvím a penz.fin.</v>
          </cell>
        </row>
        <row r="754">
          <cell r="Q754" t="str">
            <v>Zprostředkovatelské činnosti realitních agentur</v>
          </cell>
        </row>
        <row r="755">
          <cell r="Q755" t="str">
            <v>Správa nemovitostí na základě smlouvy</v>
          </cell>
        </row>
        <row r="756">
          <cell r="Q756" t="str">
            <v>Poradenství v oblasti vztahů s veřejností a komunikace</v>
          </cell>
        </row>
        <row r="757">
          <cell r="Q757" t="str">
            <v>Ostatní poradenství v oblasti podnikání a řízení</v>
          </cell>
        </row>
        <row r="758">
          <cell r="Q758" t="str">
            <v>Těžba železných rud</v>
          </cell>
        </row>
        <row r="759">
          <cell r="Q759" t="str">
            <v>Úprava železných rud</v>
          </cell>
        </row>
        <row r="760">
          <cell r="Q760" t="str">
            <v>Architektonické činnosti</v>
          </cell>
        </row>
        <row r="761">
          <cell r="Q761" t="str">
            <v>Inženýrské činnosti a související technické poradenství</v>
          </cell>
        </row>
        <row r="762">
          <cell r="Q762" t="str">
            <v>Výzkum a vývoj v oblasti biotechnologie</v>
          </cell>
        </row>
        <row r="763">
          <cell r="Q763" t="str">
            <v>Těžba uranových a thoriových rud</v>
          </cell>
        </row>
        <row r="764">
          <cell r="Q764" t="str">
            <v>Úprava uranových a thoriových rud</v>
          </cell>
        </row>
        <row r="765">
          <cell r="Q765" t="str">
            <v>Ostatní výzkum a vývoj voblasti přírodních atechnických věd</v>
          </cell>
        </row>
        <row r="766">
          <cell r="Q766" t="str">
            <v>Těžba ostatních neželezných rud</v>
          </cell>
        </row>
        <row r="767">
          <cell r="Q767" t="str">
            <v>Úprava ostatních neželezných rud</v>
          </cell>
        </row>
        <row r="768">
          <cell r="Q768" t="str">
            <v>Činnosti reklamních agentur</v>
          </cell>
        </row>
        <row r="769">
          <cell r="Q769" t="str">
            <v>Zastupování médií při prodeji reklamního času a prostoru</v>
          </cell>
        </row>
        <row r="770">
          <cell r="Q770" t="str">
            <v>Pronájem a leasing automob.a jiných lehkých motor.vozidel,kromě motocyklů</v>
          </cell>
        </row>
        <row r="771">
          <cell r="Q771" t="str">
            <v>Pronájem a leasing nákladních automobilů</v>
          </cell>
        </row>
        <row r="772">
          <cell r="Q772" t="str">
            <v>Pronájem a leasing rekreačních a sportovních potřeb</v>
          </cell>
        </row>
        <row r="773">
          <cell r="Q773" t="str">
            <v>Pronájem videokazet a disků</v>
          </cell>
        </row>
        <row r="774">
          <cell r="Q774" t="str">
            <v>Pronájem a leasing ost.výrobků pro osob.potřebu a převážně pro domácnost</v>
          </cell>
        </row>
        <row r="775">
          <cell r="Q775" t="str">
            <v>Pronájem a leasing zemědělských strojů a zařízení</v>
          </cell>
        </row>
        <row r="776">
          <cell r="Q776" t="str">
            <v>Pronájem a leasing stavebních strojů a zařízení</v>
          </cell>
        </row>
        <row r="777">
          <cell r="Q777" t="str">
            <v>Pronájem a leasing kancelářských strojů a zařízení, včetně počítačů</v>
          </cell>
        </row>
        <row r="778">
          <cell r="Q778" t="str">
            <v>Pronájem a leasing vodních dopravních prostředků</v>
          </cell>
        </row>
        <row r="779">
          <cell r="Q779" t="str">
            <v>Pronájem a leasing leteckých dopravních prostředků</v>
          </cell>
        </row>
        <row r="780">
          <cell r="Q780" t="str">
            <v>Pronájem a leasing ostatních strojů, zařízení a výrobků j. n.</v>
          </cell>
        </row>
        <row r="781">
          <cell r="Q781" t="str">
            <v>Činnosti cestovních agentur</v>
          </cell>
        </row>
        <row r="782">
          <cell r="Q782" t="str">
            <v>Činnosti cestovních kanceláří</v>
          </cell>
        </row>
        <row r="783">
          <cell r="Q783" t="str">
            <v>Všeobecný úklid budov</v>
          </cell>
        </row>
        <row r="784">
          <cell r="Q784" t="str">
            <v>Specializované čištění a úklid budov a průmyslových zařízení</v>
          </cell>
        </row>
        <row r="785">
          <cell r="Q785" t="str">
            <v>Ostatní úklidové činnosti</v>
          </cell>
        </row>
        <row r="786">
          <cell r="Q786" t="str">
            <v>Univerzální administrativní činnosti</v>
          </cell>
        </row>
        <row r="787">
          <cell r="Q787" t="str">
            <v>Kopírování,příprava dokumentů a ost.specializ.kancel.podpůrné činnosti</v>
          </cell>
        </row>
        <row r="788">
          <cell r="Q788" t="str">
            <v>Inkasní činnosti, ověřování solventnosti zákazníka</v>
          </cell>
        </row>
        <row r="789">
          <cell r="Q789" t="str">
            <v>Balicí činnosti</v>
          </cell>
        </row>
        <row r="790">
          <cell r="Q790" t="str">
            <v>Ostatní podpůrné činnosti pro podnikání j. n.</v>
          </cell>
        </row>
        <row r="791">
          <cell r="Q791" t="str">
            <v>Všeobecné činnosti veřejné správy</v>
          </cell>
        </row>
        <row r="792">
          <cell r="Q792" t="str">
            <v>Regul.čin.souvis.s poskyt.zdr.péče,vzděl.,kulturou a soc.péčí,kromě soc.z.</v>
          </cell>
        </row>
        <row r="793">
          <cell r="Q793" t="str">
            <v>Regulace a podpora podnikatelského prostředí</v>
          </cell>
        </row>
        <row r="794">
          <cell r="Q794" t="str">
            <v>Činnosti v oblasti zahraničních věcí</v>
          </cell>
        </row>
        <row r="795">
          <cell r="Q795" t="str">
            <v>Činnosti v oblasti obrany</v>
          </cell>
        </row>
        <row r="796">
          <cell r="Q796" t="str">
            <v>Činnosti v oblasti spravedlnosti a soudnictví</v>
          </cell>
        </row>
        <row r="797">
          <cell r="Q797" t="str">
            <v>Činnosti v oblasti veřejného pořádku a bezpečnosti</v>
          </cell>
        </row>
        <row r="798">
          <cell r="Q798" t="str">
            <v>Činnosti v oblasti protipožární ochrany</v>
          </cell>
        </row>
        <row r="799">
          <cell r="Q799" t="str">
            <v>Sekundární všeobecné vzdělávání</v>
          </cell>
        </row>
        <row r="800">
          <cell r="Q800" t="str">
            <v>Sekundární odborné vzdělávání</v>
          </cell>
        </row>
        <row r="801">
          <cell r="Q801" t="str">
            <v>Postsekundární nikoli terciární vzdělávání</v>
          </cell>
        </row>
        <row r="802">
          <cell r="Q802" t="str">
            <v>Terciární vzdělávání</v>
          </cell>
        </row>
        <row r="803">
          <cell r="Q803" t="str">
            <v>Sportovní a rekreační vzdělávání</v>
          </cell>
        </row>
        <row r="804">
          <cell r="Q804" t="str">
            <v>Umělecké vzdělávání</v>
          </cell>
        </row>
        <row r="805">
          <cell r="Q805" t="str">
            <v>Činnosti autoškol a jiných škol řízení</v>
          </cell>
        </row>
        <row r="806">
          <cell r="Q806" t="str">
            <v>Ostatní vzdělávání j. n.</v>
          </cell>
        </row>
        <row r="807">
          <cell r="Q807" t="str">
            <v>Všeobecná ambulantní zdravotní péče</v>
          </cell>
        </row>
        <row r="808">
          <cell r="Q808" t="str">
            <v>Specializovaná ambulantní zdravotní péče</v>
          </cell>
        </row>
        <row r="809">
          <cell r="Q809" t="str">
            <v>Zubní péče</v>
          </cell>
        </row>
        <row r="810">
          <cell r="Q810" t="str">
            <v>Sociální služby poskytované dětem</v>
          </cell>
        </row>
        <row r="811">
          <cell r="Q811" t="str">
            <v>Ostatní ambulantní nebo terénní sociální služby j. n.</v>
          </cell>
        </row>
        <row r="812">
          <cell r="Q812" t="str">
            <v>Scénická umění</v>
          </cell>
        </row>
        <row r="813">
          <cell r="Q813" t="str">
            <v>Podpůrné činnosti pro scénická umění</v>
          </cell>
        </row>
        <row r="814">
          <cell r="Q814" t="str">
            <v>Umělecká tvorba</v>
          </cell>
        </row>
        <row r="815">
          <cell r="Q815" t="str">
            <v>Provozování kulturních zařízení</v>
          </cell>
        </row>
        <row r="816">
          <cell r="Q816" t="str">
            <v>Činnosti knihoven a archivů</v>
          </cell>
        </row>
        <row r="817">
          <cell r="Q817" t="str">
            <v>Činnosti muzeí</v>
          </cell>
        </row>
        <row r="818">
          <cell r="Q818" t="str">
            <v>Provozování kultur.památek,histor.staveb a obdobných turist.zajímavostí</v>
          </cell>
        </row>
        <row r="819">
          <cell r="Q819" t="str">
            <v>Činnosti botanických a zoologických zahrad,přír.rezervací a národ.parků</v>
          </cell>
        </row>
        <row r="820">
          <cell r="Q820" t="str">
            <v>Provozování sportovních zařízení</v>
          </cell>
        </row>
        <row r="821">
          <cell r="Q821" t="str">
            <v>Činnosti sportovních klubů</v>
          </cell>
        </row>
        <row r="822">
          <cell r="Q822" t="str">
            <v>Činnosti fitcenter</v>
          </cell>
        </row>
        <row r="823">
          <cell r="Q823" t="str">
            <v>Ostatní sportovní činnosti</v>
          </cell>
        </row>
        <row r="824">
          <cell r="Q824" t="str">
            <v>Činnosti lunaparků a zábavních parků</v>
          </cell>
        </row>
        <row r="825">
          <cell r="Q825" t="str">
            <v>Ostatní zábavní a rekreační činnosti j. n.</v>
          </cell>
        </row>
        <row r="826">
          <cell r="Q826" t="str">
            <v>Činnosti podnikatelských a zaměstnavatelských organizací</v>
          </cell>
        </row>
        <row r="827">
          <cell r="Q827" t="str">
            <v>Činnosti profesních organizací</v>
          </cell>
        </row>
        <row r="828">
          <cell r="Q828" t="str">
            <v>Činnosti náboženských organizací</v>
          </cell>
        </row>
        <row r="829">
          <cell r="Q829" t="str">
            <v>Činnosti politických stran a organizací</v>
          </cell>
        </row>
        <row r="830">
          <cell r="Q830" t="str">
            <v>Činnosti ost.org.sdružujících osoby za účelem prosazování spol.zájmů j.n.</v>
          </cell>
        </row>
        <row r="831">
          <cell r="Q831" t="str">
            <v>Opravy počítačů a periferních zařízení</v>
          </cell>
        </row>
        <row r="832">
          <cell r="Q832" t="str">
            <v>Opravy komunikačních zařízení</v>
          </cell>
        </row>
        <row r="833">
          <cell r="Q833" t="str">
            <v>Opravy spotřební elektroniky</v>
          </cell>
        </row>
        <row r="834">
          <cell r="Q834" t="str">
            <v>Opravy přístrojů a zařízení převážně pro domácnost, dům a zahradu</v>
          </cell>
        </row>
        <row r="835">
          <cell r="Q835" t="str">
            <v>Opravy obuvi a kožených výrobků</v>
          </cell>
        </row>
        <row r="836">
          <cell r="Q836" t="str">
            <v>Opravy nábytku a bytového zařízení</v>
          </cell>
        </row>
        <row r="837">
          <cell r="Q837" t="str">
            <v>Opravy hodin, hodinek a klenotnických výrobků</v>
          </cell>
        </row>
        <row r="838">
          <cell r="Q838" t="str">
            <v>Opravy ostatních výrobků pro osobní potřebu a převážně pro domácnost</v>
          </cell>
        </row>
        <row r="839">
          <cell r="Q839" t="str">
            <v>Praní a chemické čištění textilních a kožešinových výrobků</v>
          </cell>
        </row>
        <row r="840">
          <cell r="Q840" t="str">
            <v>Kadeřnické, kosmetické a podobné činnosti</v>
          </cell>
        </row>
        <row r="841">
          <cell r="Q841" t="str">
            <v>Pohřební a související činnosti</v>
          </cell>
        </row>
        <row r="842">
          <cell r="Q842" t="str">
            <v>Činnosti pro osobní a fyzickou pohodu</v>
          </cell>
        </row>
        <row r="843">
          <cell r="Q843" t="str">
            <v>Poskytování ostatních osobních služeb j. n.</v>
          </cell>
        </row>
        <row r="844">
          <cell r="Q844" t="str">
            <v>Činnosti domácností produk.blíže neurčené výrobky pro vlastní potřebu</v>
          </cell>
        </row>
        <row r="845">
          <cell r="Q845" t="str">
            <v>Výroba obuvi s usňovým svrškem</v>
          </cell>
        </row>
        <row r="846">
          <cell r="Q846" t="str">
            <v>Výroba obuvi z ostatních materiálů</v>
          </cell>
        </row>
        <row r="847">
          <cell r="Q847" t="str">
            <v>Výroba chemických buničin</v>
          </cell>
        </row>
        <row r="848">
          <cell r="Q848" t="str">
            <v>Výroba mechanických vláknin</v>
          </cell>
        </row>
        <row r="849">
          <cell r="Q849" t="str">
            <v>Výroba ostatních papírenských vláknin</v>
          </cell>
        </row>
        <row r="850">
          <cell r="Q850" t="str">
            <v>Výroba bioet.(biolihu)pro pohon motorů a pro výr.směsí a komp.paliv</v>
          </cell>
        </row>
        <row r="851">
          <cell r="Q851" t="str">
            <v>Výroba ostatních základních organických chemických látek</v>
          </cell>
        </row>
        <row r="852">
          <cell r="Q852" t="str">
            <v>Výr.metylesterů a etylesterů mast.kys.pro pohon motorů a pro výr.sm.p.</v>
          </cell>
        </row>
        <row r="853">
          <cell r="Q853" t="str">
            <v>Výroba jiných chemických výrobků j. n.</v>
          </cell>
        </row>
        <row r="854">
          <cell r="Q854" t="str">
            <v>Výroba surového železa, oceli a feroslitin</v>
          </cell>
        </row>
        <row r="855">
          <cell r="Q855" t="str">
            <v>Výroba plochých výrobků (kromě pásky za studena)</v>
          </cell>
        </row>
        <row r="856">
          <cell r="Q856" t="str">
            <v>Tváření výrobků za tepla</v>
          </cell>
        </row>
        <row r="857">
          <cell r="Q857" t="str">
            <v>Výroba odlitků z litiny s lupínkovým grafitem</v>
          </cell>
        </row>
        <row r="858">
          <cell r="Q858" t="str">
            <v>Výroba odlitků z litiny s kuličkovým grafitem</v>
          </cell>
        </row>
        <row r="859">
          <cell r="Q859" t="str">
            <v>Výroba ostatních odlitků z litiny</v>
          </cell>
        </row>
        <row r="860">
          <cell r="Q860" t="str">
            <v>Výroba odlitků z uhlíkatých ocelí</v>
          </cell>
        </row>
        <row r="861">
          <cell r="Q861" t="str">
            <v>Výroba odlitků z legovaných ocelí</v>
          </cell>
        </row>
        <row r="862">
          <cell r="Q862" t="str">
            <v>Opravy a údržba kolejových vozidel</v>
          </cell>
        </row>
        <row r="863">
          <cell r="Q863" t="str">
            <v>Opravy a údržba ostat.dopr.prostředků a zařízení j.n.kromě kolej.vozidel</v>
          </cell>
        </row>
        <row r="864">
          <cell r="Q864" t="str">
            <v>Výroba a rozvod tepla a klimatizovaného vzduchu,výroba ledu</v>
          </cell>
        </row>
        <row r="865">
          <cell r="Q865" t="str">
            <v>Výroba tepla</v>
          </cell>
        </row>
        <row r="866">
          <cell r="Q866" t="str">
            <v>Rozvod tepla</v>
          </cell>
        </row>
        <row r="867">
          <cell r="Q867" t="str">
            <v>Výroba klimatizovaného vzduchu</v>
          </cell>
        </row>
        <row r="868">
          <cell r="Q868" t="str">
            <v>Rozvod klimatizovaného vzduchu</v>
          </cell>
        </row>
        <row r="869">
          <cell r="Q869" t="str">
            <v>Výroba chladicí vody</v>
          </cell>
        </row>
        <row r="870">
          <cell r="Q870" t="str">
            <v>Rozvod chladicí vody</v>
          </cell>
        </row>
        <row r="871">
          <cell r="Q871" t="str">
            <v>Výroba ledu</v>
          </cell>
        </row>
        <row r="872">
          <cell r="Q872" t="str">
            <v>Výstavba nebytových budov</v>
          </cell>
        </row>
        <row r="873">
          <cell r="Q873" t="str">
            <v>Výstavba inženýrských sítí pro kapaliny</v>
          </cell>
        </row>
        <row r="874">
          <cell r="Q874" t="str">
            <v>Výstavba inženýrských sítí pro plyny</v>
          </cell>
        </row>
        <row r="875">
          <cell r="Q875" t="str">
            <v>Sklenářské práce</v>
          </cell>
        </row>
        <row r="876">
          <cell r="Q876" t="str">
            <v>Malířské a natěračské práce</v>
          </cell>
        </row>
        <row r="877">
          <cell r="Q877" t="str">
            <v>Montáž a demontáž lešení a bednění</v>
          </cell>
        </row>
        <row r="878">
          <cell r="Q878" t="str">
            <v>Jiné specializované stavební činnosti j. n.</v>
          </cell>
        </row>
        <row r="879">
          <cell r="Q879" t="str">
            <v>Zprostředkování velkoobchodu a velkoobchod v zastoupení s papír.výrobky</v>
          </cell>
        </row>
        <row r="880">
          <cell r="Q880" t="str">
            <v>Zprostř.specializ.velkoobchodu a velkoobchod v zast.s ost.výrobky j.n.</v>
          </cell>
        </row>
        <row r="881">
          <cell r="Q881" t="str">
            <v>Velkoobchod s oděvy</v>
          </cell>
        </row>
        <row r="882">
          <cell r="Q882" t="str">
            <v>Velkoobchod s obuví</v>
          </cell>
        </row>
        <row r="883">
          <cell r="Q883" t="str">
            <v>Velkoobchod s porcelánovými, keramickými a skleněnými výrobky</v>
          </cell>
        </row>
        <row r="884">
          <cell r="Q884" t="str">
            <v>Velkoobchod s pracími a čisticími prostředky</v>
          </cell>
        </row>
        <row r="885">
          <cell r="Q885" t="str">
            <v>Velkoobchod s pevnými palivy a příbuznými výrobky</v>
          </cell>
        </row>
        <row r="886">
          <cell r="Q886" t="str">
            <v>Velkoobchod s kapalnými palivy a příbuznými výrobky</v>
          </cell>
        </row>
        <row r="887">
          <cell r="Q887" t="str">
            <v>Velkoobchod s plynnými palivy a příbuznými výrobky</v>
          </cell>
        </row>
        <row r="888">
          <cell r="Q888" t="str">
            <v>Velkoobchod s papírenskými meziprodukty</v>
          </cell>
        </row>
        <row r="889">
          <cell r="Q889" t="str">
            <v>Velkoobchod s ostatními meziprodukty j. n.</v>
          </cell>
        </row>
        <row r="890">
          <cell r="Q890" t="str">
            <v>Maloobchod s fotografickým a optickým zařízením a potřebami</v>
          </cell>
        </row>
        <row r="891">
          <cell r="Q891" t="str">
            <v>Maloobchod s pevnými palivy</v>
          </cell>
        </row>
        <row r="892">
          <cell r="Q892" t="str">
            <v>Maloobchod s kapalnými palivy (kromě pohonných hmot)</v>
          </cell>
        </row>
        <row r="893">
          <cell r="Q893" t="str">
            <v>Maloobchod s plynnými palivy (kromě pohonných hmot)</v>
          </cell>
        </row>
        <row r="894">
          <cell r="Q894" t="str">
            <v>Ostatní maloobchod s novým zbožím ve specializovaných prodejnách j. n.</v>
          </cell>
        </row>
        <row r="895">
          <cell r="Q895" t="str">
            <v>Maloobchod prostřednictvím internetu</v>
          </cell>
        </row>
        <row r="896">
          <cell r="Q896" t="str">
            <v>Maloobchod prostřednictvím zásilkové služby(jiný než prostř.internetu)</v>
          </cell>
        </row>
        <row r="897">
          <cell r="Q897" t="str">
            <v>Meziměstská pravidelná pozemní osobní doprava</v>
          </cell>
        </row>
        <row r="898">
          <cell r="Q898" t="str">
            <v>Osobní doprava lanovkou nebo vlekem</v>
          </cell>
        </row>
        <row r="899">
          <cell r="Q899" t="str">
            <v>Nepravidelná pozemní osobní doprava</v>
          </cell>
        </row>
        <row r="900">
          <cell r="Q900" t="str">
            <v>Jiná pozemní osobní doprava j. n.</v>
          </cell>
        </row>
        <row r="901">
          <cell r="Q901" t="str">
            <v>Potrubní doprava ropovodem</v>
          </cell>
        </row>
        <row r="902">
          <cell r="Q902" t="str">
            <v>Potrubní doprava plynovodem</v>
          </cell>
        </row>
        <row r="903">
          <cell r="Q903" t="str">
            <v>Potrubní doprava ostatní</v>
          </cell>
        </row>
        <row r="904">
          <cell r="Q904" t="str">
            <v>Vnitrostátní pravidelná letecká osobní doprava</v>
          </cell>
        </row>
        <row r="905">
          <cell r="Q905" t="str">
            <v>Vnitrostátní nepravidelná letecká osobní doprava</v>
          </cell>
        </row>
        <row r="906">
          <cell r="Q906" t="str">
            <v>Mezinárodní pravidelná letecká osobní doprava</v>
          </cell>
        </row>
        <row r="907">
          <cell r="Q907" t="str">
            <v>Mezinárodní nepravidelná letecká osobní doprava</v>
          </cell>
        </row>
        <row r="908">
          <cell r="Q908" t="str">
            <v>Ostatní letecká osobní doprava</v>
          </cell>
        </row>
        <row r="909">
          <cell r="Q909" t="str">
            <v>Hotely</v>
          </cell>
        </row>
        <row r="910">
          <cell r="Q910" t="str">
            <v>Motely, botely</v>
          </cell>
        </row>
        <row r="911">
          <cell r="Q911" t="str">
            <v>Ostatní podobná ubytovací zařízení</v>
          </cell>
        </row>
        <row r="912">
          <cell r="Q912" t="str">
            <v>Ubytování v zařízených pronájmech</v>
          </cell>
        </row>
        <row r="913">
          <cell r="Q913" t="str">
            <v>Ubytování ve vysokoškolských kolejích, domovech mládeže</v>
          </cell>
        </row>
        <row r="914">
          <cell r="Q914" t="str">
            <v>Ostatní ubytování j. n.</v>
          </cell>
        </row>
        <row r="915">
          <cell r="Q915" t="str">
            <v>Stravování v závodních kuchyních</v>
          </cell>
        </row>
        <row r="916">
          <cell r="Q916" t="str">
            <v>Stravování ve školních zařízeních, menzách</v>
          </cell>
        </row>
        <row r="917">
          <cell r="Q917" t="str">
            <v>Poskytování jiných stravovacích služeb j. n.</v>
          </cell>
        </row>
        <row r="918">
          <cell r="Q918" t="str">
            <v>Poskytování hlasových služeb přes pevnou telekomunikační síť</v>
          </cell>
        </row>
        <row r="919">
          <cell r="Q919" t="str">
            <v>Pronájem pevné telekomunikační sítě</v>
          </cell>
        </row>
        <row r="920">
          <cell r="Q920" t="str">
            <v>Přenos dat přes pevnou telekomunikační síť</v>
          </cell>
        </row>
        <row r="921">
          <cell r="Q921" t="str">
            <v>Poskytování přístupu k internetu přes pevnou telekomunikační síť</v>
          </cell>
        </row>
        <row r="922">
          <cell r="Q922" t="str">
            <v>Ostatní činnosti související s pevnou telekomunikační sítí</v>
          </cell>
        </row>
        <row r="923">
          <cell r="Q923" t="str">
            <v>Poskytování hlasových služeb přes bezdrátovou telekomunikační síť</v>
          </cell>
        </row>
        <row r="924">
          <cell r="Q924" t="str">
            <v>Pronájem bezdrátové telekomunikační sítě</v>
          </cell>
        </row>
        <row r="925">
          <cell r="Q925" t="str">
            <v>Přenos dat přes bezdrátovou telekomunikační síť</v>
          </cell>
        </row>
        <row r="926">
          <cell r="Q926" t="str">
            <v>Poskytování přístupu k internetu přes bezdrátovou telekomunikační síť</v>
          </cell>
        </row>
        <row r="927">
          <cell r="Q927" t="str">
            <v>Ostatní činnosti související s bezdrátovou telekomunikační sítí</v>
          </cell>
        </row>
        <row r="928">
          <cell r="Q928" t="str">
            <v>Poskytování úvěrů společnostmi, které nepřijímají vklady</v>
          </cell>
        </row>
        <row r="929">
          <cell r="Q929" t="str">
            <v>Poskytování obchodních úvěrů</v>
          </cell>
        </row>
        <row r="930">
          <cell r="Q930" t="str">
            <v>Činnosti zastaváren</v>
          </cell>
        </row>
        <row r="931">
          <cell r="Q931" t="str">
            <v>Ostatní poskytování úvěrů j. n.</v>
          </cell>
        </row>
        <row r="932">
          <cell r="Q932" t="str">
            <v>Faktoringové činnosti</v>
          </cell>
        </row>
        <row r="933">
          <cell r="Q933" t="str">
            <v>Obchodování s cennými papíry na vlastní účet</v>
          </cell>
        </row>
        <row r="934">
          <cell r="Q934" t="str">
            <v>Jiné finanční zprostředkování j. n.</v>
          </cell>
        </row>
        <row r="935">
          <cell r="Q935" t="str">
            <v>Pronájem vlastních nebo pronajatých nemovitostí s bytovými prostory</v>
          </cell>
        </row>
        <row r="936">
          <cell r="Q936" t="str">
            <v>Pronájem vlastních nebo pronajatých nemovitostí s nebytovými prostory</v>
          </cell>
        </row>
        <row r="937">
          <cell r="Q937" t="str">
            <v>Správa vlastních nebo pronajatých nemovitostí s bytovými prostory</v>
          </cell>
        </row>
        <row r="938">
          <cell r="Q938" t="str">
            <v>Správa vlastních nebo pronajatých nemovitostí s nebytovými prostory</v>
          </cell>
        </row>
        <row r="939">
          <cell r="Q939" t="str">
            <v>Geologický průzkum</v>
          </cell>
        </row>
        <row r="940">
          <cell r="Q940" t="str">
            <v>Zeměměřické a kartografické činnosti</v>
          </cell>
        </row>
        <row r="941">
          <cell r="Q941" t="str">
            <v>Hydrometeorologické a meteorologické činnosti</v>
          </cell>
        </row>
        <row r="942">
          <cell r="Q942" t="str">
            <v>Ostatní inženýrské činnosti a související technické poradenství j. n.</v>
          </cell>
        </row>
        <row r="943">
          <cell r="Q943" t="str">
            <v>Zkoušky a analýzy vyhrazených technických zařízení</v>
          </cell>
        </row>
        <row r="944">
          <cell r="Q944" t="str">
            <v>Ostatní technické zkouky a analýzy</v>
          </cell>
        </row>
        <row r="945">
          <cell r="Q945" t="str">
            <v>Ostatní výzkum a vývoj v oblasti přírodních a technických věd</v>
          </cell>
        </row>
        <row r="946">
          <cell r="Q946" t="str">
            <v>Výzkum a vývoj v oblasti lékařských věd</v>
          </cell>
        </row>
        <row r="947">
          <cell r="Q947" t="str">
            <v>Výzkum a vývoj v oblasti technických věd</v>
          </cell>
        </row>
        <row r="948">
          <cell r="Q948" t="str">
            <v>Výzkum a vývoj v oblasti jiných přírodních věd</v>
          </cell>
        </row>
        <row r="949">
          <cell r="Q949" t="str">
            <v>Ostatní profesní,vědecké a technické činnosti j.n.</v>
          </cell>
        </row>
        <row r="950">
          <cell r="Q950" t="str">
            <v>Poradenství v oblasti bezpečnosti a ochrany zdraví při práci</v>
          </cell>
        </row>
        <row r="951">
          <cell r="Q951" t="str">
            <v>Poradenství v oblasti požární ochrany</v>
          </cell>
        </row>
        <row r="952">
          <cell r="Q952" t="str">
            <v>Jiné profesní, vědecké a technické činnosti j. n.</v>
          </cell>
        </row>
        <row r="953">
          <cell r="Q953" t="str">
            <v>Průvodcovské činnosti</v>
          </cell>
        </row>
        <row r="954">
          <cell r="Q954" t="str">
            <v>Ostatní rezervační a související činnosti j. n.</v>
          </cell>
        </row>
        <row r="955">
          <cell r="Q955" t="str">
            <v>Pomoc cizím zemím při katastrof.nebo v nouz.sit.přímo nebo prostř.mez.org.</v>
          </cell>
        </row>
        <row r="956">
          <cell r="Q956" t="str">
            <v>Rozvíjení vzájemného přátelství a porozumění mezi národy</v>
          </cell>
        </row>
        <row r="957">
          <cell r="Q957" t="str">
            <v>Ostatní činnosti v oblasti zahraničních věcí</v>
          </cell>
        </row>
        <row r="958">
          <cell r="Q958" t="str">
            <v>Základní vzdělávání na druhém stupni základních škol</v>
          </cell>
        </row>
        <row r="959">
          <cell r="Q959" t="str">
            <v>Střední všeobecné vzdělávání</v>
          </cell>
        </row>
        <row r="960">
          <cell r="Q960" t="str">
            <v>Střední odborné vzdělávání na učilištích</v>
          </cell>
        </row>
        <row r="961">
          <cell r="Q961" t="str">
            <v>Střední odborné vzdělávání na středních odborných školách</v>
          </cell>
        </row>
        <row r="962">
          <cell r="Q962" t="str">
            <v>Činnosti autoškol</v>
          </cell>
        </row>
        <row r="963">
          <cell r="Q963" t="str">
            <v>Činnosti leteckých škol</v>
          </cell>
        </row>
        <row r="964">
          <cell r="Q964" t="str">
            <v>Činnosti ostatních škol řízení</v>
          </cell>
        </row>
        <row r="965">
          <cell r="Q965" t="str">
            <v>Vzdělávání v jazykových školách</v>
          </cell>
        </row>
        <row r="966">
          <cell r="Q966" t="str">
            <v>Environmentální vzdělávání</v>
          </cell>
        </row>
        <row r="967">
          <cell r="Q967" t="str">
            <v>Inovační vzdělávání</v>
          </cell>
        </row>
        <row r="968">
          <cell r="Q968" t="str">
            <v>Jiné vzdělávání j. n.</v>
          </cell>
        </row>
        <row r="969">
          <cell r="Q969" t="str">
            <v>Činnosti související s ochranou veřejného zdraví</v>
          </cell>
        </row>
        <row r="970">
          <cell r="Q970" t="str">
            <v>Ostatní činnosti související se zdravotní péčí j. n.</v>
          </cell>
        </row>
        <row r="971">
          <cell r="Q971" t="str">
            <v>Sociální péče v zařízeních pro osoby s chronickým duševním onemocněním</v>
          </cell>
        </row>
        <row r="972">
          <cell r="Q972" t="str">
            <v>Sociální péče v zařízeních pro osoby závislé na návykových látkách</v>
          </cell>
        </row>
        <row r="973">
          <cell r="Q973" t="str">
            <v>Sociální péče v domovech pro seniory</v>
          </cell>
        </row>
        <row r="974">
          <cell r="Q974" t="str">
            <v>Sociální péče v domovech pro osoby se zdravotním postižením</v>
          </cell>
        </row>
        <row r="975">
          <cell r="Q975" t="str">
            <v>Mimoústavní sociální péče o seniory a zdravotně postižené osoby</v>
          </cell>
        </row>
        <row r="976">
          <cell r="Q976" t="str">
            <v>Ambulantní nebo terénní sociální služby pro seniory</v>
          </cell>
        </row>
        <row r="977">
          <cell r="Q977" t="str">
            <v>Ambulantní nebo terénní sociální služby pro osoby se zdrav.postižením</v>
          </cell>
        </row>
        <row r="978">
          <cell r="Q978" t="str">
            <v>Sociální služby pro uprchlíky, oběti katastrof</v>
          </cell>
        </row>
        <row r="979">
          <cell r="Q979" t="str">
            <v>Sociální prevence</v>
          </cell>
        </row>
        <row r="980">
          <cell r="Q980" t="str">
            <v>Sociální rehabilitace</v>
          </cell>
        </row>
        <row r="981">
          <cell r="Q981" t="str">
            <v>Jiné ambulantní nebo terénní sociální služby j. n.</v>
          </cell>
        </row>
        <row r="982">
          <cell r="Q982" t="str">
            <v>Činnosti botanických a zoologických zahrad,přírod.rezervací a národ.parků</v>
          </cell>
        </row>
        <row r="983">
          <cell r="Q983" t="str">
            <v>Činnosti botanických a zoologických zahrad</v>
          </cell>
        </row>
        <row r="984">
          <cell r="Q984" t="str">
            <v>Činnosti přírodních rezervací a národních parků</v>
          </cell>
        </row>
        <row r="985">
          <cell r="Q985" t="str">
            <v>Činnosti organizací dětí a mládeže</v>
          </cell>
        </row>
        <row r="986">
          <cell r="Q986" t="str">
            <v>Činnosti organizací na podporu kulturní činnosti</v>
          </cell>
        </row>
        <row r="987">
          <cell r="Q987" t="str">
            <v>Činnosti organizací na podporu rekreační a zájmové činnosti</v>
          </cell>
        </row>
        <row r="988">
          <cell r="Q988" t="str">
            <v>Činnosti spotřebitelských organizací</v>
          </cell>
        </row>
        <row r="989">
          <cell r="Q989" t="str">
            <v>Činnosti environmentálních a ekologických hnutí</v>
          </cell>
        </row>
        <row r="990">
          <cell r="Q990" t="str">
            <v>Čin.org.na ochranu a zlepšení postavení etnických,menšin.a jiných spec.sk.</v>
          </cell>
        </row>
        <row r="991">
          <cell r="Q991" t="str">
            <v>Činnosti občanských iniciativ, protestních hnutí</v>
          </cell>
        </row>
        <row r="992">
          <cell r="Q992" t="str">
            <v>Činnosti ostatních organizací j. n.</v>
          </cell>
        </row>
        <row r="993">
          <cell r="Q993">
            <v>0</v>
          </cell>
        </row>
        <row r="994">
          <cell r="Q994">
            <v>0</v>
          </cell>
        </row>
        <row r="995">
          <cell r="Q995">
            <v>0</v>
          </cell>
        </row>
        <row r="996">
          <cell r="Q996">
            <v>0</v>
          </cell>
        </row>
        <row r="997">
          <cell r="Q997">
            <v>0</v>
          </cell>
        </row>
        <row r="998">
          <cell r="Q998">
            <v>0</v>
          </cell>
        </row>
        <row r="999">
          <cell r="Q999">
            <v>0</v>
          </cell>
        </row>
        <row r="1000">
          <cell r="Q1000">
            <v>0</v>
          </cell>
        </row>
        <row r="1001">
          <cell r="Q1001">
            <v>0</v>
          </cell>
        </row>
        <row r="1002">
          <cell r="Q1002">
            <v>0</v>
          </cell>
        </row>
        <row r="1003">
          <cell r="Q1003">
            <v>0</v>
          </cell>
        </row>
        <row r="1004">
          <cell r="Q1004">
            <v>0</v>
          </cell>
        </row>
        <row r="1005">
          <cell r="Q1005">
            <v>0</v>
          </cell>
        </row>
        <row r="1006">
          <cell r="Q1006">
            <v>0</v>
          </cell>
        </row>
        <row r="1007">
          <cell r="Q1007">
            <v>0</v>
          </cell>
        </row>
        <row r="1008">
          <cell r="Q1008">
            <v>0</v>
          </cell>
        </row>
        <row r="1009">
          <cell r="Q1009">
            <v>0</v>
          </cell>
        </row>
        <row r="1010">
          <cell r="Q1010">
            <v>0</v>
          </cell>
        </row>
        <row r="1011">
          <cell r="Q1011">
            <v>0</v>
          </cell>
        </row>
        <row r="1012">
          <cell r="Q1012">
            <v>0</v>
          </cell>
        </row>
        <row r="1013">
          <cell r="Q1013">
            <v>0</v>
          </cell>
        </row>
        <row r="1014">
          <cell r="Q1014">
            <v>0</v>
          </cell>
        </row>
        <row r="1015">
          <cell r="Q1015">
            <v>0</v>
          </cell>
        </row>
        <row r="1016">
          <cell r="Q1016">
            <v>0</v>
          </cell>
        </row>
        <row r="1017">
          <cell r="Q1017">
            <v>0</v>
          </cell>
        </row>
        <row r="1018">
          <cell r="Q1018">
            <v>0</v>
          </cell>
        </row>
        <row r="1019">
          <cell r="Q1019">
            <v>0</v>
          </cell>
        </row>
        <row r="1020">
          <cell r="Q1020">
            <v>0</v>
          </cell>
        </row>
        <row r="1021">
          <cell r="Q1021">
            <v>0</v>
          </cell>
        </row>
        <row r="1022">
          <cell r="Q1022">
            <v>0</v>
          </cell>
        </row>
        <row r="1023">
          <cell r="Q1023">
            <v>0</v>
          </cell>
        </row>
        <row r="1024">
          <cell r="Q1024">
            <v>0</v>
          </cell>
        </row>
        <row r="1025">
          <cell r="Q1025">
            <v>0</v>
          </cell>
        </row>
        <row r="1026">
          <cell r="Q1026">
            <v>0</v>
          </cell>
        </row>
        <row r="1027">
          <cell r="Q1027">
            <v>0</v>
          </cell>
        </row>
        <row r="1028">
          <cell r="Q1028">
            <v>0</v>
          </cell>
        </row>
        <row r="1029">
          <cell r="Q1029">
            <v>0</v>
          </cell>
        </row>
        <row r="1030">
          <cell r="Q1030">
            <v>0</v>
          </cell>
        </row>
        <row r="1031">
          <cell r="Q1031">
            <v>0</v>
          </cell>
        </row>
        <row r="1032">
          <cell r="Q1032">
            <v>0</v>
          </cell>
        </row>
        <row r="1033">
          <cell r="Q1033">
            <v>0</v>
          </cell>
        </row>
        <row r="1034">
          <cell r="Q1034">
            <v>0</v>
          </cell>
        </row>
        <row r="1035">
          <cell r="Q1035">
            <v>0</v>
          </cell>
        </row>
        <row r="1036">
          <cell r="Q1036">
            <v>0</v>
          </cell>
        </row>
        <row r="1037">
          <cell r="Q1037">
            <v>0</v>
          </cell>
        </row>
        <row r="1038">
          <cell r="Q1038">
            <v>0</v>
          </cell>
        </row>
        <row r="1039">
          <cell r="Q1039">
            <v>0</v>
          </cell>
        </row>
        <row r="1040">
          <cell r="Q1040">
            <v>0</v>
          </cell>
        </row>
        <row r="1041">
          <cell r="Q1041">
            <v>0</v>
          </cell>
        </row>
        <row r="1042">
          <cell r="Q1042">
            <v>0</v>
          </cell>
        </row>
        <row r="1043">
          <cell r="Q1043">
            <v>0</v>
          </cell>
        </row>
        <row r="1044">
          <cell r="Q1044">
            <v>0</v>
          </cell>
        </row>
        <row r="1045">
          <cell r="Q1045">
            <v>0</v>
          </cell>
        </row>
        <row r="1046">
          <cell r="Q1046">
            <v>0</v>
          </cell>
        </row>
        <row r="1047">
          <cell r="Q1047">
            <v>0</v>
          </cell>
        </row>
        <row r="1048">
          <cell r="Q1048">
            <v>0</v>
          </cell>
        </row>
        <row r="1049">
          <cell r="Q1049">
            <v>0</v>
          </cell>
        </row>
        <row r="1050">
          <cell r="Q1050">
            <v>0</v>
          </cell>
        </row>
        <row r="1051">
          <cell r="Q1051">
            <v>0</v>
          </cell>
        </row>
        <row r="1052">
          <cell r="Q1052">
            <v>0</v>
          </cell>
        </row>
        <row r="1053">
          <cell r="Q1053">
            <v>0</v>
          </cell>
        </row>
        <row r="1054">
          <cell r="Q1054">
            <v>0</v>
          </cell>
        </row>
        <row r="1055">
          <cell r="Q1055">
            <v>0</v>
          </cell>
        </row>
        <row r="1056">
          <cell r="Q1056">
            <v>0</v>
          </cell>
        </row>
        <row r="1057">
          <cell r="Q1057">
            <v>0</v>
          </cell>
        </row>
        <row r="1058">
          <cell r="Q1058">
            <v>0</v>
          </cell>
        </row>
        <row r="1059">
          <cell r="Q1059">
            <v>0</v>
          </cell>
        </row>
        <row r="1060">
          <cell r="Q1060">
            <v>0</v>
          </cell>
        </row>
        <row r="1061">
          <cell r="Q1061">
            <v>0</v>
          </cell>
        </row>
        <row r="1062">
          <cell r="Q1062">
            <v>0</v>
          </cell>
        </row>
        <row r="1063">
          <cell r="Q1063">
            <v>0</v>
          </cell>
        </row>
        <row r="1064">
          <cell r="Q1064">
            <v>0</v>
          </cell>
        </row>
        <row r="1065">
          <cell r="Q1065">
            <v>0</v>
          </cell>
        </row>
        <row r="1066">
          <cell r="Q1066">
            <v>0</v>
          </cell>
        </row>
        <row r="1067">
          <cell r="Q1067">
            <v>0</v>
          </cell>
        </row>
        <row r="1068">
          <cell r="Q1068">
            <v>0</v>
          </cell>
        </row>
        <row r="1069">
          <cell r="Q1069">
            <v>0</v>
          </cell>
        </row>
        <row r="1070">
          <cell r="Q1070">
            <v>0</v>
          </cell>
        </row>
        <row r="1071">
          <cell r="Q1071">
            <v>0</v>
          </cell>
        </row>
        <row r="1072">
          <cell r="Q1072">
            <v>0</v>
          </cell>
        </row>
        <row r="1073">
          <cell r="Q1073">
            <v>0</v>
          </cell>
        </row>
        <row r="1074">
          <cell r="Q1074">
            <v>0</v>
          </cell>
        </row>
        <row r="1075">
          <cell r="Q1075">
            <v>0</v>
          </cell>
        </row>
        <row r="1076">
          <cell r="Q1076">
            <v>0</v>
          </cell>
        </row>
        <row r="1077">
          <cell r="Q1077">
            <v>0</v>
          </cell>
        </row>
        <row r="1078">
          <cell r="Q1078">
            <v>0</v>
          </cell>
        </row>
        <row r="1079">
          <cell r="Q1079">
            <v>0</v>
          </cell>
        </row>
        <row r="1080">
          <cell r="Q1080">
            <v>0</v>
          </cell>
        </row>
        <row r="1081">
          <cell r="Q1081">
            <v>0</v>
          </cell>
        </row>
        <row r="1082">
          <cell r="Q1082">
            <v>0</v>
          </cell>
        </row>
        <row r="1083">
          <cell r="Q1083">
            <v>0</v>
          </cell>
        </row>
        <row r="1084">
          <cell r="Q1084">
            <v>0</v>
          </cell>
        </row>
        <row r="1085">
          <cell r="Q1085">
            <v>0</v>
          </cell>
        </row>
        <row r="1086">
          <cell r="Q1086">
            <v>0</v>
          </cell>
        </row>
        <row r="1087">
          <cell r="Q1087">
            <v>0</v>
          </cell>
        </row>
        <row r="1088">
          <cell r="Q1088">
            <v>0</v>
          </cell>
        </row>
        <row r="1089">
          <cell r="Q1089">
            <v>0</v>
          </cell>
        </row>
        <row r="1090">
          <cell r="Q1090">
            <v>0</v>
          </cell>
        </row>
        <row r="1091">
          <cell r="Q1091">
            <v>0</v>
          </cell>
        </row>
        <row r="1092">
          <cell r="Q1092">
            <v>0</v>
          </cell>
        </row>
        <row r="1093">
          <cell r="Q1093">
            <v>0</v>
          </cell>
        </row>
        <row r="1094">
          <cell r="Q1094">
            <v>0</v>
          </cell>
        </row>
        <row r="1095">
          <cell r="Q1095">
            <v>0</v>
          </cell>
        </row>
        <row r="1096">
          <cell r="Q1096">
            <v>0</v>
          </cell>
        </row>
        <row r="1097">
          <cell r="Q1097">
            <v>0</v>
          </cell>
        </row>
        <row r="1098">
          <cell r="Q1098">
            <v>0</v>
          </cell>
        </row>
        <row r="1099">
          <cell r="Q1099">
            <v>0</v>
          </cell>
        </row>
        <row r="1100">
          <cell r="Q1100">
            <v>0</v>
          </cell>
        </row>
        <row r="1101">
          <cell r="Q1101">
            <v>0</v>
          </cell>
        </row>
        <row r="1102">
          <cell r="Q1102">
            <v>0</v>
          </cell>
        </row>
        <row r="1103">
          <cell r="Q1103">
            <v>0</v>
          </cell>
        </row>
        <row r="1104">
          <cell r="Q1104">
            <v>0</v>
          </cell>
        </row>
        <row r="1105">
          <cell r="Q1105">
            <v>0</v>
          </cell>
        </row>
        <row r="1106">
          <cell r="Q1106">
            <v>0</v>
          </cell>
        </row>
        <row r="1107">
          <cell r="Q1107">
            <v>0</v>
          </cell>
        </row>
        <row r="1108">
          <cell r="Q1108">
            <v>0</v>
          </cell>
        </row>
        <row r="1109">
          <cell r="Q1109">
            <v>0</v>
          </cell>
        </row>
        <row r="1110">
          <cell r="Q1110">
            <v>0</v>
          </cell>
        </row>
        <row r="1111">
          <cell r="Q1111">
            <v>0</v>
          </cell>
        </row>
        <row r="1112">
          <cell r="Q1112">
            <v>0</v>
          </cell>
        </row>
        <row r="1113">
          <cell r="Q1113">
            <v>0</v>
          </cell>
        </row>
        <row r="1114">
          <cell r="Q1114">
            <v>0</v>
          </cell>
        </row>
        <row r="1115">
          <cell r="Q1115">
            <v>0</v>
          </cell>
        </row>
        <row r="1116">
          <cell r="Q1116">
            <v>0</v>
          </cell>
        </row>
        <row r="1117">
          <cell r="Q1117">
            <v>0</v>
          </cell>
        </row>
        <row r="1118">
          <cell r="Q1118">
            <v>0</v>
          </cell>
        </row>
        <row r="1119">
          <cell r="Q1119">
            <v>0</v>
          </cell>
        </row>
        <row r="1120">
          <cell r="Q1120">
            <v>0</v>
          </cell>
        </row>
        <row r="1121">
          <cell r="Q1121">
            <v>0</v>
          </cell>
        </row>
        <row r="1122">
          <cell r="Q1122">
            <v>0</v>
          </cell>
        </row>
        <row r="1123">
          <cell r="Q1123">
            <v>0</v>
          </cell>
        </row>
        <row r="1124">
          <cell r="Q1124">
            <v>0</v>
          </cell>
        </row>
        <row r="1125">
          <cell r="Q1125">
            <v>0</v>
          </cell>
        </row>
        <row r="1126">
          <cell r="Q1126">
            <v>0</v>
          </cell>
        </row>
        <row r="1127">
          <cell r="Q1127">
            <v>0</v>
          </cell>
        </row>
        <row r="1128">
          <cell r="Q1128">
            <v>0</v>
          </cell>
        </row>
        <row r="1129">
          <cell r="Q1129">
            <v>0</v>
          </cell>
        </row>
        <row r="1130">
          <cell r="Q1130">
            <v>0</v>
          </cell>
        </row>
        <row r="1131">
          <cell r="Q1131">
            <v>0</v>
          </cell>
        </row>
        <row r="1132">
          <cell r="Q1132">
            <v>0</v>
          </cell>
        </row>
        <row r="1133">
          <cell r="Q1133">
            <v>0</v>
          </cell>
        </row>
        <row r="1134">
          <cell r="Q1134">
            <v>0</v>
          </cell>
        </row>
        <row r="1135">
          <cell r="Q1135">
            <v>0</v>
          </cell>
        </row>
        <row r="1136">
          <cell r="Q1136">
            <v>0</v>
          </cell>
        </row>
        <row r="1137">
          <cell r="Q1137">
            <v>0</v>
          </cell>
        </row>
        <row r="1138">
          <cell r="Q1138">
            <v>0</v>
          </cell>
        </row>
        <row r="1139">
          <cell r="Q1139">
            <v>0</v>
          </cell>
        </row>
        <row r="1140">
          <cell r="Q1140">
            <v>0</v>
          </cell>
        </row>
        <row r="1141">
          <cell r="Q1141">
            <v>0</v>
          </cell>
        </row>
        <row r="1142">
          <cell r="Q1142">
            <v>0</v>
          </cell>
        </row>
        <row r="1143">
          <cell r="Q1143">
            <v>0</v>
          </cell>
        </row>
        <row r="1144">
          <cell r="Q1144">
            <v>0</v>
          </cell>
        </row>
        <row r="1145">
          <cell r="Q1145">
            <v>0</v>
          </cell>
        </row>
        <row r="1146">
          <cell r="Q1146">
            <v>0</v>
          </cell>
        </row>
        <row r="1147">
          <cell r="Q1147">
            <v>0</v>
          </cell>
        </row>
        <row r="1148">
          <cell r="Q1148">
            <v>0</v>
          </cell>
        </row>
        <row r="1149">
          <cell r="Q1149">
            <v>0</v>
          </cell>
        </row>
        <row r="1150">
          <cell r="Q1150">
            <v>0</v>
          </cell>
        </row>
        <row r="1151">
          <cell r="Q1151">
            <v>0</v>
          </cell>
        </row>
        <row r="1152">
          <cell r="Q1152">
            <v>0</v>
          </cell>
        </row>
        <row r="1153">
          <cell r="Q1153">
            <v>0</v>
          </cell>
        </row>
        <row r="1154">
          <cell r="Q1154">
            <v>0</v>
          </cell>
        </row>
        <row r="1155">
          <cell r="Q1155">
            <v>0</v>
          </cell>
        </row>
        <row r="1156">
          <cell r="Q1156">
            <v>0</v>
          </cell>
        </row>
        <row r="1157">
          <cell r="Q1157">
            <v>0</v>
          </cell>
        </row>
        <row r="1158">
          <cell r="Q1158">
            <v>0</v>
          </cell>
        </row>
        <row r="1159">
          <cell r="Q1159">
            <v>0</v>
          </cell>
        </row>
        <row r="1160">
          <cell r="Q1160">
            <v>0</v>
          </cell>
        </row>
        <row r="1161">
          <cell r="Q1161">
            <v>0</v>
          </cell>
        </row>
        <row r="1162">
          <cell r="Q1162">
            <v>0</v>
          </cell>
        </row>
        <row r="1163">
          <cell r="Q1163">
            <v>0</v>
          </cell>
        </row>
        <row r="1164">
          <cell r="Q1164">
            <v>0</v>
          </cell>
        </row>
        <row r="1165">
          <cell r="Q1165">
            <v>0</v>
          </cell>
        </row>
        <row r="1166">
          <cell r="Q1166">
            <v>0</v>
          </cell>
        </row>
        <row r="1167">
          <cell r="Q1167">
            <v>0</v>
          </cell>
        </row>
        <row r="1168">
          <cell r="Q1168">
            <v>0</v>
          </cell>
        </row>
        <row r="1169">
          <cell r="Q1169">
            <v>0</v>
          </cell>
        </row>
        <row r="1170">
          <cell r="Q1170">
            <v>0</v>
          </cell>
        </row>
        <row r="1171">
          <cell r="Q1171">
            <v>0</v>
          </cell>
        </row>
        <row r="1172">
          <cell r="Q1172">
            <v>0</v>
          </cell>
        </row>
        <row r="1173">
          <cell r="Q1173">
            <v>0</v>
          </cell>
        </row>
        <row r="1174">
          <cell r="Q1174">
            <v>0</v>
          </cell>
        </row>
        <row r="1175">
          <cell r="Q1175">
            <v>0</v>
          </cell>
        </row>
        <row r="1176">
          <cell r="Q1176">
            <v>0</v>
          </cell>
        </row>
        <row r="1177">
          <cell r="Q1177">
            <v>0</v>
          </cell>
        </row>
        <row r="1178">
          <cell r="Q1178">
            <v>0</v>
          </cell>
        </row>
        <row r="1179">
          <cell r="Q1179">
            <v>0</v>
          </cell>
        </row>
        <row r="1180">
          <cell r="Q1180">
            <v>0</v>
          </cell>
        </row>
        <row r="1181">
          <cell r="Q1181">
            <v>0</v>
          </cell>
        </row>
        <row r="1182">
          <cell r="Q1182">
            <v>0</v>
          </cell>
        </row>
        <row r="1183">
          <cell r="Q1183">
            <v>0</v>
          </cell>
        </row>
        <row r="1184">
          <cell r="Q1184">
            <v>0</v>
          </cell>
        </row>
        <row r="1185">
          <cell r="Q1185">
            <v>0</v>
          </cell>
        </row>
        <row r="1186">
          <cell r="Q1186">
            <v>0</v>
          </cell>
        </row>
        <row r="1187">
          <cell r="Q1187">
            <v>0</v>
          </cell>
        </row>
        <row r="1188">
          <cell r="Q1188">
            <v>0</v>
          </cell>
        </row>
        <row r="1189">
          <cell r="Q1189">
            <v>0</v>
          </cell>
        </row>
        <row r="1190">
          <cell r="Q1190">
            <v>0</v>
          </cell>
        </row>
        <row r="1191">
          <cell r="Q1191">
            <v>0</v>
          </cell>
        </row>
        <row r="1192">
          <cell r="Q1192">
            <v>0</v>
          </cell>
        </row>
        <row r="1193">
          <cell r="Q1193">
            <v>0</v>
          </cell>
        </row>
        <row r="1194">
          <cell r="Q1194">
            <v>0</v>
          </cell>
        </row>
        <row r="1195">
          <cell r="Q1195">
            <v>0</v>
          </cell>
        </row>
        <row r="1196">
          <cell r="Q1196">
            <v>0</v>
          </cell>
        </row>
        <row r="1197">
          <cell r="Q1197">
            <v>0</v>
          </cell>
        </row>
        <row r="1198">
          <cell r="Q1198">
            <v>0</v>
          </cell>
        </row>
        <row r="1199">
          <cell r="Q1199">
            <v>0</v>
          </cell>
        </row>
        <row r="1200">
          <cell r="Q1200">
            <v>0</v>
          </cell>
        </row>
        <row r="1201">
          <cell r="Q1201">
            <v>0</v>
          </cell>
        </row>
        <row r="1202">
          <cell r="Q1202">
            <v>0</v>
          </cell>
        </row>
        <row r="1203">
          <cell r="Q1203">
            <v>0</v>
          </cell>
        </row>
        <row r="1204">
          <cell r="Q1204">
            <v>0</v>
          </cell>
        </row>
        <row r="1205">
          <cell r="Q1205">
            <v>0</v>
          </cell>
        </row>
        <row r="1206">
          <cell r="Q1206">
            <v>0</v>
          </cell>
        </row>
        <row r="1207">
          <cell r="Q1207">
            <v>0</v>
          </cell>
        </row>
        <row r="1208">
          <cell r="Q1208">
            <v>0</v>
          </cell>
        </row>
        <row r="1209">
          <cell r="Q1209">
            <v>0</v>
          </cell>
        </row>
        <row r="1210">
          <cell r="Q1210">
            <v>0</v>
          </cell>
        </row>
        <row r="1211">
          <cell r="Q1211">
            <v>0</v>
          </cell>
        </row>
        <row r="1212">
          <cell r="Q1212">
            <v>0</v>
          </cell>
        </row>
        <row r="1213">
          <cell r="Q1213">
            <v>0</v>
          </cell>
        </row>
        <row r="1214">
          <cell r="Q1214">
            <v>0</v>
          </cell>
        </row>
        <row r="1215">
          <cell r="Q1215">
            <v>0</v>
          </cell>
        </row>
        <row r="1216">
          <cell r="Q1216">
            <v>0</v>
          </cell>
        </row>
        <row r="1217">
          <cell r="Q1217">
            <v>0</v>
          </cell>
        </row>
        <row r="1218">
          <cell r="Q1218">
            <v>0</v>
          </cell>
        </row>
        <row r="1219">
          <cell r="Q1219">
            <v>0</v>
          </cell>
        </row>
        <row r="1220">
          <cell r="Q1220">
            <v>0</v>
          </cell>
        </row>
        <row r="1221">
          <cell r="Q1221">
            <v>0</v>
          </cell>
        </row>
        <row r="1222">
          <cell r="Q1222">
            <v>0</v>
          </cell>
        </row>
        <row r="1223">
          <cell r="Q1223">
            <v>0</v>
          </cell>
        </row>
        <row r="1224">
          <cell r="Q1224">
            <v>0</v>
          </cell>
        </row>
        <row r="1225">
          <cell r="Q1225">
            <v>0</v>
          </cell>
        </row>
        <row r="1226">
          <cell r="Q1226">
            <v>0</v>
          </cell>
        </row>
        <row r="1227">
          <cell r="Q1227">
            <v>0</v>
          </cell>
        </row>
        <row r="1228">
          <cell r="Q1228">
            <v>0</v>
          </cell>
        </row>
        <row r="1229">
          <cell r="Q1229">
            <v>0</v>
          </cell>
        </row>
        <row r="1230">
          <cell r="Q1230">
            <v>0</v>
          </cell>
        </row>
        <row r="1231">
          <cell r="Q1231">
            <v>0</v>
          </cell>
        </row>
        <row r="1232">
          <cell r="Q1232">
            <v>0</v>
          </cell>
        </row>
        <row r="1233">
          <cell r="Q1233">
            <v>0</v>
          </cell>
        </row>
        <row r="1234">
          <cell r="Q1234">
            <v>0</v>
          </cell>
        </row>
        <row r="1235">
          <cell r="Q1235">
            <v>0</v>
          </cell>
        </row>
        <row r="1236">
          <cell r="Q1236">
            <v>0</v>
          </cell>
        </row>
        <row r="1237">
          <cell r="Q1237">
            <v>0</v>
          </cell>
        </row>
        <row r="1238">
          <cell r="Q1238">
            <v>0</v>
          </cell>
        </row>
        <row r="1239">
          <cell r="Q1239">
            <v>0</v>
          </cell>
        </row>
        <row r="1240">
          <cell r="Q1240">
            <v>0</v>
          </cell>
        </row>
        <row r="1241">
          <cell r="Q1241">
            <v>0</v>
          </cell>
        </row>
        <row r="1242">
          <cell r="Q1242">
            <v>0</v>
          </cell>
        </row>
        <row r="1243">
          <cell r="Q1243">
            <v>0</v>
          </cell>
        </row>
        <row r="1244">
          <cell r="Q1244">
            <v>0</v>
          </cell>
        </row>
        <row r="1245">
          <cell r="Q1245">
            <v>0</v>
          </cell>
        </row>
        <row r="1246">
          <cell r="Q1246">
            <v>0</v>
          </cell>
        </row>
        <row r="1247">
          <cell r="Q1247">
            <v>0</v>
          </cell>
        </row>
        <row r="1248">
          <cell r="Q1248">
            <v>0</v>
          </cell>
        </row>
        <row r="1249">
          <cell r="Q1249">
            <v>0</v>
          </cell>
        </row>
        <row r="1250">
          <cell r="Q1250">
            <v>0</v>
          </cell>
        </row>
        <row r="1251">
          <cell r="Q1251">
            <v>0</v>
          </cell>
        </row>
        <row r="1252">
          <cell r="Q1252">
            <v>0</v>
          </cell>
        </row>
        <row r="1253">
          <cell r="Q1253">
            <v>0</v>
          </cell>
        </row>
        <row r="1254">
          <cell r="Q1254">
            <v>0</v>
          </cell>
        </row>
        <row r="1255">
          <cell r="Q1255">
            <v>0</v>
          </cell>
        </row>
        <row r="1256">
          <cell r="Q1256">
            <v>0</v>
          </cell>
        </row>
        <row r="1257">
          <cell r="Q1257">
            <v>0</v>
          </cell>
        </row>
        <row r="1258">
          <cell r="Q1258">
            <v>0</v>
          </cell>
        </row>
        <row r="1259">
          <cell r="Q1259">
            <v>0</v>
          </cell>
        </row>
        <row r="1260">
          <cell r="Q1260">
            <v>0</v>
          </cell>
        </row>
        <row r="1261">
          <cell r="Q1261">
            <v>0</v>
          </cell>
        </row>
        <row r="1262">
          <cell r="Q1262">
            <v>0</v>
          </cell>
        </row>
        <row r="1263">
          <cell r="Q1263">
            <v>0</v>
          </cell>
        </row>
        <row r="1264">
          <cell r="Q1264">
            <v>0</v>
          </cell>
        </row>
        <row r="1265">
          <cell r="Q1265">
            <v>0</v>
          </cell>
        </row>
        <row r="1266">
          <cell r="Q1266">
            <v>0</v>
          </cell>
        </row>
        <row r="1267">
          <cell r="Q1267">
            <v>0</v>
          </cell>
        </row>
        <row r="1268">
          <cell r="Q1268">
            <v>0</v>
          </cell>
        </row>
        <row r="1269">
          <cell r="Q1269">
            <v>0</v>
          </cell>
        </row>
        <row r="1270">
          <cell r="Q1270">
            <v>0</v>
          </cell>
        </row>
        <row r="1271">
          <cell r="Q1271">
            <v>0</v>
          </cell>
        </row>
        <row r="1272">
          <cell r="Q1272">
            <v>0</v>
          </cell>
        </row>
        <row r="1273">
          <cell r="Q1273">
            <v>0</v>
          </cell>
        </row>
        <row r="1274">
          <cell r="Q1274">
            <v>0</v>
          </cell>
        </row>
        <row r="1275">
          <cell r="Q1275">
            <v>0</v>
          </cell>
        </row>
        <row r="1276">
          <cell r="Q1276">
            <v>0</v>
          </cell>
        </row>
        <row r="1277">
          <cell r="Q1277">
            <v>0</v>
          </cell>
        </row>
        <row r="1278">
          <cell r="Q1278">
            <v>0</v>
          </cell>
        </row>
        <row r="1279">
          <cell r="Q1279">
            <v>0</v>
          </cell>
        </row>
        <row r="1280">
          <cell r="Q1280">
            <v>0</v>
          </cell>
        </row>
        <row r="1281">
          <cell r="Q1281">
            <v>0</v>
          </cell>
        </row>
        <row r="1282">
          <cell r="Q1282">
            <v>0</v>
          </cell>
        </row>
        <row r="1283">
          <cell r="Q1283">
            <v>0</v>
          </cell>
        </row>
        <row r="1284">
          <cell r="Q1284">
            <v>0</v>
          </cell>
        </row>
        <row r="1285">
          <cell r="Q1285">
            <v>0</v>
          </cell>
        </row>
        <row r="1286">
          <cell r="Q1286">
            <v>0</v>
          </cell>
        </row>
        <row r="1287">
          <cell r="Q1287">
            <v>0</v>
          </cell>
        </row>
        <row r="1288">
          <cell r="Q1288">
            <v>0</v>
          </cell>
        </row>
        <row r="1289">
          <cell r="Q1289">
            <v>0</v>
          </cell>
        </row>
        <row r="1290">
          <cell r="Q1290">
            <v>0</v>
          </cell>
        </row>
        <row r="1291">
          <cell r="Q1291">
            <v>0</v>
          </cell>
        </row>
        <row r="1292">
          <cell r="Q1292">
            <v>0</v>
          </cell>
        </row>
        <row r="1293">
          <cell r="Q1293">
            <v>0</v>
          </cell>
        </row>
        <row r="1294">
          <cell r="Q1294">
            <v>0</v>
          </cell>
        </row>
        <row r="1295">
          <cell r="Q1295">
            <v>0</v>
          </cell>
        </row>
        <row r="1296">
          <cell r="Q1296">
            <v>0</v>
          </cell>
        </row>
        <row r="1297">
          <cell r="Q1297">
            <v>0</v>
          </cell>
        </row>
        <row r="1298">
          <cell r="Q1298">
            <v>0</v>
          </cell>
        </row>
        <row r="1299">
          <cell r="Q1299">
            <v>0</v>
          </cell>
        </row>
        <row r="1300">
          <cell r="Q1300">
            <v>0</v>
          </cell>
        </row>
        <row r="1301">
          <cell r="Q1301">
            <v>0</v>
          </cell>
        </row>
        <row r="1302">
          <cell r="Q1302">
            <v>0</v>
          </cell>
        </row>
        <row r="1303">
          <cell r="Q1303">
            <v>0</v>
          </cell>
        </row>
        <row r="1304">
          <cell r="Q1304">
            <v>0</v>
          </cell>
        </row>
        <row r="1305">
          <cell r="Q1305">
            <v>0</v>
          </cell>
        </row>
        <row r="1306">
          <cell r="Q1306">
            <v>0</v>
          </cell>
        </row>
        <row r="1307">
          <cell r="Q1307">
            <v>0</v>
          </cell>
        </row>
        <row r="1308">
          <cell r="Q1308">
            <v>0</v>
          </cell>
        </row>
        <row r="1309">
          <cell r="Q1309">
            <v>0</v>
          </cell>
        </row>
        <row r="1310">
          <cell r="Q1310">
            <v>0</v>
          </cell>
        </row>
        <row r="1311">
          <cell r="Q1311">
            <v>0</v>
          </cell>
        </row>
        <row r="1312">
          <cell r="Q1312">
            <v>0</v>
          </cell>
        </row>
        <row r="1313">
          <cell r="Q1313">
            <v>0</v>
          </cell>
        </row>
        <row r="1314">
          <cell r="Q1314">
            <v>0</v>
          </cell>
        </row>
        <row r="1315">
          <cell r="Q1315">
            <v>0</v>
          </cell>
        </row>
        <row r="1316">
          <cell r="Q1316">
            <v>0</v>
          </cell>
        </row>
        <row r="1317">
          <cell r="Q1317">
            <v>0</v>
          </cell>
        </row>
        <row r="1318">
          <cell r="Q1318">
            <v>0</v>
          </cell>
        </row>
        <row r="1319">
          <cell r="Q1319">
            <v>0</v>
          </cell>
        </row>
        <row r="1320">
          <cell r="Q1320">
            <v>0</v>
          </cell>
        </row>
        <row r="1321">
          <cell r="Q1321">
            <v>0</v>
          </cell>
        </row>
        <row r="1322">
          <cell r="Q1322">
            <v>0</v>
          </cell>
        </row>
        <row r="1323">
          <cell r="Q1323">
            <v>0</v>
          </cell>
        </row>
        <row r="1324">
          <cell r="Q1324">
            <v>0</v>
          </cell>
        </row>
        <row r="1325">
          <cell r="Q1325">
            <v>0</v>
          </cell>
        </row>
        <row r="1326">
          <cell r="Q1326">
            <v>0</v>
          </cell>
        </row>
        <row r="1327">
          <cell r="Q1327">
            <v>0</v>
          </cell>
        </row>
        <row r="1328">
          <cell r="Q1328">
            <v>0</v>
          </cell>
        </row>
        <row r="1329">
          <cell r="Q1329">
            <v>0</v>
          </cell>
        </row>
        <row r="1330">
          <cell r="Q1330">
            <v>0</v>
          </cell>
        </row>
        <row r="1331">
          <cell r="Q1331">
            <v>0</v>
          </cell>
        </row>
        <row r="1332">
          <cell r="Q1332">
            <v>0</v>
          </cell>
        </row>
        <row r="1333">
          <cell r="Q1333">
            <v>0</v>
          </cell>
        </row>
        <row r="1334">
          <cell r="Q1334">
            <v>0</v>
          </cell>
        </row>
        <row r="1335">
          <cell r="Q1335">
            <v>0</v>
          </cell>
        </row>
        <row r="1336">
          <cell r="Q1336">
            <v>0</v>
          </cell>
        </row>
        <row r="1337">
          <cell r="Q1337">
            <v>0</v>
          </cell>
        </row>
        <row r="1338">
          <cell r="Q1338">
            <v>0</v>
          </cell>
        </row>
        <row r="1339">
          <cell r="Q1339">
            <v>0</v>
          </cell>
        </row>
        <row r="1340">
          <cell r="Q1340">
            <v>0</v>
          </cell>
        </row>
        <row r="1341">
          <cell r="Q1341">
            <v>0</v>
          </cell>
        </row>
        <row r="1342">
          <cell r="Q1342">
            <v>0</v>
          </cell>
        </row>
        <row r="1343">
          <cell r="Q1343">
            <v>0</v>
          </cell>
        </row>
        <row r="1344">
          <cell r="Q1344">
            <v>0</v>
          </cell>
        </row>
        <row r="1345">
          <cell r="Q1345">
            <v>0</v>
          </cell>
        </row>
        <row r="1346">
          <cell r="Q1346">
            <v>0</v>
          </cell>
        </row>
        <row r="1347">
          <cell r="Q1347">
            <v>0</v>
          </cell>
        </row>
        <row r="1348">
          <cell r="Q1348">
            <v>0</v>
          </cell>
        </row>
        <row r="1349">
          <cell r="Q1349">
            <v>0</v>
          </cell>
        </row>
        <row r="1350">
          <cell r="Q1350">
            <v>0</v>
          </cell>
        </row>
        <row r="1351">
          <cell r="Q1351">
            <v>0</v>
          </cell>
        </row>
        <row r="1352">
          <cell r="Q1352">
            <v>0</v>
          </cell>
        </row>
        <row r="1353">
          <cell r="Q1353">
            <v>0</v>
          </cell>
        </row>
        <row r="1354">
          <cell r="Q1354">
            <v>0</v>
          </cell>
        </row>
        <row r="1355">
          <cell r="Q1355">
            <v>0</v>
          </cell>
        </row>
        <row r="1356">
          <cell r="Q1356">
            <v>0</v>
          </cell>
        </row>
        <row r="1357">
          <cell r="Q1357">
            <v>0</v>
          </cell>
        </row>
        <row r="1358">
          <cell r="Q1358">
            <v>0</v>
          </cell>
        </row>
        <row r="1359">
          <cell r="Q1359">
            <v>0</v>
          </cell>
        </row>
        <row r="1360">
          <cell r="Q1360">
            <v>0</v>
          </cell>
        </row>
        <row r="1361">
          <cell r="Q1361">
            <v>0</v>
          </cell>
        </row>
        <row r="1362">
          <cell r="Q1362">
            <v>0</v>
          </cell>
        </row>
        <row r="1363">
          <cell r="Q1363">
            <v>0</v>
          </cell>
        </row>
        <row r="1364">
          <cell r="Q1364">
            <v>0</v>
          </cell>
        </row>
        <row r="1365">
          <cell r="Q1365">
            <v>0</v>
          </cell>
        </row>
        <row r="1366">
          <cell r="Q1366">
            <v>0</v>
          </cell>
        </row>
        <row r="1367">
          <cell r="Q1367">
            <v>0</v>
          </cell>
        </row>
        <row r="1368">
          <cell r="Q1368">
            <v>0</v>
          </cell>
        </row>
        <row r="1369">
          <cell r="Q1369">
            <v>0</v>
          </cell>
        </row>
        <row r="1370">
          <cell r="Q1370">
            <v>0</v>
          </cell>
        </row>
        <row r="1371">
          <cell r="Q1371">
            <v>0</v>
          </cell>
        </row>
        <row r="1372">
          <cell r="Q1372">
            <v>0</v>
          </cell>
        </row>
        <row r="1373">
          <cell r="Q1373">
            <v>0</v>
          </cell>
        </row>
        <row r="1374">
          <cell r="Q1374">
            <v>0</v>
          </cell>
        </row>
        <row r="1375">
          <cell r="Q1375">
            <v>0</v>
          </cell>
        </row>
        <row r="1376">
          <cell r="Q1376">
            <v>0</v>
          </cell>
        </row>
        <row r="1377">
          <cell r="Q1377">
            <v>0</v>
          </cell>
        </row>
        <row r="1378">
          <cell r="Q1378">
            <v>0</v>
          </cell>
        </row>
        <row r="1379">
          <cell r="Q1379">
            <v>0</v>
          </cell>
        </row>
        <row r="1380">
          <cell r="Q1380">
            <v>0</v>
          </cell>
        </row>
        <row r="1381">
          <cell r="Q1381">
            <v>0</v>
          </cell>
        </row>
        <row r="1382">
          <cell r="Q1382">
            <v>0</v>
          </cell>
        </row>
        <row r="1383">
          <cell r="Q1383">
            <v>0</v>
          </cell>
        </row>
        <row r="1384">
          <cell r="Q1384">
            <v>0</v>
          </cell>
        </row>
        <row r="1385">
          <cell r="Q1385">
            <v>0</v>
          </cell>
        </row>
        <row r="1386">
          <cell r="Q1386">
            <v>0</v>
          </cell>
        </row>
        <row r="1387">
          <cell r="Q1387">
            <v>0</v>
          </cell>
        </row>
        <row r="1388">
          <cell r="Q1388">
            <v>0</v>
          </cell>
        </row>
        <row r="1389">
          <cell r="Q1389">
            <v>0</v>
          </cell>
        </row>
        <row r="1390">
          <cell r="Q1390">
            <v>0</v>
          </cell>
        </row>
        <row r="1391">
          <cell r="Q1391">
            <v>0</v>
          </cell>
        </row>
        <row r="1392">
          <cell r="Q1392">
            <v>0</v>
          </cell>
        </row>
        <row r="1393">
          <cell r="Q1393">
            <v>0</v>
          </cell>
        </row>
        <row r="1394">
          <cell r="Q1394">
            <v>0</v>
          </cell>
        </row>
        <row r="1395">
          <cell r="Q1395">
            <v>0</v>
          </cell>
        </row>
        <row r="1396">
          <cell r="Q1396">
            <v>0</v>
          </cell>
        </row>
        <row r="1397">
          <cell r="Q1397">
            <v>0</v>
          </cell>
        </row>
        <row r="1398">
          <cell r="Q1398">
            <v>0</v>
          </cell>
        </row>
        <row r="1399">
          <cell r="Q1399">
            <v>0</v>
          </cell>
        </row>
        <row r="1400">
          <cell r="Q1400">
            <v>0</v>
          </cell>
        </row>
        <row r="1401">
          <cell r="Q1401">
            <v>0</v>
          </cell>
        </row>
        <row r="1402">
          <cell r="Q1402">
            <v>0</v>
          </cell>
        </row>
        <row r="1403">
          <cell r="Q1403">
            <v>0</v>
          </cell>
        </row>
        <row r="1404">
          <cell r="Q1404">
            <v>0</v>
          </cell>
        </row>
        <row r="1405">
          <cell r="Q1405">
            <v>0</v>
          </cell>
        </row>
        <row r="1406">
          <cell r="Q1406">
            <v>0</v>
          </cell>
        </row>
        <row r="1407">
          <cell r="Q1407">
            <v>0</v>
          </cell>
        </row>
        <row r="1408">
          <cell r="Q1408">
            <v>0</v>
          </cell>
        </row>
        <row r="1409">
          <cell r="Q1409">
            <v>0</v>
          </cell>
        </row>
        <row r="1410">
          <cell r="Q1410">
            <v>0</v>
          </cell>
        </row>
        <row r="1411">
          <cell r="Q1411">
            <v>0</v>
          </cell>
        </row>
        <row r="1412">
          <cell r="Q1412">
            <v>0</v>
          </cell>
        </row>
        <row r="1413">
          <cell r="Q1413">
            <v>0</v>
          </cell>
        </row>
        <row r="1414">
          <cell r="Q1414">
            <v>0</v>
          </cell>
        </row>
        <row r="1415">
          <cell r="Q1415">
            <v>0</v>
          </cell>
        </row>
        <row r="1416">
          <cell r="Q1416">
            <v>0</v>
          </cell>
        </row>
        <row r="1417">
          <cell r="Q1417">
            <v>0</v>
          </cell>
        </row>
        <row r="1418">
          <cell r="Q1418">
            <v>0</v>
          </cell>
        </row>
        <row r="1419">
          <cell r="Q1419">
            <v>0</v>
          </cell>
        </row>
        <row r="1420">
          <cell r="Q1420">
            <v>0</v>
          </cell>
        </row>
        <row r="1421">
          <cell r="Q1421">
            <v>0</v>
          </cell>
        </row>
        <row r="1422">
          <cell r="Q1422">
            <v>0</v>
          </cell>
        </row>
        <row r="1423">
          <cell r="Q1423">
            <v>0</v>
          </cell>
        </row>
        <row r="1424">
          <cell r="Q1424">
            <v>0</v>
          </cell>
        </row>
        <row r="1425">
          <cell r="Q1425">
            <v>0</v>
          </cell>
        </row>
        <row r="1426">
          <cell r="Q1426">
            <v>0</v>
          </cell>
        </row>
        <row r="1427">
          <cell r="Q1427">
            <v>0</v>
          </cell>
        </row>
        <row r="1428">
          <cell r="Q1428">
            <v>0</v>
          </cell>
        </row>
        <row r="1429">
          <cell r="Q1429">
            <v>0</v>
          </cell>
        </row>
        <row r="1430">
          <cell r="Q1430">
            <v>0</v>
          </cell>
        </row>
        <row r="1431">
          <cell r="Q1431">
            <v>0</v>
          </cell>
        </row>
        <row r="1432">
          <cell r="Q1432">
            <v>0</v>
          </cell>
        </row>
        <row r="1433">
          <cell r="Q1433">
            <v>0</v>
          </cell>
        </row>
        <row r="1434">
          <cell r="Q1434">
            <v>0</v>
          </cell>
        </row>
        <row r="1435">
          <cell r="Q1435">
            <v>0</v>
          </cell>
        </row>
        <row r="1436">
          <cell r="Q1436">
            <v>0</v>
          </cell>
        </row>
        <row r="1437">
          <cell r="Q1437">
            <v>0</v>
          </cell>
        </row>
        <row r="1438">
          <cell r="Q1438">
            <v>0</v>
          </cell>
        </row>
        <row r="1439">
          <cell r="Q1439">
            <v>0</v>
          </cell>
        </row>
        <row r="1440">
          <cell r="Q1440">
            <v>0</v>
          </cell>
        </row>
        <row r="1441">
          <cell r="Q1441">
            <v>0</v>
          </cell>
        </row>
        <row r="1442">
          <cell r="Q1442">
            <v>0</v>
          </cell>
        </row>
        <row r="1443">
          <cell r="Q1443">
            <v>0</v>
          </cell>
        </row>
        <row r="1444">
          <cell r="Q1444">
            <v>0</v>
          </cell>
        </row>
        <row r="1445">
          <cell r="Q1445">
            <v>0</v>
          </cell>
        </row>
        <row r="1446">
          <cell r="Q1446">
            <v>0</v>
          </cell>
        </row>
        <row r="1447">
          <cell r="Q1447">
            <v>0</v>
          </cell>
        </row>
        <row r="1448">
          <cell r="Q1448">
            <v>0</v>
          </cell>
        </row>
        <row r="1449">
          <cell r="Q1449">
            <v>0</v>
          </cell>
        </row>
        <row r="1450">
          <cell r="Q1450">
            <v>0</v>
          </cell>
        </row>
        <row r="1451">
          <cell r="Q1451">
            <v>0</v>
          </cell>
        </row>
        <row r="1452">
          <cell r="Q1452">
            <v>0</v>
          </cell>
        </row>
        <row r="1453">
          <cell r="Q1453">
            <v>0</v>
          </cell>
        </row>
        <row r="1454">
          <cell r="Q1454">
            <v>0</v>
          </cell>
        </row>
        <row r="1455">
          <cell r="Q1455">
            <v>0</v>
          </cell>
        </row>
        <row r="1456">
          <cell r="Q1456">
            <v>0</v>
          </cell>
        </row>
        <row r="1457">
          <cell r="Q1457">
            <v>0</v>
          </cell>
        </row>
        <row r="1458">
          <cell r="Q1458">
            <v>0</v>
          </cell>
        </row>
        <row r="1459">
          <cell r="Q1459">
            <v>0</v>
          </cell>
        </row>
        <row r="1460">
          <cell r="Q1460">
            <v>0</v>
          </cell>
        </row>
        <row r="1461">
          <cell r="Q1461">
            <v>0</v>
          </cell>
        </row>
        <row r="1462">
          <cell r="Q1462">
            <v>0</v>
          </cell>
        </row>
        <row r="1463">
          <cell r="Q1463">
            <v>0</v>
          </cell>
        </row>
        <row r="1464">
          <cell r="Q1464">
            <v>0</v>
          </cell>
        </row>
        <row r="1465">
          <cell r="Q1465">
            <v>0</v>
          </cell>
        </row>
        <row r="1466">
          <cell r="Q1466">
            <v>0</v>
          </cell>
        </row>
        <row r="1467">
          <cell r="Q1467">
            <v>0</v>
          </cell>
        </row>
        <row r="1468">
          <cell r="Q1468">
            <v>0</v>
          </cell>
        </row>
        <row r="1469">
          <cell r="Q1469">
            <v>0</v>
          </cell>
        </row>
        <row r="1470">
          <cell r="Q1470">
            <v>0</v>
          </cell>
        </row>
        <row r="1471">
          <cell r="Q1471">
            <v>0</v>
          </cell>
        </row>
        <row r="1472">
          <cell r="Q1472">
            <v>0</v>
          </cell>
        </row>
        <row r="1473">
          <cell r="Q1473">
            <v>0</v>
          </cell>
        </row>
        <row r="1474">
          <cell r="Q1474">
            <v>0</v>
          </cell>
        </row>
        <row r="1475">
          <cell r="Q1475">
            <v>0</v>
          </cell>
        </row>
        <row r="1476">
          <cell r="Q1476">
            <v>0</v>
          </cell>
        </row>
        <row r="1477">
          <cell r="Q1477">
            <v>0</v>
          </cell>
        </row>
        <row r="1478">
          <cell r="Q1478">
            <v>0</v>
          </cell>
        </row>
        <row r="1479">
          <cell r="Q1479">
            <v>0</v>
          </cell>
        </row>
        <row r="1480">
          <cell r="Q1480">
            <v>0</v>
          </cell>
        </row>
        <row r="1481">
          <cell r="Q1481">
            <v>0</v>
          </cell>
        </row>
        <row r="1482">
          <cell r="Q1482">
            <v>0</v>
          </cell>
        </row>
        <row r="1483">
          <cell r="Q1483">
            <v>0</v>
          </cell>
        </row>
        <row r="1484">
          <cell r="Q1484">
            <v>0</v>
          </cell>
        </row>
        <row r="1485">
          <cell r="Q1485">
            <v>0</v>
          </cell>
        </row>
        <row r="1486">
          <cell r="Q1486">
            <v>0</v>
          </cell>
        </row>
        <row r="1487">
          <cell r="Q1487">
            <v>0</v>
          </cell>
        </row>
        <row r="1488">
          <cell r="Q1488">
            <v>0</v>
          </cell>
        </row>
        <row r="1489">
          <cell r="Q1489">
            <v>0</v>
          </cell>
        </row>
        <row r="1490">
          <cell r="Q1490">
            <v>0</v>
          </cell>
        </row>
        <row r="1491">
          <cell r="Q1491">
            <v>0</v>
          </cell>
        </row>
        <row r="1492">
          <cell r="Q1492">
            <v>0</v>
          </cell>
        </row>
        <row r="1493">
          <cell r="Q1493">
            <v>0</v>
          </cell>
        </row>
        <row r="1494">
          <cell r="Q1494">
            <v>0</v>
          </cell>
        </row>
        <row r="1495">
          <cell r="Q1495">
            <v>0</v>
          </cell>
        </row>
        <row r="1496">
          <cell r="Q1496">
            <v>0</v>
          </cell>
        </row>
        <row r="1497">
          <cell r="Q1497">
            <v>0</v>
          </cell>
        </row>
        <row r="1498">
          <cell r="Q1498">
            <v>0</v>
          </cell>
        </row>
        <row r="1499">
          <cell r="Q1499">
            <v>0</v>
          </cell>
        </row>
        <row r="1500">
          <cell r="Q1500">
            <v>0</v>
          </cell>
        </row>
        <row r="1501">
          <cell r="Q1501">
            <v>0</v>
          </cell>
        </row>
        <row r="1502">
          <cell r="Q1502">
            <v>0</v>
          </cell>
        </row>
        <row r="1503">
          <cell r="Q1503">
            <v>0</v>
          </cell>
        </row>
        <row r="1504">
          <cell r="Q1504">
            <v>0</v>
          </cell>
        </row>
        <row r="1505">
          <cell r="Q1505">
            <v>0</v>
          </cell>
        </row>
        <row r="1506">
          <cell r="Q1506">
            <v>0</v>
          </cell>
        </row>
        <row r="1507">
          <cell r="Q1507">
            <v>0</v>
          </cell>
        </row>
        <row r="1508">
          <cell r="Q1508">
            <v>0</v>
          </cell>
        </row>
        <row r="1509">
          <cell r="Q1509">
            <v>0</v>
          </cell>
        </row>
        <row r="1510">
          <cell r="Q1510">
            <v>0</v>
          </cell>
        </row>
        <row r="1511">
          <cell r="Q1511">
            <v>0</v>
          </cell>
        </row>
        <row r="1512">
          <cell r="Q1512">
            <v>0</v>
          </cell>
        </row>
        <row r="1513">
          <cell r="Q1513">
            <v>0</v>
          </cell>
        </row>
        <row r="1514">
          <cell r="Q1514">
            <v>0</v>
          </cell>
        </row>
        <row r="1515">
          <cell r="Q1515">
            <v>0</v>
          </cell>
        </row>
        <row r="1516">
          <cell r="Q1516">
            <v>0</v>
          </cell>
        </row>
        <row r="1517">
          <cell r="Q1517">
            <v>0</v>
          </cell>
        </row>
        <row r="1518">
          <cell r="Q1518">
            <v>0</v>
          </cell>
        </row>
        <row r="1519">
          <cell r="Q1519">
            <v>0</v>
          </cell>
        </row>
        <row r="1520">
          <cell r="Q1520">
            <v>0</v>
          </cell>
        </row>
        <row r="1521">
          <cell r="Q1521">
            <v>0</v>
          </cell>
        </row>
        <row r="1522">
          <cell r="Q1522">
            <v>0</v>
          </cell>
        </row>
        <row r="1523">
          <cell r="Q1523">
            <v>0</v>
          </cell>
        </row>
        <row r="1524">
          <cell r="Q1524">
            <v>0</v>
          </cell>
        </row>
        <row r="1525">
          <cell r="Q1525">
            <v>0</v>
          </cell>
        </row>
        <row r="1526">
          <cell r="Q1526">
            <v>0</v>
          </cell>
        </row>
        <row r="1527">
          <cell r="Q1527">
            <v>0</v>
          </cell>
        </row>
        <row r="1528">
          <cell r="Q1528">
            <v>0</v>
          </cell>
        </row>
        <row r="1529">
          <cell r="Q1529">
            <v>0</v>
          </cell>
        </row>
        <row r="1530">
          <cell r="Q1530">
            <v>0</v>
          </cell>
        </row>
        <row r="1531">
          <cell r="Q1531">
            <v>0</v>
          </cell>
        </row>
        <row r="1532">
          <cell r="Q1532">
            <v>0</v>
          </cell>
        </row>
        <row r="1533">
          <cell r="Q1533">
            <v>0</v>
          </cell>
        </row>
        <row r="1534">
          <cell r="Q1534">
            <v>0</v>
          </cell>
        </row>
        <row r="1535">
          <cell r="Q1535">
            <v>0</v>
          </cell>
        </row>
        <row r="1536">
          <cell r="Q1536">
            <v>0</v>
          </cell>
        </row>
        <row r="1537">
          <cell r="Q1537">
            <v>0</v>
          </cell>
        </row>
        <row r="1538">
          <cell r="Q1538">
            <v>0</v>
          </cell>
        </row>
        <row r="1539">
          <cell r="Q1539">
            <v>0</v>
          </cell>
        </row>
        <row r="1540">
          <cell r="Q1540">
            <v>0</v>
          </cell>
        </row>
        <row r="1541">
          <cell r="Q1541">
            <v>0</v>
          </cell>
        </row>
        <row r="1542">
          <cell r="Q1542">
            <v>0</v>
          </cell>
        </row>
        <row r="1543">
          <cell r="Q1543">
            <v>0</v>
          </cell>
        </row>
        <row r="1544">
          <cell r="Q1544">
            <v>0</v>
          </cell>
        </row>
        <row r="1545">
          <cell r="Q1545">
            <v>0</v>
          </cell>
        </row>
        <row r="1546">
          <cell r="Q1546">
            <v>0</v>
          </cell>
        </row>
        <row r="1547">
          <cell r="Q1547">
            <v>0</v>
          </cell>
        </row>
        <row r="1548">
          <cell r="Q1548">
            <v>0</v>
          </cell>
        </row>
        <row r="1549">
          <cell r="Q1549">
            <v>0</v>
          </cell>
        </row>
        <row r="1550">
          <cell r="Q1550">
            <v>0</v>
          </cell>
        </row>
        <row r="1551">
          <cell r="Q1551">
            <v>0</v>
          </cell>
        </row>
        <row r="1552">
          <cell r="Q1552">
            <v>0</v>
          </cell>
        </row>
        <row r="1553">
          <cell r="Q1553">
            <v>0</v>
          </cell>
        </row>
        <row r="1554">
          <cell r="Q1554">
            <v>0</v>
          </cell>
        </row>
        <row r="1555">
          <cell r="Q1555">
            <v>0</v>
          </cell>
        </row>
        <row r="1556">
          <cell r="Q1556">
            <v>0</v>
          </cell>
        </row>
        <row r="1557">
          <cell r="Q1557">
            <v>0</v>
          </cell>
        </row>
        <row r="1558">
          <cell r="Q1558">
            <v>0</v>
          </cell>
        </row>
        <row r="1559">
          <cell r="Q1559">
            <v>0</v>
          </cell>
        </row>
        <row r="1560">
          <cell r="Q1560">
            <v>0</v>
          </cell>
        </row>
        <row r="1561">
          <cell r="Q1561">
            <v>0</v>
          </cell>
        </row>
        <row r="1562">
          <cell r="Q1562">
            <v>0</v>
          </cell>
        </row>
        <row r="1563">
          <cell r="Q1563">
            <v>0</v>
          </cell>
        </row>
        <row r="1564">
          <cell r="Q1564">
            <v>0</v>
          </cell>
        </row>
        <row r="1565">
          <cell r="Q1565">
            <v>0</v>
          </cell>
        </row>
        <row r="1566">
          <cell r="Q1566">
            <v>0</v>
          </cell>
        </row>
        <row r="1567">
          <cell r="Q1567">
            <v>0</v>
          </cell>
        </row>
        <row r="1568">
          <cell r="Q1568">
            <v>0</v>
          </cell>
        </row>
        <row r="1569">
          <cell r="Q1569">
            <v>0</v>
          </cell>
        </row>
        <row r="1570">
          <cell r="Q1570">
            <v>0</v>
          </cell>
        </row>
        <row r="1571">
          <cell r="Q1571">
            <v>0</v>
          </cell>
        </row>
        <row r="1572">
          <cell r="Q1572">
            <v>0</v>
          </cell>
        </row>
        <row r="1573">
          <cell r="Q1573">
            <v>0</v>
          </cell>
        </row>
        <row r="1574">
          <cell r="Q1574">
            <v>0</v>
          </cell>
        </row>
        <row r="1575">
          <cell r="Q1575">
            <v>0</v>
          </cell>
        </row>
        <row r="1576">
          <cell r="Q1576">
            <v>0</v>
          </cell>
        </row>
        <row r="1577">
          <cell r="Q1577">
            <v>0</v>
          </cell>
        </row>
        <row r="1578">
          <cell r="Q1578">
            <v>0</v>
          </cell>
        </row>
        <row r="1579">
          <cell r="Q1579">
            <v>0</v>
          </cell>
        </row>
        <row r="1580">
          <cell r="Q1580">
            <v>0</v>
          </cell>
        </row>
        <row r="1581">
          <cell r="Q1581">
            <v>0</v>
          </cell>
        </row>
        <row r="1582">
          <cell r="Q1582">
            <v>0</v>
          </cell>
        </row>
        <row r="1583">
          <cell r="Q1583">
            <v>0</v>
          </cell>
        </row>
        <row r="1584">
          <cell r="Q1584">
            <v>0</v>
          </cell>
        </row>
        <row r="1585">
          <cell r="Q1585">
            <v>0</v>
          </cell>
        </row>
        <row r="1586">
          <cell r="Q1586">
            <v>0</v>
          </cell>
        </row>
        <row r="1587">
          <cell r="Q1587">
            <v>0</v>
          </cell>
        </row>
        <row r="1588">
          <cell r="Q1588">
            <v>0</v>
          </cell>
        </row>
        <row r="1589">
          <cell r="Q1589">
            <v>0</v>
          </cell>
        </row>
        <row r="1590">
          <cell r="Q1590">
            <v>0</v>
          </cell>
        </row>
        <row r="1591">
          <cell r="Q1591">
            <v>0</v>
          </cell>
        </row>
        <row r="1592">
          <cell r="Q1592">
            <v>0</v>
          </cell>
        </row>
        <row r="1593">
          <cell r="Q1593">
            <v>0</v>
          </cell>
        </row>
        <row r="1594">
          <cell r="Q1594">
            <v>0</v>
          </cell>
        </row>
        <row r="1595">
          <cell r="Q1595">
            <v>0</v>
          </cell>
        </row>
        <row r="1596">
          <cell r="Q1596">
            <v>0</v>
          </cell>
        </row>
        <row r="1597">
          <cell r="Q1597">
            <v>0</v>
          </cell>
        </row>
        <row r="1598">
          <cell r="Q1598">
            <v>0</v>
          </cell>
        </row>
        <row r="1599">
          <cell r="Q1599">
            <v>0</v>
          </cell>
        </row>
        <row r="1600">
          <cell r="Q1600">
            <v>0</v>
          </cell>
        </row>
        <row r="1601">
          <cell r="Q1601">
            <v>0</v>
          </cell>
        </row>
        <row r="1602">
          <cell r="Q1602">
            <v>0</v>
          </cell>
        </row>
        <row r="1603">
          <cell r="Q1603">
            <v>0</v>
          </cell>
        </row>
        <row r="1604">
          <cell r="Q1604">
            <v>0</v>
          </cell>
        </row>
        <row r="1605">
          <cell r="Q1605">
            <v>0</v>
          </cell>
        </row>
        <row r="1606">
          <cell r="Q1606">
            <v>0</v>
          </cell>
        </row>
        <row r="1607">
          <cell r="Q1607">
            <v>0</v>
          </cell>
        </row>
        <row r="1608">
          <cell r="Q1608">
            <v>0</v>
          </cell>
        </row>
        <row r="1609">
          <cell r="Q1609">
            <v>0</v>
          </cell>
        </row>
        <row r="1610">
          <cell r="Q1610">
            <v>0</v>
          </cell>
        </row>
        <row r="1611">
          <cell r="Q1611">
            <v>0</v>
          </cell>
        </row>
        <row r="1612">
          <cell r="Q1612">
            <v>0</v>
          </cell>
        </row>
        <row r="1613">
          <cell r="Q1613">
            <v>0</v>
          </cell>
        </row>
        <row r="1614">
          <cell r="Q1614">
            <v>0</v>
          </cell>
        </row>
        <row r="1615">
          <cell r="Q1615">
            <v>0</v>
          </cell>
        </row>
        <row r="1616">
          <cell r="Q1616">
            <v>0</v>
          </cell>
        </row>
        <row r="1617">
          <cell r="Q1617">
            <v>0</v>
          </cell>
        </row>
        <row r="1618">
          <cell r="Q1618">
            <v>0</v>
          </cell>
        </row>
        <row r="1619">
          <cell r="Q1619">
            <v>0</v>
          </cell>
        </row>
        <row r="1620">
          <cell r="Q1620">
            <v>0</v>
          </cell>
        </row>
        <row r="1621">
          <cell r="Q1621">
            <v>0</v>
          </cell>
        </row>
        <row r="1622">
          <cell r="Q1622">
            <v>0</v>
          </cell>
        </row>
        <row r="1623">
          <cell r="Q1623">
            <v>0</v>
          </cell>
        </row>
        <row r="1624">
          <cell r="Q1624">
            <v>0</v>
          </cell>
        </row>
        <row r="1625">
          <cell r="Q1625">
            <v>0</v>
          </cell>
        </row>
        <row r="1626">
          <cell r="Q1626">
            <v>0</v>
          </cell>
        </row>
        <row r="1627">
          <cell r="Q1627">
            <v>0</v>
          </cell>
        </row>
        <row r="1628">
          <cell r="Q1628">
            <v>0</v>
          </cell>
        </row>
        <row r="1629">
          <cell r="Q1629">
            <v>0</v>
          </cell>
        </row>
        <row r="1630">
          <cell r="Q1630">
            <v>0</v>
          </cell>
        </row>
        <row r="1631">
          <cell r="Q1631">
            <v>0</v>
          </cell>
        </row>
        <row r="1632">
          <cell r="Q1632">
            <v>0</v>
          </cell>
        </row>
        <row r="1633">
          <cell r="Q1633">
            <v>0</v>
          </cell>
        </row>
        <row r="1634">
          <cell r="Q1634">
            <v>0</v>
          </cell>
        </row>
        <row r="1635">
          <cell r="Q1635">
            <v>0</v>
          </cell>
        </row>
        <row r="1636">
          <cell r="Q1636">
            <v>0</v>
          </cell>
        </row>
        <row r="1637">
          <cell r="Q1637">
            <v>0</v>
          </cell>
        </row>
        <row r="1638">
          <cell r="Q1638">
            <v>0</v>
          </cell>
        </row>
        <row r="1639">
          <cell r="Q1639">
            <v>0</v>
          </cell>
        </row>
        <row r="1640">
          <cell r="Q1640">
            <v>0</v>
          </cell>
        </row>
        <row r="1641">
          <cell r="Q1641">
            <v>0</v>
          </cell>
        </row>
        <row r="1642">
          <cell r="Q1642">
            <v>0</v>
          </cell>
        </row>
        <row r="1643">
          <cell r="Q1643">
            <v>0</v>
          </cell>
        </row>
        <row r="1644">
          <cell r="Q1644">
            <v>0</v>
          </cell>
        </row>
        <row r="1645">
          <cell r="Q1645">
            <v>0</v>
          </cell>
        </row>
        <row r="1646">
          <cell r="Q1646">
            <v>0</v>
          </cell>
        </row>
        <row r="1647">
          <cell r="Q1647">
            <v>0</v>
          </cell>
        </row>
        <row r="1648">
          <cell r="Q1648">
            <v>0</v>
          </cell>
        </row>
        <row r="1649">
          <cell r="Q1649">
            <v>0</v>
          </cell>
        </row>
        <row r="1650">
          <cell r="Q1650">
            <v>0</v>
          </cell>
        </row>
        <row r="1651">
          <cell r="Q1651">
            <v>0</v>
          </cell>
        </row>
        <row r="1652">
          <cell r="Q1652">
            <v>0</v>
          </cell>
        </row>
        <row r="1653">
          <cell r="Q1653">
            <v>0</v>
          </cell>
        </row>
        <row r="1654">
          <cell r="Q1654">
            <v>0</v>
          </cell>
        </row>
        <row r="1655">
          <cell r="Q1655">
            <v>0</v>
          </cell>
        </row>
        <row r="1656">
          <cell r="Q1656">
            <v>0</v>
          </cell>
        </row>
        <row r="1657">
          <cell r="Q1657">
            <v>0</v>
          </cell>
        </row>
        <row r="1658">
          <cell r="Q1658">
            <v>0</v>
          </cell>
        </row>
        <row r="1659">
          <cell r="Q1659">
            <v>0</v>
          </cell>
        </row>
        <row r="1660">
          <cell r="Q1660">
            <v>0</v>
          </cell>
        </row>
        <row r="1661">
          <cell r="Q1661">
            <v>0</v>
          </cell>
        </row>
        <row r="1662">
          <cell r="Q1662">
            <v>0</v>
          </cell>
        </row>
        <row r="1663">
          <cell r="Q1663">
            <v>0</v>
          </cell>
        </row>
        <row r="1664">
          <cell r="Q1664">
            <v>0</v>
          </cell>
        </row>
        <row r="1665">
          <cell r="Q1665">
            <v>0</v>
          </cell>
        </row>
        <row r="1666">
          <cell r="Q1666">
            <v>0</v>
          </cell>
        </row>
        <row r="1667">
          <cell r="Q1667">
            <v>0</v>
          </cell>
        </row>
        <row r="1668">
          <cell r="Q1668">
            <v>0</v>
          </cell>
        </row>
        <row r="1669">
          <cell r="Q1669">
            <v>0</v>
          </cell>
        </row>
        <row r="1670">
          <cell r="Q1670">
            <v>0</v>
          </cell>
        </row>
        <row r="1671">
          <cell r="Q1671">
            <v>0</v>
          </cell>
        </row>
        <row r="1672">
          <cell r="Q1672">
            <v>0</v>
          </cell>
        </row>
        <row r="1673">
          <cell r="Q1673">
            <v>0</v>
          </cell>
        </row>
        <row r="1674">
          <cell r="Q1674">
            <v>0</v>
          </cell>
        </row>
        <row r="1675">
          <cell r="Q1675">
            <v>0</v>
          </cell>
        </row>
        <row r="1676">
          <cell r="Q1676">
            <v>0</v>
          </cell>
        </row>
        <row r="1677">
          <cell r="Q1677">
            <v>0</v>
          </cell>
        </row>
        <row r="1678">
          <cell r="Q1678">
            <v>0</v>
          </cell>
        </row>
        <row r="1679">
          <cell r="Q1679">
            <v>0</v>
          </cell>
        </row>
        <row r="1680">
          <cell r="Q1680">
            <v>0</v>
          </cell>
        </row>
        <row r="1681">
          <cell r="Q1681">
            <v>0</v>
          </cell>
        </row>
        <row r="1682">
          <cell r="Q1682">
            <v>0</v>
          </cell>
        </row>
        <row r="1683">
          <cell r="Q1683">
            <v>0</v>
          </cell>
        </row>
        <row r="1684">
          <cell r="Q1684">
            <v>0</v>
          </cell>
        </row>
        <row r="1685">
          <cell r="Q1685">
            <v>0</v>
          </cell>
        </row>
        <row r="1686">
          <cell r="Q1686">
            <v>0</v>
          </cell>
        </row>
        <row r="1687">
          <cell r="Q1687">
            <v>0</v>
          </cell>
        </row>
        <row r="1688">
          <cell r="Q1688">
            <v>0</v>
          </cell>
        </row>
        <row r="1689">
          <cell r="Q1689">
            <v>0</v>
          </cell>
        </row>
        <row r="1690">
          <cell r="Q1690">
            <v>0</v>
          </cell>
        </row>
        <row r="1691">
          <cell r="Q1691">
            <v>0</v>
          </cell>
        </row>
        <row r="1692">
          <cell r="Q1692">
            <v>0</v>
          </cell>
        </row>
        <row r="1693">
          <cell r="Q1693">
            <v>0</v>
          </cell>
        </row>
        <row r="1694">
          <cell r="Q1694">
            <v>0</v>
          </cell>
        </row>
        <row r="1695">
          <cell r="Q1695">
            <v>0</v>
          </cell>
        </row>
        <row r="1696">
          <cell r="Q1696">
            <v>0</v>
          </cell>
        </row>
        <row r="1697">
          <cell r="Q1697">
            <v>0</v>
          </cell>
        </row>
        <row r="1698">
          <cell r="Q1698">
            <v>0</v>
          </cell>
        </row>
        <row r="1699">
          <cell r="Q1699">
            <v>0</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Obory činnosti"/>
    </sheetNames>
    <sheetDataSet>
      <sheetData sheetId="0"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Finanční úřady"/>
    </sheetNames>
    <sheetDataSet>
      <sheetData sheetId="0" refreshError="1"/>
    </sheetDataSet>
  </externalBook>
</externalLink>
</file>

<file path=xl/tables/table1.xml><?xml version="1.0" encoding="utf-8"?>
<table xmlns="http://schemas.openxmlformats.org/spreadsheetml/2006/main" id="170" name="Tabulka170" displayName="Tabulka170" ref="R1:AA5" tableType="xml" totalsRowShown="0" headerRowDxfId="89">
  <autoFilter ref="R1:AA5"/>
  <tableColumns count="10">
    <tableColumn id="1" uniqueName="vyzdite_d_nar" name="vyzdite_d_nar" dataDxfId="88">
      <calculatedColumnFormula>IF('DAP3'!D20&lt;&gt;"",CONCATENATE(MID('DAP3'!D20,5,2),".",IF(VALUE(MID('DAP3'!D20,3,2))&lt;13,MID('DAP3'!D20,3,2),MID('DAP3'!D20,3,2)-50),".",IF(MID('DAP3'!D20,1,2)&lt;"50","20","19"),MID('DAP3'!D20,1,2)),"")</calculatedColumnFormula>
      <xmlColumnPr mapId="6" xpath="/Pisemnost/DPFDP5/VetaA/@vyzdite_d_nar" xmlDataType="string"/>
    </tableColumn>
    <tableColumn id="2" uniqueName="vyzdite_jmeno" name="vyzdite_jmeno" dataDxfId="87">
      <calculatedColumnFormula>IF('DAP3'!B20&lt;&gt;"XXX",MID('DAP3'!B20,(FIND(" ",'DAP3'!B20,1))+1,LEN('DAP3'!B20)),"")</calculatedColumnFormula>
      <xmlColumnPr mapId="6" xpath="/Pisemnost/DPFDP5/VetaA/@vyzdite_jmeno" xmlDataType="string"/>
    </tableColumn>
    <tableColumn id="3" uniqueName="vyzdite_pocmes" name="vyzdite_pocmes" dataDxfId="86">
      <calculatedColumnFormula>IF('DAP3'!F20&lt;&gt;"",'DAP3'!F20,"")</calculatedColumnFormula>
      <xmlColumnPr mapId="6" xpath="/Pisemnost/DPFDP5/VetaA/@vyzdite_pocmes" xmlDataType="decimal"/>
    </tableColumn>
    <tableColumn id="4" uniqueName="vyzdite_pocmes2" name="vyzdite_pocmes2" dataDxfId="85">
      <calculatedColumnFormula>IF('DAP3'!H20&lt;&gt;"",'DAP3'!H20,"")</calculatedColumnFormula>
      <xmlColumnPr mapId="6" xpath="/Pisemnost/DPFDP5/VetaA/@vyzdite_pocmes2" xmlDataType="decimal"/>
    </tableColumn>
    <tableColumn id="5" uniqueName="vyzdite_pocmes3" name="vyzdite_pocmes3" dataDxfId="84">
      <calculatedColumnFormula>IF('DAP3'!J20&lt;&gt;"",'DAP3'!J20,"")</calculatedColumnFormula>
      <xmlColumnPr mapId="6" xpath="/Pisemnost/DPFDP5/VetaA/@vyzdite_pocmes3" xmlDataType="decimal"/>
    </tableColumn>
    <tableColumn id="6" uniqueName="vyzdite_prijmeni" name="vyzdite_prijmeni" dataDxfId="83">
      <calculatedColumnFormula>IF('DAP3'!B20&lt;&gt;"XXX",LEFT('DAP3'!B20,(FIND(" ",'DAP3'!B20,1))-1),"")</calculatedColumnFormula>
      <xmlColumnPr mapId="6" xpath="/Pisemnost/DPFDP5/VetaA/@vyzdite_prijmeni" xmlDataType="string"/>
    </tableColumn>
    <tableColumn id="7" uniqueName="vyzdite_r_cislo" name="vyzdite_r_cislo" dataDxfId="82">
      <calculatedColumnFormula>IF('DAP3'!D20&lt;&gt;"",'DAP3'!D20,"")</calculatedColumnFormula>
      <xmlColumnPr mapId="6" xpath="/Pisemnost/DPFDP5/VetaA/@vyzdite_r_cislo" xmlDataType="string"/>
    </tableColumn>
    <tableColumn id="8" uniqueName="vyzdite_ztpp" name="vyzdite_ztpp" dataDxfId="81">
      <calculatedColumnFormula>IF('DAP3'!G20&lt;&gt;"",'DAP3'!G20,"")</calculatedColumnFormula>
      <xmlColumnPr mapId="6" xpath="/Pisemnost/DPFDP5/VetaA/@vyzdite_ztpp" xmlDataType="decimal"/>
    </tableColumn>
    <tableColumn id="9" uniqueName="vyzdite_ztpp2" name="vyzdite_ztpp2" dataDxfId="80">
      <calculatedColumnFormula>IF('DAP3'!I20&lt;&gt;"",'DAP3'!I20,"")</calculatedColumnFormula>
      <xmlColumnPr mapId="6" xpath="/Pisemnost/DPFDP5/VetaA/@vyzdite_ztpp2" xmlDataType="decimal"/>
    </tableColumn>
    <tableColumn id="10" uniqueName="vyzdite_ztpp3" name="vyzdite_ztpp3" dataDxfId="79">
      <calculatedColumnFormula>IF('DAP3'!K20&lt;&gt;"",'DAP3'!K20,"")</calculatedColumnFormula>
      <xmlColumnPr mapId="6" xpath="/Pisemnost/DPFDP5/VetaA/@vyzdite_ztpp3" xmlDataType="decimal"/>
    </tableColumn>
  </tableColumns>
  <tableStyleInfo name="TableStyleMedium2" showFirstColumn="0" showLastColumn="0" showRowStripes="1" showColumnStripes="0"/>
</table>
</file>

<file path=xl/tables/table10.xml><?xml version="1.0" encoding="utf-8"?>
<table xmlns="http://schemas.openxmlformats.org/spreadsheetml/2006/main" id="270" name="Tabulka270" displayName="Tabulka270" ref="R110:T111" tableType="xml" insertRow="1" totalsRowShown="0" headerRowDxfId="43">
  <autoFilter ref="R110:T111"/>
  <tableColumns count="3">
    <tableColumn id="1" uniqueName="kod_sekce" name="kod_sekce">
      <xmlColumnPr mapId="6" xpath="/Pisemnost/DPFDP5/VetaR/@kod_sekce" xmlDataType="string"/>
    </tableColumn>
    <tableColumn id="2" uniqueName="poradi" name="poradi">
      <xmlColumnPr mapId="6" xpath="/Pisemnost/DPFDP5/VetaR/@poradi" xmlDataType="decimal"/>
    </tableColumn>
    <tableColumn id="3" uniqueName="t_prilohy" name="t_prilohy">
      <xmlColumnPr mapId="6" xpath="/Pisemnost/DPFDP5/VetaR/@t_prilohy" xmlDataType="string"/>
    </tableColumn>
  </tableColumns>
  <tableStyleInfo name="TableStyleMedium2" showFirstColumn="0" showLastColumn="0" showRowStripes="1" showColumnStripes="0"/>
</table>
</file>

<file path=xl/tables/table11.xml><?xml version="1.0" encoding="utf-8"?>
<table xmlns="http://schemas.openxmlformats.org/spreadsheetml/2006/main" id="272" name="Tabulka272" displayName="Tabulka272" ref="R120:AA121" tableType="xml" totalsRowShown="0" headerRowDxfId="42">
  <autoFilter ref="R120:AA121"/>
  <tableColumns count="10">
    <tableColumn id="1" uniqueName="da_uznzap" name="da_uznzap">
      <calculatedColumnFormula>'3Př_a'!F17</calculatedColumnFormula>
      <xmlColumnPr mapId="6" xpath="/Pisemnost/DPFDP5/VetaL/@da_uznzap" xmlDataType="decimal"/>
    </tableColumn>
    <tableColumn id="2" uniqueName="da_zahr" name="da_zahr">
      <calculatedColumnFormula>'3Př_a'!F14</calculatedColumnFormula>
      <xmlColumnPr mapId="6" xpath="/Pisemnost/DPFDP5/VetaL/@da_zahr" xmlDataType="decimal"/>
    </tableColumn>
    <tableColumn id="3" uniqueName="kc_10prij" name="kc_10prij">
      <calculatedColumnFormula>'3Př_a'!F12</calculatedColumnFormula>
      <xmlColumnPr mapId="6" xpath="/Pisemnost/DPFDP5/VetaL/@kc_10prij" xmlDataType="decimal"/>
    </tableColumn>
    <tableColumn id="4" uniqueName="kc_10vyd" name="kc_10vyd">
      <calculatedColumnFormula>'3Př_a'!F13</calculatedColumnFormula>
      <xmlColumnPr mapId="6" xpath="/Pisemnost/DPFDP5/VetaL/@kc_10vyd" xmlDataType="decimal"/>
    </tableColumn>
    <tableColumn id="5" uniqueName="kc_k_zapzahr" name="kc_k_zapzahr">
      <calculatedColumnFormula>'3Př_a'!F16</calculatedColumnFormula>
      <xmlColumnPr mapId="6" xpath="/Pisemnost/DPFDP5/VetaL/@kc_k_zapzahr" xmlDataType="decimal"/>
    </tableColumn>
    <tableColumn id="6" uniqueName="kc_prijzap" name="kc_prijzap">
      <calculatedColumnFormula>'3Př_a'!F12</calculatedColumnFormula>
      <xmlColumnPr mapId="6" xpath="/Pisemnost/DPFDP5/VetaL/@kc_prijzap" xmlDataType="decimal"/>
    </tableColumn>
    <tableColumn id="7" uniqueName="kc_vydzap" name="kc_vydzap">
      <calculatedColumnFormula>'3Př_a'!F13</calculatedColumnFormula>
      <xmlColumnPr mapId="6" xpath="/Pisemnost/DPFDP5/VetaL/@kc_vydzap" xmlDataType="decimal"/>
    </tableColumn>
    <tableColumn id="8" uniqueName="kod_statu" name="kod_statu" dataDxfId="41">
      <calculatedColumnFormula>IF('3Př_a'!C8&lt;&gt;"",'3Př_a'!C8,"")</calculatedColumnFormula>
      <xmlColumnPr mapId="6" xpath="/Pisemnost/DPFDP5/VetaL/@kod_statu" xmlDataType="string"/>
    </tableColumn>
    <tableColumn id="9" uniqueName="proczahr" name="proczahr" dataDxfId="40">
      <calculatedColumnFormula>'3Př_a'!F15*100</calculatedColumnFormula>
      <xmlColumnPr mapId="6" xpath="/Pisemnost/DPFDP5/VetaL/@proczahr" xmlDataType="decimal"/>
    </tableColumn>
    <tableColumn id="10" uniqueName="roz_od12" name="roz_od12">
      <calculatedColumnFormula>'3Př_a'!F18</calculatedColumnFormula>
      <xmlColumnPr mapId="6" xpath="/Pisemnost/DPFDP5/VetaL/@roz_od12" xmlDataType="decimal"/>
    </tableColumn>
  </tableColumns>
  <tableStyleInfo name="TableStyleMedium2" showFirstColumn="0" showLastColumn="0" showRowStripes="1" showColumnStripes="0"/>
</table>
</file>

<file path=xl/tables/table12.xml><?xml version="1.0" encoding="utf-8"?>
<table xmlns="http://schemas.openxmlformats.org/spreadsheetml/2006/main" id="273" name="Tabulka273" displayName="Tabulka273" ref="R130:V138" tableType="xml" totalsRowShown="0" headerRowDxfId="39">
  <autoFilter ref="R130:V138"/>
  <tableColumns count="5">
    <tableColumn id="1" uniqueName="prilztr_sl1" name="prilztr_sl1" dataDxfId="38">
      <calculatedColumnFormula>IF('6Př'!B12&lt;&gt;"",'6Př'!B12,"")</calculatedColumnFormula>
      <xmlColumnPr mapId="6" xpath="/Pisemnost/DPFDP5/VetaM/@prilztr_sl1" xmlDataType="string"/>
    </tableColumn>
    <tableColumn id="2" uniqueName="prilztr_sl2" name="prilztr_sl2" dataDxfId="37">
      <calculatedColumnFormula>IF('6Př'!C12&lt;&gt;"",'6Př'!C12,"")</calculatedColumnFormula>
      <xmlColumnPr mapId="6" xpath="/Pisemnost/DPFDP5/VetaM/@prilztr_sl2" xmlDataType="decimal"/>
    </tableColumn>
    <tableColumn id="3" uniqueName="prilztr_sl3" name="prilztr_sl3" dataDxfId="36">
      <calculatedColumnFormula>IF('6Př'!D12&lt;&gt;"",'6Př'!D12,"")</calculatedColumnFormula>
      <xmlColumnPr mapId="6" xpath="/Pisemnost/DPFDP5/VetaM/@prilztr_sl3" xmlDataType="decimal"/>
    </tableColumn>
    <tableColumn id="4" uniqueName="prilztr_sl4" name="prilztr_sl4" dataDxfId="35">
      <calculatedColumnFormula>IF('6Př'!E12&lt;&gt;"",'6Př'!E12,"")</calculatedColumnFormula>
      <xmlColumnPr mapId="6" xpath="/Pisemnost/DPFDP5/VetaM/@prilztr_sl4" xmlDataType="decimal"/>
    </tableColumn>
    <tableColumn id="5" uniqueName="prilztr_sl5" name="prilztr_sl5" dataDxfId="34">
      <calculatedColumnFormula>IF('6Př'!F12&lt;&gt;"",'6Př'!F12,"")</calculatedColumnFormula>
      <xmlColumnPr mapId="6" xpath="/Pisemnost/DPFDP5/VetaM/@prilztr_sl5" xmlDataType="decimal"/>
    </tableColumn>
  </tableColumns>
  <tableStyleInfo name="TableStyleMedium2" showFirstColumn="0" showLastColumn="0" showRowStripes="1" showColumnStripes="0"/>
</table>
</file>

<file path=xl/tables/table13.xml><?xml version="1.0" encoding="utf-8"?>
<table xmlns="http://schemas.openxmlformats.org/spreadsheetml/2006/main" id="307" name="Tabulka307" displayName="Tabulka307" ref="R143:W144" tableType="xml" insertRow="1" totalsRowShown="0" headerRowDxfId="33">
  <autoFilter ref="R143:W144"/>
  <tableColumns count="6">
    <tableColumn id="1" uniqueName="kc_poj6p" name="kc_poj6p">
      <xmlColumnPr mapId="6" xpath="/Pisemnost/DPFDP5/Vetab/@kc_poj6p" xmlDataType="decimal"/>
    </tableColumn>
    <tableColumn id="2" uniqueName="kc_prij6p" name="kc_prij6p">
      <xmlColumnPr mapId="6" xpath="/Pisemnost/DPFDP5/Vetab/@kc_prij6p" xmlDataType="decimal"/>
    </tableColumn>
    <tableColumn id="3" uniqueName="kc_srazp" name="kc_srazp">
      <xmlColumnPr mapId="6" xpath="/Pisemnost/DPFDP5/Vetab/@kc_srazp" xmlDataType="decimal"/>
    </tableColumn>
    <tableColumn id="4" uniqueName="kc_vyplbonusp" name="kc_vyplbonusp">
      <xmlColumnPr mapId="6" xpath="/Pisemnost/DPFDP5/Vetab/@kc_vyplbonusp" xmlDataType="decimal"/>
    </tableColumn>
    <tableColumn id="5" uniqueName="kc_zalzavcp" name="kc_zalzavcp">
      <xmlColumnPr mapId="6" xpath="/Pisemnost/DPFDP5/Vetab/@kc_zalzavcp" xmlDataType="decimal"/>
    </tableColumn>
    <tableColumn id="6" uniqueName="kc_sraz368p" name="kc_sraz368p">
      <xmlColumnPr mapId="6" xpath="/Pisemnost/DPFDP5/Vetab/@kc_sraz368p" xmlDataType="decimal"/>
    </tableColumn>
  </tableColumns>
  <tableStyleInfo name="TableStyleMedium2" showFirstColumn="0" showLastColumn="0" showRowStripes="1" showColumnStripes="0"/>
</table>
</file>

<file path=xl/tables/table14.xml><?xml version="1.0" encoding="utf-8"?>
<table xmlns="http://schemas.openxmlformats.org/spreadsheetml/2006/main" id="308" name="Tabulka308" displayName="Tabulka308" ref="R153:V169" tableType="xml" totalsRowShown="0" headerRowDxfId="32">
  <autoFilter ref="R153:V169"/>
  <tableColumns count="5">
    <tableColumn id="1" uniqueName="dan_seznam" name="dan_seznam" dataDxfId="31">
      <calculatedColumnFormula>IF(Př_b!E10&lt;&gt;"",Př_b!E10,"")</calculatedColumnFormula>
      <xmlColumnPr mapId="6" xpath="/Pisemnost/DPFDP5/Vetad/@dan_seznam" xmlDataType="decimal"/>
    </tableColumn>
    <tableColumn id="2" uniqueName="ident_udaje" name="ident_udaje" dataDxfId="30">
      <calculatedColumnFormula>IF(AND(Př_b!B10&lt;&gt;"",Př_b!B10&lt;&gt;0),Př_b!B10,"")</calculatedColumnFormula>
      <xmlColumnPr mapId="6" xpath="/Pisemnost/DPFDP5/Vetad/@ident_udaje" xmlDataType="string"/>
    </tableColumn>
    <tableColumn id="3" uniqueName="k_stat_zdroj" name="k_stat_zdroj" dataDxfId="29">
      <calculatedColumnFormula>IF(AND(Př_b!C10&lt;&gt;"",Př_b!C10&lt;&gt;0),VLOOKUP(Př_b!C10,FU!$J$3:$K$253,2,FALSE),"")</calculatedColumnFormula>
      <xmlColumnPr mapId="6" xpath="/Pisemnost/DPFDP5/Vetad/@k_stat_zdroj" xmlDataType="string"/>
    </tableColumn>
    <tableColumn id="4" uniqueName="prijmy_seznam" name="prijmy_seznam" dataDxfId="28">
      <calculatedColumnFormula>IF(Př_b!F10&lt;&gt;"",Př_b!F10,"")</calculatedColumnFormula>
      <xmlColumnPr mapId="6" xpath="/Pisemnost/DPFDP5/Vetad/@prijmy_seznam" xmlDataType="decimal"/>
    </tableColumn>
    <tableColumn id="5" uniqueName="zapl_dan" name="zapl_dan" dataDxfId="27">
      <calculatedColumnFormula>IF(Př_b!D10&lt;&gt;"",Př_b!D10,"")</calculatedColumnFormula>
      <xmlColumnPr mapId="6" xpath="/Pisemnost/DPFDP5/Vetad/@zapl_dan" xmlDataType="decimal"/>
    </tableColumn>
  </tableColumns>
  <tableStyleInfo name="TableStyleMedium2" showFirstColumn="0" showLastColumn="0" showRowStripes="1" showColumnStripes="0"/>
</table>
</file>

<file path=xl/tables/table15.xml><?xml version="1.0" encoding="utf-8"?>
<table xmlns="http://schemas.openxmlformats.org/spreadsheetml/2006/main" id="309" name="Tabulka309" displayName="Tabulka309" ref="R177:W254" tableType="xml" totalsRowShown="0" headerRowDxfId="26">
  <autoFilter ref="R177:W254"/>
  <tableColumns count="6">
    <tableColumn id="1" uniqueName="c_listu" name="c_listu" dataDxfId="25">
      <calculatedColumnFormula>$Q$178</calculatedColumnFormula>
      <xmlColumnPr mapId="6" xpath="/Pisemnost/DPFDP5/VetaUA/@c_listu" xmlDataType="decimal"/>
    </tableColumn>
    <tableColumn id="2" uniqueName="c_radku" name="c_radku" dataDxfId="24">
      <calculatedColumnFormula>IF($B$38="P",Y178,IF($B$38="Z",IF(Z178&lt;&gt;"",Z178,""),IF($B$38="M",IF(AA178&lt;&gt;"",AA178,""),Y178)))</calculatedColumnFormula>
      <xmlColumnPr mapId="6" xpath="/Pisemnost/DPFDP5/VetaUA/@c_radku" xmlDataType="decimal"/>
    </tableColumn>
    <tableColumn id="3" uniqueName="kc_brutto" name="kc_brutto" dataDxfId="23">
      <xmlColumnPr mapId="6" xpath="/Pisemnost/DPFDP5/VetaUA/@kc_brutto" xmlDataType="decimal"/>
    </tableColumn>
    <tableColumn id="4" uniqueName="kc_korekce" name="kc_korekce" dataDxfId="22">
      <xmlColumnPr mapId="6" xpath="/Pisemnost/DPFDP5/VetaUA/@kc_korekce" xmlDataType="decimal"/>
    </tableColumn>
    <tableColumn id="5" uniqueName="kc_netto" name="kc_netto" dataDxfId="21">
      <xmlColumnPr mapId="6" xpath="/Pisemnost/DPFDP5/VetaUA/@kc_netto" xmlDataType="decimal"/>
    </tableColumn>
    <tableColumn id="6" uniqueName="kc_netto_min" name="kc_netto_min" dataDxfId="20">
      <xmlColumnPr mapId="6" xpath="/Pisemnost/DPFDP5/VetaUA/@kc_netto_min" xmlDataType="decimal"/>
    </tableColumn>
  </tableColumns>
  <tableStyleInfo name="TableStyleMedium2" showFirstColumn="0" showLastColumn="0" showRowStripes="1" showColumnStripes="0"/>
</table>
</file>

<file path=xl/tables/table16.xml><?xml version="1.0" encoding="utf-8"?>
<table xmlns="http://schemas.openxmlformats.org/spreadsheetml/2006/main" id="310" name="Tabulka310" displayName="Tabulka310" ref="AB177:AE233" tableType="xml" totalsRowShown="0" headerRowDxfId="19">
  <autoFilter ref="AB177:AE233"/>
  <tableColumns count="4">
    <tableColumn id="1" uniqueName="c_listu" name="c_listu" dataDxfId="18">
      <calculatedColumnFormula>$AB$176</calculatedColumnFormula>
      <xmlColumnPr mapId="6" xpath="/Pisemnost/DPFDP5/VetaUB/@c_listu" xmlDataType="decimal"/>
    </tableColumn>
    <tableColumn id="2" uniqueName="c_radku" name="c_radku" dataDxfId="17">
      <calculatedColumnFormula>IF($B$38="P",AG178,IF(AH178&lt;&gt;"",AH178,""))</calculatedColumnFormula>
      <xmlColumnPr mapId="6" xpath="/Pisemnost/DPFDP5/VetaUB/@c_radku" xmlDataType="decimal"/>
    </tableColumn>
    <tableColumn id="3" uniqueName="kc_min" name="kc_min" dataDxfId="16">
      <xmlColumnPr mapId="6" xpath="/Pisemnost/DPFDP5/VetaUB/@kc_min" xmlDataType="decimal"/>
    </tableColumn>
    <tableColumn id="4" uniqueName="kc_sled" name="kc_sled" dataDxfId="15">
      <xmlColumnPr mapId="6" xpath="/Pisemnost/DPFDP5/VetaUB/@kc_sled" xmlDataType="decimal"/>
    </tableColumn>
  </tableColumns>
  <tableStyleInfo name="TableStyleMedium2" showFirstColumn="0" showLastColumn="0" showRowStripes="1" showColumnStripes="0"/>
</table>
</file>

<file path=xl/tables/table17.xml><?xml version="1.0" encoding="utf-8"?>
<table xmlns="http://schemas.openxmlformats.org/spreadsheetml/2006/main" id="311" name="Tabulka311" displayName="Tabulka311" ref="AJ177:AM178" insertRow="1" totalsRowShown="0" headerRowDxfId="14">
  <autoFilter ref="AJ177:AM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18.xml><?xml version="1.0" encoding="utf-8"?>
<table xmlns="http://schemas.openxmlformats.org/spreadsheetml/2006/main" id="312" name="Tabulka312" displayName="Tabulka312" ref="AQ177:AT243" tableType="xml" totalsRowShown="0" headerRowDxfId="13">
  <autoFilter ref="AQ177:AT243"/>
  <tableColumns count="4">
    <tableColumn id="1" uniqueName="c_listu" name="c_listu" dataDxfId="12">
      <calculatedColumnFormula>$AP$178</calculatedColumnFormula>
      <xmlColumnPr mapId="6" xpath="/Pisemnost/DPFDP5/VetaUD/@c_listu" xmlDataType="decimal"/>
    </tableColumn>
    <tableColumn id="2" uniqueName="c_radku" name="c_radku" dataDxfId="11">
      <calculatedColumnFormula>IF($B$38="P",AV178,IF($B$38="Z",IF(AW178&lt;&gt;"",AW178,""),IF($B$38="M",IF(AX178&lt;&gt;"",AX178,""),AV178)))</calculatedColumnFormula>
      <xmlColumnPr mapId="6" xpath="/Pisemnost/DPFDP5/VetaUD/@c_radku" xmlDataType="decimal"/>
    </tableColumn>
    <tableColumn id="3" uniqueName="kc_min" name="kc_min" dataDxfId="10">
      <xmlColumnPr mapId="6" xpath="/Pisemnost/DPFDP5/VetaUD/@kc_min" xmlDataType="decimal"/>
    </tableColumn>
    <tableColumn id="4" uniqueName="kc_sled" name="kc_sled" dataDxfId="9">
      <xmlColumnPr mapId="6" xpath="/Pisemnost/DPFDP5/VetaUD/@kc_sled" xmlDataType="decimal"/>
    </tableColumn>
  </tableColumns>
  <tableStyleInfo name="TableStyleMedium2" showFirstColumn="0" showLastColumn="0" showRowStripes="1" showColumnStripes="0"/>
</table>
</file>

<file path=xl/tables/table19.xml><?xml version="1.0" encoding="utf-8"?>
<table xmlns="http://schemas.openxmlformats.org/spreadsheetml/2006/main" id="313" name="Tabulka313" displayName="Tabulka313" ref="AZ177:BC178" insertRow="1" totalsRowShown="0" headerRowDxfId="8">
  <autoFilter ref="AZ177:BC178"/>
  <tableColumns count="4">
    <tableColumn id="1" name="c_listu"/>
    <tableColumn id="2" name="c_radku"/>
    <tableColumn id="3" name="kc_min"/>
    <tableColumn id="4" name="kc_sled"/>
  </tableColumns>
  <tableStyleInfo name="TableStyleMedium2" showFirstColumn="0" showLastColumn="0" showRowStripes="1" showColumnStripes="0"/>
</table>
</file>

<file path=xl/tables/table2.xml><?xml version="1.0" encoding="utf-8"?>
<table xmlns="http://schemas.openxmlformats.org/spreadsheetml/2006/main" id="220" name="Tabulka220" displayName="Tabulka220" ref="R20:U23" tableType="xml" totalsRowShown="0" headerRowDxfId="78">
  <autoFilter ref="R20:U23"/>
  <tableColumns count="4">
    <tableColumn id="1" uniqueName="c_nace_dal" name="c_nace_dal" dataDxfId="77">
      <calculatedColumnFormula>IF(ISNUMBER(W21),IF(VALUE(W21)&gt;99999,VALUE(W21),IF(VALUE(W21)&gt;9999,VALUE(W21)*10,IF(VALUE(W21)&gt;999,VALUE(W21)*100,IF(VALUE(W21)&gt;99,VALUE(W21)*1000,IF(VALUE(W21)&gt;9,VALUE(W21)*10000,VALUE(W21)*100000))))),"")</calculatedColumnFormula>
      <xmlColumnPr mapId="6" xpath="/Pisemnost/DPFDP5/Vetac/@c_nace_dal" xmlDataType="decimal"/>
    </tableColumn>
    <tableColumn id="2" uniqueName="prijmy7" name="prijmy7" dataDxfId="76">
      <calculatedColumnFormula>IF('1Př1'!F35&lt;&gt;0,'1Př1'!F35,"")</calculatedColumnFormula>
      <xmlColumnPr mapId="6" xpath="/Pisemnost/DPFDP5/Vetac/@prijmy7" xmlDataType="decimal"/>
    </tableColumn>
    <tableColumn id="3" uniqueName="sazba_dal" name="sazba_dal" dataDxfId="75">
      <calculatedColumnFormula>IF(AND('1Př1'!D35&lt;&gt;0,'1Př1'!D35&lt;&gt;""),100*'1Př1'!D35,"")</calculatedColumnFormula>
      <xmlColumnPr mapId="6" xpath="/Pisemnost/DPFDP5/Vetac/@sazba_dal" xmlDataType="decimal"/>
    </tableColumn>
    <tableColumn id="4" uniqueName="vydaje7" name="vydaje7" dataDxfId="74">
      <calculatedColumnFormula>IF(ISNUMBER(W21),'1Př1'!H35,"")</calculatedColumnFormula>
      <xmlColumnPr mapId="6" xpath="/Pisemnost/DPFDP5/Vetac/@vydaje7" xmlDataType="decimal"/>
    </tableColumn>
  </tableColumns>
  <tableStyleInfo name="TableStyleMedium2" showFirstColumn="0" showLastColumn="0" showRowStripes="1" showColumnStripes="0"/>
</table>
</file>

<file path=xl/tables/table20.xml><?xml version="1.0" encoding="utf-8"?>
<table xmlns="http://schemas.openxmlformats.org/spreadsheetml/2006/main" id="314" name="Tabulka314" displayName="Tabulka314" ref="R271:X272" insertRow="1" totalsRowShown="0" headerRowDxfId="7">
  <autoFilter ref="R271:X272"/>
  <tableColumns count="7">
    <tableColumn id="1" name="c_listu"/>
    <tableColumn id="2" name="c_radku"/>
    <tableColumn id="3" name="kc_brutto"/>
    <tableColumn id="4" name="kc_korekce"/>
    <tableColumn id="5" name="kc_netto"/>
    <tableColumn id="6" name="kc_netto_min"/>
    <tableColumn id="7" name="tab_uv"/>
  </tableColumns>
  <tableStyleInfo name="TableStyleMedium2" showFirstColumn="0" showLastColumn="0" showRowStripes="1" showColumnStripes="0"/>
</table>
</file>

<file path=xl/tables/table21.xml><?xml version="1.0" encoding="utf-8"?>
<table xmlns="http://schemas.openxmlformats.org/spreadsheetml/2006/main" id="315" name="Tabulka315" displayName="Tabulka315" ref="R281:V282" insertRow="1" totalsRowShown="0" headerRowDxfId="6">
  <autoFilter ref="R281:V282"/>
  <tableColumns count="5">
    <tableColumn id="1" name="c_listu"/>
    <tableColumn id="2" name="c_radku"/>
    <tableColumn id="3" name="kc_min"/>
    <tableColumn id="4" name="kc_sled"/>
    <tableColumn id="5" name="tab_uv"/>
  </tableColumns>
  <tableStyleInfo name="TableStyleMedium2" showFirstColumn="0" showLastColumn="0" showRowStripes="1" showColumnStripes="0"/>
</table>
</file>

<file path=xl/tables/table22.xml><?xml version="1.0" encoding="utf-8"?>
<table xmlns="http://schemas.openxmlformats.org/spreadsheetml/2006/main" id="316" name="Tabulka316" displayName="Tabulka316" ref="R291:U292" tableType="xml" totalsRowShown="0" headerRowDxfId="5">
  <autoFilter ref="R291:U292"/>
  <tableColumns count="4">
    <tableColumn id="1" uniqueName="c_porlist" name="c_porlist" dataDxfId="4">
      <calculatedColumnFormula>IF('2Př'!C32&lt;&gt;"",MID('2Př'!C32,FIND("-",'2Př'!C32,1)+1,FIND("/",'2Př'!C32,1)-FIND("-",'2Př'!C32,1)-1),"")</calculatedColumnFormula>
      <xmlColumnPr mapId="6" xpath="/Pisemnost/DPFDP5/Vetae/@c_porlist" xmlDataType="decimal"/>
    </tableColumn>
    <tableColumn id="2" uniqueName="c_prac_ku" name="c_prac_ku" dataDxfId="3">
      <calculatedColumnFormula>IF('2Př'!C32&lt;&gt;"",MID('2Př'!C32,FIND("-",'2Př'!C32,3)+1,LEN('2Př'!C32)-FIND("-",'2Př'!C32,3)),"")</calculatedColumnFormula>
      <xmlColumnPr mapId="6" xpath="/Pisemnost/DPFDP5/Vetae/@c_prac_ku" xmlDataType="decimal"/>
    </tableColumn>
    <tableColumn id="3" uniqueName="rok_list" name="rok_list" dataDxfId="2">
      <calculatedColumnFormula>IF('2Př'!C32&lt;&gt;"",MID('2Př'!C32,FIND("/",'2Př'!C32,1)+1,4),"")</calculatedColumnFormula>
      <xmlColumnPr mapId="6" xpath="/Pisemnost/DPFDP5/Vetae/@rok_list" xmlDataType="decimal"/>
    </tableColumn>
    <tableColumn id="4" uniqueName="typ_list" name="typ_list" dataDxfId="1">
      <calculatedColumnFormula>IF('2Př'!C32&lt;&gt;"",LEFT('2Př'!C32,1),"")</calculatedColumnFormula>
      <xmlColumnPr mapId="6" xpath="/Pisemnost/DPFDP5/Vetae/@typ_list" xmlDataType="string"/>
    </tableColumn>
  </tableColumns>
  <tableStyleInfo name="TableStyleMedium2" showFirstColumn="0" showLastColumn="0" showRowStripes="1" showColumnStripes="0"/>
</table>
</file>

<file path=xl/tables/table23.xml><?xml version="1.0" encoding="utf-8"?>
<table xmlns="http://schemas.openxmlformats.org/spreadsheetml/2006/main" id="317" name="Tabulka317" displayName="Tabulka317" ref="R301:U302" insertRow="1" totalsRowShown="0" headerRowDxfId="0">
  <autoFilter ref="R301:U302"/>
  <tableColumns count="4">
    <tableColumn id="1" name="cislo"/>
    <tableColumn id="2" name="nazev"/>
    <tableColumn id="3" name="jm_souboru"/>
    <tableColumn id="4" name="kodovani"/>
  </tableColumns>
  <tableStyleInfo name="TableStyleMedium2" showFirstColumn="0" showLastColumn="0" showRowStripes="1" showColumnStripes="0"/>
</table>
</file>

<file path=xl/tables/table24.xml><?xml version="1.0" encoding="utf-8"?>
<table xmlns="http://schemas.openxmlformats.org/spreadsheetml/2006/main" id="318" name="Tabulka318" displayName="Tabulka318" ref="R311:V312" insertRow="1" totalsRowShown="0">
  <autoFilter ref="R311:V312"/>
  <tableColumns count="5">
    <tableColumn id="1" name="cislo"/>
    <tableColumn id="2" name="nazev"/>
    <tableColumn id="3" name="jm_souboru"/>
    <tableColumn id="4" name="kodovani"/>
    <tableColumn id="5" name="kod"/>
  </tableColumns>
  <tableStyleInfo name="TableStyleMedium2" showFirstColumn="0" showLastColumn="0" showRowStripes="1" showColumnStripes="0"/>
</table>
</file>

<file path=xl/tables/table3.xml><?xml version="1.0" encoding="utf-8"?>
<table xmlns="http://schemas.openxmlformats.org/spreadsheetml/2006/main" id="238" name="Tabulka238" displayName="Tabulka238" ref="R40:S44" tableType="xml" totalsRowShown="0" headerRowDxfId="73">
  <autoFilter ref="R40:S44"/>
  <tableColumns count="2">
    <tableColumn id="1" uniqueName="kc_uprzvys_235" name="kc_uprzvys_235" dataDxfId="72">
      <calculatedColumnFormula>IF('1Př2'!F20&lt;&gt;"",'1Př2'!F20,"")</calculatedColumnFormula>
      <xmlColumnPr mapId="6" xpath="/Pisemnost/DPFDP5/VetaC/@kc_uprzvys_235" xmlDataType="decimal"/>
    </tableColumn>
    <tableColumn id="2" uniqueName="uprzvys_235" name="uprzvys_235" dataDxfId="71">
      <calculatedColumnFormula>IF('1Př2'!B20&lt;&gt;"",'1Př2'!B20,"")</calculatedColumnFormula>
      <xmlColumnPr mapId="6" xpath="/Pisemnost/DPFDP5/VetaC/@uprzvys_235" xmlDataType="string"/>
    </tableColumn>
  </tableColumns>
  <tableStyleInfo name="TableStyleMedium2" showFirstColumn="0" showLastColumn="0" showRowStripes="1" showColumnStripes="0"/>
</table>
</file>

<file path=xl/tables/table4.xml><?xml version="1.0" encoding="utf-8"?>
<table xmlns="http://schemas.openxmlformats.org/spreadsheetml/2006/main" id="239" name="Tabulka239" displayName="Tabulka239" ref="R50:S54" tableType="xml" totalsRowShown="0" headerRowDxfId="70">
  <autoFilter ref="R50:S54"/>
  <tableColumns count="2">
    <tableColumn id="1" uniqueName="kc_uprsniz_235" name="kc_uprsniz_235" dataDxfId="69">
      <calculatedColumnFormula>IF('1Př2'!F26&lt;&gt;"",'1Př2'!F26,"")</calculatedColumnFormula>
      <xmlColumnPr mapId="6" xpath="/Pisemnost/DPFDP5/VetaE/@kc_uprsniz_235" xmlDataType="decimal"/>
    </tableColumn>
    <tableColumn id="2" uniqueName="uprsniz_235" name="uprsniz_235" dataDxfId="68">
      <calculatedColumnFormula>IF('1Př2'!B26&lt;&gt;"",'1Př2'!B26,"")</calculatedColumnFormula>
      <xmlColumnPr mapId="6" xpath="/Pisemnost/DPFDP5/VetaE/@uprsniz_235" xmlDataType="string"/>
    </tableColumn>
  </tableColumns>
  <tableStyleInfo name="TableStyleMedium2" showFirstColumn="0" showLastColumn="0" showRowStripes="1" showColumnStripes="0"/>
</table>
</file>

<file path=xl/tables/table5.xml><?xml version="1.0" encoding="utf-8"?>
<table xmlns="http://schemas.openxmlformats.org/spreadsheetml/2006/main" id="240" name="Tabulka240" displayName="Tabulka240" ref="R60:V63" tableType="xml" totalsRowShown="0" headerRowDxfId="67">
  <autoFilter ref="R60:V63"/>
  <tableColumns count="5">
    <tableColumn id="1" uniqueName="ucsdruz_dic" name="ucsdruz_dic" dataDxfId="66">
      <calculatedColumnFormula>IF('1Př2'!E33&lt;&gt;"",MID('1Př2'!E33,3,LEN('1Př2'!E33)-2),"")</calculatedColumnFormula>
      <xmlColumnPr mapId="6" xpath="/Pisemnost/DPFDP5/VetaF/@ucsdruz_dic" xmlDataType="string"/>
    </tableColumn>
    <tableColumn id="2" uniqueName="ucsdruz_jmeno" name="ucsdruz_jmeno" dataDxfId="65">
      <calculatedColumnFormula>IF('1Př2'!B33&lt;&gt;"",'1Př2'!B33,"")</calculatedColumnFormula>
      <xmlColumnPr mapId="6" xpath="/Pisemnost/DPFDP5/VetaF/@ucsdruz_jmeno" xmlDataType="string"/>
    </tableColumn>
    <tableColumn id="3" uniqueName="ucsdruz_podprij" name="ucsdruz_podprij" dataDxfId="64">
      <calculatedColumnFormula>IF('1Př2'!F33&lt;&gt;"",'1Př2'!F33*100,"")</calculatedColumnFormula>
      <xmlColumnPr mapId="6" xpath="/Pisemnost/DPFDP5/VetaF/@ucsdruz_podprij" xmlDataType="decimal"/>
    </tableColumn>
    <tableColumn id="4" uniqueName="ucsdruz_podvyd" name="ucsdruz_podvyd" dataDxfId="63">
      <calculatedColumnFormula>IF('1Př2'!G33&lt;&gt;"",'1Př2'!G33*100,"")</calculatedColumnFormula>
      <xmlColumnPr mapId="6" xpath="/Pisemnost/DPFDP5/VetaF/@ucsdruz_podvyd" xmlDataType="decimal"/>
    </tableColumn>
    <tableColumn id="5" uniqueName="ucsdruz_prijmeni" name="ucsdruz_prijmeni" dataDxfId="62">
      <calculatedColumnFormula>IF('1Př2'!C33&lt;&gt;"",'1Př2'!C33,"")</calculatedColumnFormula>
      <xmlColumnPr mapId="6" xpath="/Pisemnost/DPFDP5/VetaF/@ucsdruz_prijmeni" xmlDataType="string"/>
    </tableColumn>
  </tableColumns>
  <tableStyleInfo name="TableStyleMedium2" showFirstColumn="0" showLastColumn="0" showRowStripes="1" showColumnStripes="0"/>
</table>
</file>

<file path=xl/tables/table6.xml><?xml version="1.0" encoding="utf-8"?>
<table xmlns="http://schemas.openxmlformats.org/spreadsheetml/2006/main" id="241" name="Tabulka241" displayName="Tabulka241" ref="R70:U72" tableType="xml" totalsRowShown="0" headerRowDxfId="61">
  <autoFilter ref="R70:U72"/>
  <tableColumns count="4">
    <tableColumn id="1" uniqueName="spolos_dic" name="spolos_dic" dataDxfId="60">
      <calculatedColumnFormula>IF('1Př2'!F39&lt;&gt;"",IF(OR(ISNUMBER('1Př2'!F39),ISNUMBER(FIND("/",('1Př2'!F39)))),'1Př2'!F39,MID('1Př2'!F39,3,(LEN('1Př2'!F39)-2))),"")</calculatedColumnFormula>
      <xmlColumnPr mapId="6" xpath="/Pisemnost/DPFDP5/VetaG/@spolos_dic" xmlDataType="string"/>
    </tableColumn>
    <tableColumn id="2" uniqueName="spolos_jmeno" name="spolos_jmeno" dataDxfId="59">
      <calculatedColumnFormula>IF('1Př2'!B39&lt;&gt;"",'1Př2'!B39,"")</calculatedColumnFormula>
      <xmlColumnPr mapId="6" xpath="/Pisemnost/DPFDP5/VetaG/@spolos_jmeno" xmlDataType="string"/>
    </tableColumn>
    <tableColumn id="3" uniqueName="spolos_podil" name="spolos_podil" dataDxfId="58">
      <calculatedColumnFormula>IF('1Př2'!G39&lt;&gt;"",('1Př2'!G39)*100,"")</calculatedColumnFormula>
      <xmlColumnPr mapId="6" xpath="/Pisemnost/DPFDP5/VetaG/@spolos_podil" xmlDataType="decimal"/>
    </tableColumn>
    <tableColumn id="4" uniqueName="spolos_prijmeni" name="spolos_prijmeni" dataDxfId="57">
      <calculatedColumnFormula>IF('1Př2'!D39&lt;&gt;"",'1Př2'!D39,"")</calculatedColumnFormula>
      <xmlColumnPr mapId="6" xpath="/Pisemnost/DPFDP5/VetaG/@spolos_prijmeni" xmlDataType="string"/>
    </tableColumn>
  </tableColumns>
  <tableStyleInfo name="TableStyleMedium2" showFirstColumn="0" showLastColumn="0" showRowStripes="1" showColumnStripes="0"/>
</table>
</file>

<file path=xl/tables/table7.xml><?xml version="1.0" encoding="utf-8"?>
<table xmlns="http://schemas.openxmlformats.org/spreadsheetml/2006/main" id="242" name="Tabulka242" displayName="Tabulka242" ref="R80:U81" tableType="xml" totalsRowShown="0" headerRowDxfId="56">
  <autoFilter ref="R80:U81"/>
  <tableColumns count="4">
    <tableColumn id="1" uniqueName="rozdos_dic" name="rozdos_dic" dataDxfId="55">
      <calculatedColumnFormula>IF('1Př2'!F44&lt;&gt;"",MID('1Př2'!F44,3,LEN('1Př2'!F44)-2),"")</calculatedColumnFormula>
      <xmlColumnPr mapId="6" xpath="/Pisemnost/DPFDP5/VetaH/@rozdos_dic" xmlDataType="string"/>
    </tableColumn>
    <tableColumn id="2" uniqueName="rozdos_jmeno" name="rozdos_jmeno" dataDxfId="54">
      <calculatedColumnFormula>IF('1Př2'!B44&lt;&gt;"",'1Př2'!B44,"")</calculatedColumnFormula>
      <xmlColumnPr mapId="6" xpath="/Pisemnost/DPFDP5/VetaH/@rozdos_jmeno" xmlDataType="string"/>
    </tableColumn>
    <tableColumn id="3" uniqueName="rozdos_podil" name="rozdos_podil">
      <calculatedColumnFormula>IF('1Př2'!G44&lt;&gt;"",'1Př2'!G44*100,"")</calculatedColumnFormula>
      <xmlColumnPr mapId="6" xpath="/Pisemnost/DPFDP5/VetaH/@rozdos_podil" xmlDataType="decimal"/>
    </tableColumn>
    <tableColumn id="4" uniqueName="rozdos_prijmeni" name="rozdos_prijmeni" dataDxfId="53">
      <calculatedColumnFormula>IF('1Př2'!D44&lt;&gt;"",'1Př2'!D44,"")</calculatedColumnFormula>
      <xmlColumnPr mapId="6" xpath="/Pisemnost/DPFDP5/VetaH/@rozdos_prijmeni" xmlDataType="string"/>
    </tableColumn>
  </tableColumns>
  <tableStyleInfo name="TableStyleMedium2" showFirstColumn="0" showLastColumn="0" showRowStripes="1" showColumnStripes="0"/>
</table>
</file>

<file path=xl/tables/table8.xml><?xml version="1.0" encoding="utf-8"?>
<table xmlns="http://schemas.openxmlformats.org/spreadsheetml/2006/main" id="243" name="Tabulka243" displayName="Tabulka243" ref="R90:S91" tableType="xml" totalsRowShown="0" headerRowDxfId="52">
  <autoFilter ref="R90:S91"/>
  <tableColumns count="2">
    <tableColumn id="1" uniqueName="vos_ks_dic" name="vos_ks_dic" dataDxfId="51">
      <calculatedColumnFormula>IF('1Př2'!F47&lt;&gt;"",MID('1Př2'!F47,3,LEN('1Př2'!F47)-2),"")</calculatedColumnFormula>
      <xmlColumnPr mapId="6" xpath="/Pisemnost/DPFDP5/VetaI/@vos_ks_dic" xmlDataType="string"/>
    </tableColumn>
    <tableColumn id="2" uniqueName="vos_ks_podil" name="vos_ks_podil">
      <calculatedColumnFormula>IF('1Př2'!G47&lt;&gt;"",'1Př2'!G47*100,"")</calculatedColumnFormula>
      <xmlColumnPr mapId="6" xpath="/Pisemnost/DPFDP5/VetaI/@vos_ks_podil" xmlDataType="decimal"/>
    </tableColumn>
  </tableColumns>
  <tableStyleInfo name="TableStyleMedium2" showFirstColumn="0" showLastColumn="0" showRowStripes="1" showColumnStripes="0"/>
</table>
</file>

<file path=xl/tables/table9.xml><?xml version="1.0" encoding="utf-8"?>
<table xmlns="http://schemas.openxmlformats.org/spreadsheetml/2006/main" id="263" name="Tabulka263" displayName="Tabulka263" ref="R100:W104" tableType="xml" totalsRowShown="0" headerRowDxfId="50">
  <autoFilter ref="R100:W104"/>
  <tableColumns count="6">
    <tableColumn id="1" uniqueName="druh_prij10" name="druh_prij10" dataDxfId="49">
      <calculatedColumnFormula>IF('2Př'!B26&lt;&gt;"",'2Př'!B26,"")</calculatedColumnFormula>
      <xmlColumnPr mapId="6" xpath="/Pisemnost/DPFDP5/VetaJ/@druh_prij10" xmlDataType="string"/>
    </tableColumn>
    <tableColumn id="2" uniqueName="kod10" name="kod10" dataDxfId="48">
      <calculatedColumnFormula>IF('2Př'!J26&lt;&gt;"",'2Př'!J26,"")</calculatedColumnFormula>
      <xmlColumnPr mapId="6" xpath="/Pisemnost/DPFDP5/VetaJ/@kod10" xmlDataType="string"/>
    </tableColumn>
    <tableColumn id="3" uniqueName="kod_dr_prij10" name="kod_dr_prij10" dataDxfId="47">
      <calculatedColumnFormula>IF('2Př'!B26&lt;&gt;"",MID('2Př'!B26,1,1),"")</calculatedColumnFormula>
      <xmlColumnPr mapId="6" xpath="/Pisemnost/DPFDP5/VetaJ/@kod_dr_prij10" xmlDataType="string"/>
    </tableColumn>
    <tableColumn id="4" uniqueName="prijmy10" name="prijmy10" dataDxfId="46">
      <calculatedColumnFormula>IF(AND('2Př'!D26&lt;&gt;"",'2Př'!D26&lt;&gt;0),'2Př'!D26,"")</calculatedColumnFormula>
      <xmlColumnPr mapId="6" xpath="/Pisemnost/DPFDP5/VetaJ/@prijmy10" xmlDataType="decimal"/>
    </tableColumn>
    <tableColumn id="5" uniqueName="rozdil10" name="rozdil10" dataDxfId="45">
      <calculatedColumnFormula>IF('2Př'!H26&lt;&gt;"",'2Př'!H26,"")</calculatedColumnFormula>
      <xmlColumnPr mapId="6" xpath="/Pisemnost/DPFDP5/VetaJ/@rozdil10" xmlDataType="decimal"/>
    </tableColumn>
    <tableColumn id="6" uniqueName="vydaje10" name="vydaje10" dataDxfId="44">
      <calculatedColumnFormula>IF(AND('2Př'!F26&lt;&gt;"",'2Př'!F26&lt;&gt;0),'2Př'!F26,"")</calculatedColumnFormula>
      <xmlColumnPr mapId="6" xpath="/Pisemnost/DPFDP5/VetaJ/@vydaje10" xmlDataType="decimal"/>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 r="B26" connectionId="0">
    <xmlCellPr id="1" uniqueName="kc_op15_1e1">
      <xmlPr mapId="6" xpath="/Pisemnost/DPFDP5/VetaD/@kc_op15_1e1" xmlDataType="decimal"/>
    </xmlCellPr>
  </singleXmlCell>
  <singleXmlCell id="2" r="B32" connectionId="0">
    <xmlCellPr id="1" uniqueName="kc_rozdbonus">
      <xmlPr mapId="6" xpath="/Pisemnost/DPFDP5/VetaD/@kc_rozdbonus" xmlDataType="decimal"/>
    </xmlCellPr>
  </singleXmlCell>
  <singleXmlCell id="3" r="B11" connectionId="0">
    <xmlCellPr id="1" uniqueName="da_slezap">
      <xmlPr mapId="6" xpath="/Pisemnost/DPFDP5/VetaD/@da_slezap" xmlDataType="decimal"/>
    </xmlCellPr>
  </singleXmlCell>
  <singleXmlCell id="4" r="B72" connectionId="0">
    <xmlCellPr id="1" uniqueName="zdobd_od">
      <xmlPr mapId="6" xpath="/Pisemnost/DPFDP5/VetaD/@zdobd_od" xmlDataType="string"/>
    </xmlCellPr>
  </singleXmlCell>
  <singleXmlCell id="5" r="B71" connectionId="0">
    <xmlCellPr id="1" uniqueName="zdobd_do">
      <xmlPr mapId="6" xpath="/Pisemnost/DPFDP5/VetaD/@zdobd_do" xmlDataType="string"/>
    </xmlCellPr>
  </singleXmlCell>
  <singleXmlCell id="6" r="B69" connectionId="0">
    <xmlCellPr id="1" uniqueName="uv_rozsah">
      <xmlPr mapId="6" xpath="/Pisemnost/DPFDP5/VetaD/@uv_rozsah" xmlDataType="string"/>
    </xmlCellPr>
  </singleXmlCell>
  <singleXmlCell id="7" r="B33" connectionId="0">
    <xmlCellPr id="1" uniqueName="kc_rozdil_dp">
      <xmlPr mapId="6" xpath="/Pisemnost/DPFDP5/VetaD/@kc_rozdil_dp" xmlDataType="decimal"/>
    </xmlCellPr>
  </singleXmlCell>
  <singleXmlCell id="8" r="B29" connectionId="0">
    <xmlCellPr id="1" uniqueName="kc_promdan">
      <xmlPr mapId="6" xpath="/Pisemnost/DPFDP5/VetaD/@kc_promdan" xmlDataType="decimal"/>
    </xmlCellPr>
  </singleXmlCell>
  <singleXmlCell id="9" r="B60" connectionId="0">
    <xmlCellPr id="1" uniqueName="manz_r_cislo">
      <xmlPr mapId="6" xpath="/Pisemnost/DPFDP5/VetaD/@manz_r_cislo" xmlDataType="string"/>
    </xmlCellPr>
  </singleXmlCell>
  <singleXmlCell id="10" r="B31" connectionId="0">
    <xmlCellPr id="1" uniqueName="kc_pzzt">
      <xmlPr mapId="6" xpath="/Pisemnost/DPFDP5/VetaD/@kc_pzzt" xmlDataType="decimal"/>
    </xmlCellPr>
  </singleXmlCell>
  <singleXmlCell id="11" r="B59" connectionId="0">
    <xmlCellPr id="1" uniqueName="manz_prijmeni">
      <xmlPr mapId="6" xpath="/Pisemnost/DPFDP5/VetaD/@manz_prijmeni" xmlDataType="string"/>
    </xmlCellPr>
  </singleXmlCell>
  <singleXmlCell id="12" r="B14" connectionId="0">
    <xmlCellPr id="1" uniqueName="duvpoddapdpf">
      <xmlPr mapId="6" xpath="/Pisemnost/DPFDP5/VetaD/@duvpoddapdpf" xmlDataType="string"/>
    </xmlCellPr>
  </singleXmlCell>
  <singleXmlCell id="13" r="B50" connectionId="0">
    <xmlCellPr id="1" uniqueName="m_cinvduch">
      <xmlPr mapId="6" xpath="/Pisemnost/DPFDP5/VetaD/@m_cinvduch" xmlDataType="decimal"/>
    </xmlCellPr>
  </singleXmlCell>
  <singleXmlCell id="14" r="B2" connectionId="0">
    <xmlCellPr id="1" uniqueName="audit">
      <xmlPr mapId="6" xpath="/Pisemnost/DPFDP5/VetaD/@audit" xmlDataType="string"/>
    </xmlCellPr>
  </singleXmlCell>
  <singleXmlCell id="15" r="B62" connectionId="0">
    <xmlCellPr id="1" uniqueName="pln_moc">
      <xmlPr mapId="6" xpath="/Pisemnost/DPFDP5/VetaD/@pln_moc" xmlDataType="string"/>
    </xmlCellPr>
  </singleXmlCell>
  <singleXmlCell id="16" r="B55" connectionId="0">
    <xmlCellPr id="1" uniqueName="m_stud">
      <xmlPr mapId="6" xpath="/Pisemnost/DPFDP5/VetaD/@m_stud" xmlDataType="decimal"/>
    </xmlCellPr>
  </singleXmlCell>
  <singleXmlCell id="17" r="B9" connectionId="0">
    <xmlCellPr id="1" uniqueName="da_slevy35ba">
      <xmlPr mapId="6" xpath="/Pisemnost/DPFDP5/VetaD/@da_slevy35ba" xmlDataType="decimal"/>
    </xmlCellPr>
  </singleXmlCell>
  <singleXmlCell id="18" r="B70" connectionId="0">
    <xmlCellPr id="1" uniqueName="uv_vyhl">
      <xmlPr mapId="6" xpath="/Pisemnost/DPFDP5/VetaD/@uv_vyhl" xmlDataType="decimal"/>
    </xmlCellPr>
  </singleXmlCell>
  <singleXmlCell id="19" r="B76" connectionId="0">
    <xmlCellPr id="1" uniqueName="m_detiztpp3">
      <xmlPr mapId="6" xpath="/Pisemnost/DPFDP5/VetaD/@m_detiztpp3" xmlDataType="decimal"/>
    </xmlCellPr>
  </singleXmlCell>
  <singleXmlCell id="20" r="B27" connectionId="0">
    <xmlCellPr id="1" uniqueName="kc_op15_1e2">
      <xmlPr mapId="6" xpath="/Pisemnost/DPFDP5/VetaD/@kc_op15_1e2" xmlDataType="decimal"/>
    </xmlCellPr>
  </singleXmlCell>
  <singleXmlCell id="21" r="B19" connectionId="0">
    <xmlCellPr id="1" uniqueName="kc_dite_ms">
      <xmlPr mapId="6" xpath="/Pisemnost/DPFDP5/VetaD/@kc_dite_ms" xmlDataType="decimal"/>
    </xmlCellPr>
  </singleXmlCell>
  <singleXmlCell id="22" r="B67" connectionId="0">
    <xmlCellPr id="1" uniqueName="uhrn_slevy35ba">
      <xmlPr mapId="6" xpath="/Pisemnost/DPFDP5/VetaD/@uhrn_slevy35ba" xmlDataType="decimal"/>
    </xmlCellPr>
  </singleXmlCell>
  <singleXmlCell id="23" r="B64" connectionId="0">
    <xmlCellPr id="1" uniqueName="rok">
      <xmlPr mapId="6" xpath="/Pisemnost/DPFDP5/VetaD/@rok" xmlDataType="decimal"/>
    </xmlCellPr>
  </singleXmlCell>
  <singleXmlCell id="24" r="B44" connectionId="0">
    <xmlCellPr id="1" uniqueName="kc_zalpred">
      <xmlPr mapId="6" xpath="/Pisemnost/DPFDP5/VetaD/@kc_zalpred" xmlDataType="decimal"/>
    </xmlCellPr>
  </singleXmlCell>
  <singleXmlCell id="25" r="B66" connectionId="0">
    <xmlCellPr id="1" uniqueName="starduch">
      <xmlPr mapId="6" xpath="/Pisemnost/DPFDP5/VetaD/@starduch" xmlDataType="string"/>
    </xmlCellPr>
  </singleXmlCell>
  <singleXmlCell id="26" r="B34" connectionId="0">
    <xmlCellPr id="1" uniqueName="kc_rozdil_zt">
      <xmlPr mapId="6" xpath="/Pisemnost/DPFDP5/VetaD/@kc_rozdil_zt" xmlDataType="decimal"/>
    </xmlCellPr>
  </singleXmlCell>
  <singleXmlCell id="27" r="B23" connectionId="0">
    <xmlCellPr id="1" uniqueName="kc_op15_1a">
      <xmlPr mapId="6" xpath="/Pisemnost/DPFDP5/VetaD/@kc_op15_1a" xmlDataType="decimal"/>
    </xmlCellPr>
  </singleXmlCell>
  <singleXmlCell id="28" r="B21" connectionId="0">
    <xmlCellPr id="1" uniqueName="kc_konkurs">
      <xmlPr mapId="6" xpath="/Pisemnost/DPFDP5/VetaD/@kc_konkurs" xmlDataType="decimal"/>
    </xmlCellPr>
  </singleXmlCell>
  <singleXmlCell id="29" r="B56" connectionId="0">
    <xmlCellPr id="1" uniqueName="m_vyzmanzl">
      <xmlPr mapId="6" xpath="/Pisemnost/DPFDP5/VetaD/@m_vyzmanzl" xmlDataType="decimal"/>
    </xmlCellPr>
  </singleXmlCell>
  <singleXmlCell id="30" r="B48" connectionId="0">
    <xmlCellPr id="1" uniqueName="kc_zjizt">
      <xmlPr mapId="6" xpath="/Pisemnost/DPFDP5/VetaD/@kc_zjizt" xmlDataType="decimal"/>
    </xmlCellPr>
  </singleXmlCell>
  <singleXmlCell id="31" r="B42" connectionId="0">
    <xmlCellPr id="1" uniqueName="kc_stud">
      <xmlPr mapId="6" xpath="/Pisemnost/DPFDP5/VetaD/@kc_stud" xmlDataType="decimal"/>
    </xmlCellPr>
  </singleXmlCell>
  <singleXmlCell id="32" r="B24" connectionId="0">
    <xmlCellPr id="1" uniqueName="kc_op15_1c">
      <xmlPr mapId="6" xpath="/Pisemnost/DPFDP5/VetaD/@kc_op15_1c" xmlDataType="decimal"/>
    </xmlCellPr>
  </singleXmlCell>
  <singleXmlCell id="33" r="B13" connectionId="0">
    <xmlCellPr id="1" uniqueName="dokument">
      <xmlPr mapId="6" xpath="/Pisemnost/DPFDP5/VetaD/@dokument" xmlDataType="anyType"/>
    </xmlCellPr>
  </singleXmlCell>
  <singleXmlCell id="34" r="B22" connectionId="0">
    <xmlCellPr id="1" uniqueName="kc_manztpp">
      <xmlPr mapId="6" xpath="/Pisemnost/DPFDP5/VetaD/@kc_manztpp" xmlDataType="decimal"/>
    </xmlCellPr>
  </singleXmlCell>
  <singleXmlCell id="35" r="B40" connectionId="0">
    <xmlCellPr id="1" uniqueName="kc_sraz_6_4">
      <xmlPr mapId="6" xpath="/Pisemnost/DPFDP5/VetaD/@kc_sraz_6_4" xmlDataType="decimal"/>
    </xmlCellPr>
  </singleXmlCell>
  <singleXmlCell id="36" r="B75" connectionId="0">
    <xmlCellPr id="1" uniqueName="m_detiztpp2">
      <xmlPr mapId="6" xpath="/Pisemnost/DPFDP5/VetaD/@m_detiztpp2" xmlDataType="decimal"/>
    </xmlCellPr>
  </singleXmlCell>
  <singleXmlCell id="37" r="B28" connectionId="0">
    <xmlCellPr id="1" uniqueName="kc_pausal">
      <xmlPr mapId="6" xpath="/Pisemnost/DPFDP5/VetaD/@kc_pausal" xmlDataType="decimal"/>
    </xmlCellPr>
  </singleXmlCell>
  <singleXmlCell id="38" r="B10" connectionId="0">
    <xmlCellPr id="1" uniqueName="da_slevy35c">
      <xmlPr mapId="6" xpath="/Pisemnost/DPFDP5/VetaD/@da_slevy35c" xmlDataType="decimal"/>
    </xmlCellPr>
  </singleXmlCell>
  <singleXmlCell id="39" r="B51" connectionId="0">
    <xmlCellPr id="1" uniqueName="m_deti">
      <xmlPr mapId="6" xpath="/Pisemnost/DPFDP5/VetaD/@m_deti" xmlDataType="decimal"/>
    </xmlCellPr>
  </singleXmlCell>
  <singleXmlCell id="40" r="B30" connectionId="0">
    <xmlCellPr id="1" uniqueName="kc_pzdp">
      <xmlPr mapId="6" xpath="/Pisemnost/DPFDP5/VetaD/@kc_pzdp" xmlDataType="decimal"/>
    </xmlCellPr>
  </singleXmlCell>
  <singleXmlCell id="41" r="B18" connectionId="0">
    <xmlCellPr id="1" uniqueName="kc_dazvyhod">
      <xmlPr mapId="6" xpath="/Pisemnost/DPFDP5/VetaD/@kc_dazvyhod" xmlDataType="decimal"/>
    </xmlCellPr>
  </singleXmlCell>
  <singleXmlCell id="42" r="B47" connectionId="0">
    <xmlCellPr id="1" uniqueName="kc_zjidp">
      <xmlPr mapId="6" xpath="/Pisemnost/DPFDP5/VetaD/@kc_zjidp" xmlDataType="decimal"/>
    </xmlCellPr>
  </singleXmlCell>
  <singleXmlCell id="43" r="B5" connectionId="0">
    <xmlCellPr id="1" uniqueName="d_uv">
      <xmlPr mapId="6" xpath="/Pisemnost/DPFDP5/VetaD/@d_uv" xmlDataType="string"/>
    </xmlCellPr>
  </singleXmlCell>
  <singleXmlCell id="44" r="B15" connectionId="0">
    <xmlCellPr id="1" uniqueName="k_uladis">
      <xmlPr mapId="6" xpath="/Pisemnost/DPFDP5/VetaD/@k_uladis" xmlDataType="anyType"/>
    </xmlCellPr>
  </singleXmlCell>
  <singleXmlCell id="45" r="B68" connectionId="0">
    <xmlCellPr id="1" uniqueName="uv_podpis">
      <xmlPr mapId="6" xpath="/Pisemnost/DPFDP5/VetaD/@uv_podpis" xmlDataType="string"/>
    </xmlCellPr>
  </singleXmlCell>
  <singleXmlCell id="46" r="B73" connectionId="0">
    <xmlCellPr id="1" uniqueName="m_deti2">
      <xmlPr mapId="6" xpath="/Pisemnost/DPFDP5/VetaD/@m_deti2" xmlDataType="decimal"/>
    </xmlCellPr>
  </singleXmlCell>
  <singleXmlCell id="47" r="B53" connectionId="0">
    <xmlCellPr id="1" uniqueName="m_invduch">
      <xmlPr mapId="6" xpath="/Pisemnost/DPFDP5/VetaD/@m_invduch" xmlDataType="decimal"/>
    </xmlCellPr>
  </singleXmlCell>
  <singleXmlCell id="48" r="B7" connectionId="0">
    <xmlCellPr id="1" uniqueName="da_celod13">
      <xmlPr mapId="6" xpath="/Pisemnost/DPFDP5/VetaD/@da_celod13" xmlDataType="decimal"/>
    </xmlCellPr>
  </singleXmlCell>
  <singleXmlCell id="49" r="B6" connectionId="0">
    <xmlCellPr id="1" uniqueName="d_zjist">
      <xmlPr mapId="6" xpath="/Pisemnost/DPFDP5/VetaD/@d_zjist" xmlDataType="string"/>
    </xmlCellPr>
  </singleXmlCell>
  <singleXmlCell id="50" r="B4" connectionId="0">
    <xmlCellPr id="1" uniqueName="d_duvpod">
      <xmlPr mapId="6" xpath="/Pisemnost/DPFDP5/VetaD/@d_duvpod" xmlDataType="string"/>
    </xmlCellPr>
  </singleXmlCell>
  <singleXmlCell id="51" r="B8" connectionId="0">
    <xmlCellPr id="1" uniqueName="da_slevy">
      <xmlPr mapId="6" xpath="/Pisemnost/DPFDP5/VetaD/@da_slevy" xmlDataType="decimal"/>
    </xmlCellPr>
  </singleXmlCell>
  <singleXmlCell id="52" r="B12" connectionId="0">
    <xmlCellPr id="1" uniqueName="dap_typ">
      <xmlPr mapId="6" xpath="/Pisemnost/DPFDP5/VetaD/@dap_typ" xmlDataType="string"/>
    </xmlCellPr>
  </singleXmlCell>
  <singleXmlCell id="53" r="B16" connectionId="0">
    <xmlCellPr id="1" uniqueName="kc_csprij">
      <xmlPr mapId="6" xpath="/Pisemnost/DPFDP5/VetaD/@kc_csprij" xmlDataType="decimal"/>
    </xmlCellPr>
  </singleXmlCell>
  <singleXmlCell id="54" r="B17" connectionId="0">
    <xmlCellPr id="1" uniqueName="kc_danbonus">
      <xmlPr mapId="6" xpath="/Pisemnost/DPFDP5/VetaD/@kc_danbonus" xmlDataType="decimal"/>
    </xmlCellPr>
  </singleXmlCell>
  <singleXmlCell id="55" r="B20" connectionId="0">
    <xmlCellPr id="1" uniqueName="kc_dztrata">
      <xmlPr mapId="6" xpath="/Pisemnost/DPFDP5/VetaD/@kc_dztrata" xmlDataType="decimal"/>
    </xmlCellPr>
  </singleXmlCell>
  <singleXmlCell id="56" r="B25" connectionId="0">
    <xmlCellPr id="1" uniqueName="kc_op15_1d">
      <xmlPr mapId="6" xpath="/Pisemnost/DPFDP5/VetaD/@kc_op15_1d" xmlDataType="decimal"/>
    </xmlCellPr>
  </singleXmlCell>
  <singleXmlCell id="57" r="B35" connectionId="0">
    <xmlCellPr id="1" uniqueName="kc_slevy35c">
      <xmlPr mapId="6" xpath="/Pisemnost/DPFDP5/VetaD/@kc_slevy35c" xmlDataType="decimal"/>
    </xmlCellPr>
  </singleXmlCell>
  <singleXmlCell id="58" r="B36" connectionId="0">
    <xmlCellPr id="1" uniqueName="kc_solidzvys">
      <xmlPr mapId="6" xpath="/Pisemnost/DPFDP5/VetaD/@kc_solidzvys" xmlDataType="decimal"/>
    </xmlCellPr>
  </singleXmlCell>
  <singleXmlCell id="59" r="B37" connectionId="0">
    <xmlCellPr id="1" uniqueName="kc_sraz367">
      <xmlPr mapId="6" xpath="/Pisemnost/DPFDP5/VetaD/@kc_sraz367" xmlDataType="decimal"/>
    </xmlCellPr>
  </singleXmlCell>
  <singleXmlCell id="60" r="B39" connectionId="0">
    <xmlCellPr id="1" uniqueName="kc_sraz385">
      <xmlPr mapId="6" xpath="/Pisemnost/DPFDP5/VetaD/@kc_sraz385" xmlDataType="decimal"/>
    </xmlCellPr>
  </singleXmlCell>
  <singleXmlCell id="61" r="B41" connectionId="0">
    <xmlCellPr id="1" uniqueName="kc_sraz_rezehp">
      <xmlPr mapId="6" xpath="/Pisemnost/DPFDP5/VetaD/@kc_sraz_rezehp" xmlDataType="decimal"/>
    </xmlCellPr>
  </singleXmlCell>
  <singleXmlCell id="62" r="B43" connectionId="0">
    <xmlCellPr id="1" uniqueName="kc_vyplbonus">
      <xmlPr mapId="6" xpath="/Pisemnost/DPFDP5/VetaD/@kc_vyplbonus" xmlDataType="decimal"/>
    </xmlCellPr>
  </singleXmlCell>
  <singleXmlCell id="63" r="B45" connectionId="0">
    <xmlCellPr id="1" uniqueName="kc_zalzavc">
      <xmlPr mapId="6" xpath="/Pisemnost/DPFDP5/VetaD/@kc_zalzavc" xmlDataType="decimal"/>
    </xmlCellPr>
  </singleXmlCell>
  <singleXmlCell id="64" r="B46" connectionId="0">
    <xmlCellPr id="1" uniqueName="kc_zbyvpred">
      <xmlPr mapId="6" xpath="/Pisemnost/DPFDP5/VetaD/@kc_zbyvpred" xmlDataType="decimal"/>
    </xmlCellPr>
  </singleXmlCell>
  <singleXmlCell id="65" r="B49" connectionId="0">
    <xmlCellPr id="1" uniqueName="kod_popl">
      <xmlPr mapId="6" xpath="/Pisemnost/DPFDP5/VetaD/@kod_popl" xmlDataType="string"/>
    </xmlCellPr>
  </singleXmlCell>
  <singleXmlCell id="66" r="B79" connectionId="0">
    <xmlCellPr id="1" uniqueName="kc_sraz3810">
      <xmlPr mapId="6" xpath="/Pisemnost/DPFDP5/VetaD/@kc_sraz3810" xmlDataType="decimal"/>
    </xmlCellPr>
  </singleXmlCell>
  <singleXmlCell id="67" r="B78" connectionId="0">
    <xmlCellPr id="1" uniqueName="kc_sleva_eet">
      <xmlPr mapId="6" xpath="/Pisemnost/DPFDP5/VetaD/@kc_sleva_eet" xmlDataType="decimal"/>
    </xmlCellPr>
  </singleXmlCell>
  <singleXmlCell id="68" r="B77" connectionId="0">
    <xmlCellPr id="1" uniqueName="manz_d_nar">
      <xmlPr mapId="6" xpath="/Pisemnost/DPFDP5/VetaD/@manz_d_nar" xmlDataType="string"/>
    </xmlCellPr>
  </singleXmlCell>
  <singleXmlCell id="69" r="B74" connectionId="0">
    <xmlCellPr id="1" uniqueName="m_deti3">
      <xmlPr mapId="6" xpath="/Pisemnost/DPFDP5/VetaD/@m_deti3" xmlDataType="decimal"/>
    </xmlCellPr>
  </singleXmlCell>
  <singleXmlCell id="70" r="B65" connectionId="0">
    <xmlCellPr id="1" uniqueName="sleva_rp">
      <xmlPr mapId="6" xpath="/Pisemnost/DPFDP5/VetaD/@sleva_rp" xmlDataType="decimal"/>
    </xmlCellPr>
  </singleXmlCell>
  <singleXmlCell id="71" r="B63" connectionId="0">
    <xmlCellPr id="1" uniqueName="prop_zahr">
      <xmlPr mapId="6" xpath="/Pisemnost/DPFDP5/VetaD/@prop_zahr" xmlDataType="string"/>
    </xmlCellPr>
  </singleXmlCell>
  <singleXmlCell id="72" r="B61" connectionId="0">
    <xmlCellPr id="1" uniqueName="manz_titul">
      <xmlPr mapId="6" xpath="/Pisemnost/DPFDP5/VetaD/@manz_titul" xmlDataType="string"/>
    </xmlCellPr>
  </singleXmlCell>
  <singleXmlCell id="73" r="B58" connectionId="0">
    <xmlCellPr id="1" uniqueName="manz_jmeno">
      <xmlPr mapId="6" xpath="/Pisemnost/DPFDP5/VetaD/@manz_jmeno" xmlDataType="string"/>
    </xmlCellPr>
  </singleXmlCell>
  <singleXmlCell id="74" r="B52" connectionId="0">
    <xmlCellPr id="1" uniqueName="m_detiztpp">
      <xmlPr mapId="6" xpath="/Pisemnost/DPFDP5/VetaD/@m_detiztpp" xmlDataType="decimal"/>
    </xmlCellPr>
  </singleXmlCell>
  <singleXmlCell id="75" r="B54" connectionId="0">
    <xmlCellPr id="1" uniqueName="m_manz">
      <xmlPr mapId="6" xpath="/Pisemnost/DPFDP5/VetaD/@m_manz" xmlDataType="decimal"/>
    </xmlCellPr>
  </singleXmlCell>
  <singleXmlCell id="76" r="B57" connectionId="0">
    <xmlCellPr id="1" uniqueName="m_ztpp">
      <xmlPr mapId="6" xpath="/Pisemnost/DPFDP5/VetaD/@m_ztpp" xmlDataType="decimal"/>
    </xmlCellPr>
  </singleXmlCell>
  <singleXmlCell id="77" r="B3" connectionId="0">
    <xmlCellPr id="1" uniqueName="c_ufo_cil">
      <xmlPr mapId="6" xpath="/Pisemnost/DPFDP5/VetaD/@c_ufo_cil" xmlDataType="decimal"/>
    </xmlCellPr>
  </singleXmlCell>
  <singleXmlCell id="78" r="F51" connectionId="0">
    <xmlCellPr id="1" uniqueName="uv_rozsah_vzz">
      <xmlPr mapId="6" xpath="/Pisemnost/DPFDP5/VetaD/@uv_rozsah_vzz" xmlDataType="string"/>
    </xmlCellPr>
  </singleXmlCell>
  <singleXmlCell id="79" r="F52" connectionId="0">
    <xmlCellPr id="1" uniqueName="uv_rozsah_rozv">
      <xmlPr mapId="6" xpath="/Pisemnost/DPFDP5/VetaD/@uv_rozsah_rozv" xmlDataType="string"/>
    </xmlCellPr>
  </singleXmlCell>
  <singleXmlCell id="80" r="F31" connectionId="0">
    <xmlCellPr id="1" uniqueName="z_c_faxu">
      <xmlPr mapId="6" xpath="/Pisemnost/DPFDP5/VetaP/@z_c_faxu" xmlDataType="string"/>
    </xmlCellPr>
  </singleXmlCell>
  <singleXmlCell id="81" r="F11" connectionId="0">
    <xmlCellPr id="1" uniqueName="jmeno">
      <xmlPr mapId="6" xpath="/Pisemnost/DPFDP5/VetaP/@jmeno" xmlDataType="string"/>
    </xmlCellPr>
  </singleXmlCell>
  <singleXmlCell id="82" r="F33" connectionId="0">
    <xmlCellPr id="1" uniqueName="z_c_orient">
      <xmlPr mapId="6" xpath="/Pisemnost/DPFDP5/VetaP/@z_c_orient" xmlDataType="string"/>
    </xmlCellPr>
  </singleXmlCell>
  <singleXmlCell id="83" r="F25" connectionId="0">
    <xmlCellPr id="1" uniqueName="rod_c">
      <xmlPr mapId="6" xpath="/Pisemnost/DPFDP5/VetaP/@rod_c" xmlDataType="string"/>
    </xmlCellPr>
  </singleXmlCell>
  <singleXmlCell id="84" r="F2" connectionId="0">
    <xmlCellPr id="1" uniqueName="c_faxu">
      <xmlPr mapId="6" xpath="/Pisemnost/DPFDP5/VetaP/@c_faxu" xmlDataType="string"/>
    </xmlCellPr>
  </singleXmlCell>
  <singleXmlCell id="85" r="F9" connectionId="0">
    <xmlCellPr id="1" uniqueName="dic">
      <xmlPr mapId="6" xpath="/Pisemnost/DPFDP5/VetaP/@dic" xmlDataType="string"/>
    </xmlCellPr>
  </singleXmlCell>
  <singleXmlCell id="86" r="F40" connectionId="0">
    <xmlCellPr id="1" uniqueName="zast_dat_nar">
      <xmlPr mapId="6" xpath="/Pisemnost/DPFDP5/VetaP/@zast_dat_nar" xmlDataType="string"/>
    </xmlCellPr>
  </singleXmlCell>
  <singleXmlCell id="87" r="F34" connectionId="0">
    <xmlCellPr id="1" uniqueName="z_c_pop">
      <xmlPr mapId="6" xpath="/Pisemnost/DPFDP5/VetaP/@z_c_pop" xmlDataType="decimal"/>
    </xmlCellPr>
  </singleXmlCell>
  <singleXmlCell id="88" r="F10" connectionId="0">
    <xmlCellPr id="1" uniqueName="email">
      <xmlPr mapId="6" xpath="/Pisemnost/DPFDP5/VetaP/@email" xmlDataType="string"/>
    </xmlCellPr>
  </singleXmlCell>
  <singleXmlCell id="89" r="F45" connectionId="0">
    <xmlCellPr id="1" uniqueName="zast_nazev">
      <xmlPr mapId="6" xpath="/Pisemnost/DPFDP5/VetaP/@zast_nazev" xmlDataType="string"/>
    </xmlCellPr>
  </singleXmlCell>
  <singleXmlCell id="90" r="F28" connectionId="0">
    <xmlCellPr id="1" uniqueName="stat">
      <xmlPr mapId="6" xpath="/Pisemnost/DPFDP5/VetaP/@stat" xmlDataType="string"/>
    </xmlCellPr>
  </singleXmlCell>
  <singleXmlCell id="91" r="F24" connectionId="0">
    <xmlCellPr id="1" uniqueName="psc">
      <xmlPr mapId="6" xpath="/Pisemnost/DPFDP5/VetaP/@psc" xmlDataType="string"/>
    </xmlCellPr>
  </singleXmlCell>
  <singleXmlCell id="92" r="F12" connectionId="0">
    <xmlCellPr id="1" uniqueName="k_stat">
      <xmlPr mapId="6" xpath="/Pisemnost/DPFDP5/VetaP/@k_stat" xmlDataType="string"/>
    </xmlCellPr>
  </singleXmlCell>
  <singleXmlCell id="93" r="F8" connectionId="0">
    <xmlCellPr id="1" uniqueName="c_telef">
      <xmlPr mapId="6" xpath="/Pisemnost/DPFDP5/VetaP/@c_telef" xmlDataType="string"/>
    </xmlCellPr>
  </singleXmlCell>
  <singleXmlCell id="94" r="F13" connectionId="0">
    <xmlCellPr id="1" uniqueName="krok_c_obce">
      <xmlPr mapId="6" xpath="/Pisemnost/DPFDP5/VetaP/@krok_c_obce" xmlDataType="decimal"/>
    </xmlCellPr>
  </singleXmlCell>
  <singleXmlCell id="95" r="F47" connectionId="0">
    <xmlCellPr id="1" uniqueName="zast_typ">
      <xmlPr mapId="6" xpath="/Pisemnost/DPFDP5/VetaP/@zast_typ" xmlDataType="string"/>
    </xmlCellPr>
  </singleXmlCell>
  <singleXmlCell id="96" r="F20" connectionId="0">
    <xmlCellPr id="1" uniqueName="opr_jmeno">
      <xmlPr mapId="6" xpath="/Pisemnost/DPFDP5/VetaP/@opr_jmeno" xmlDataType="string"/>
    </xmlCellPr>
  </singleXmlCell>
  <singleXmlCell id="97" r="F43" connectionId="0">
    <xmlCellPr id="1" uniqueName="zast_jmeno">
      <xmlPr mapId="6" xpath="/Pisemnost/DPFDP5/VetaP/@zast_jmeno" xmlDataType="string"/>
    </xmlCellPr>
  </singleXmlCell>
  <singleXmlCell id="98" r="F6" connectionId="0">
    <xmlCellPr id="1" uniqueName="c_pop">
      <xmlPr mapId="6" xpath="/Pisemnost/DPFDP5/VetaP/@c_pop" xmlDataType="decimal"/>
    </xmlCellPr>
  </singleXmlCell>
  <singleXmlCell id="99" r="F3" connectionId="0">
    <xmlCellPr id="1" uniqueName="c_obce">
      <xmlPr mapId="6" xpath="/Pisemnost/DPFDP5/VetaP/@c_obce" xmlDataType="decimal"/>
    </xmlCellPr>
  </singleXmlCell>
  <singleXmlCell id="100" r="F39" connectionId="0">
    <xmlCellPr id="1" uniqueName="z_ulice">
      <xmlPr mapId="6" xpath="/Pisemnost/DPFDP5/VetaP/@z_ulice" xmlDataType="string"/>
    </xmlCellPr>
  </singleXmlCell>
  <singleXmlCell id="101" r="F23" connectionId="0">
    <xmlCellPr id="1" uniqueName="prijmeni">
      <xmlPr mapId="6" xpath="/Pisemnost/DPFDP5/VetaP/@prijmeni" xmlDataType="string"/>
    </xmlCellPr>
  </singleXmlCell>
  <singleXmlCell id="102" r="F5" connectionId="0">
    <xmlCellPr id="1" uniqueName="c_pasu">
      <xmlPr mapId="6" xpath="/Pisemnost/DPFDP5/VetaP/@c_pasu" xmlDataType="string"/>
    </xmlCellPr>
  </singleXmlCell>
  <singleXmlCell id="103" r="F22" connectionId="0">
    <xmlCellPr id="1" uniqueName="opr_prijmeni">
      <xmlPr mapId="6" xpath="/Pisemnost/DPFDP5/VetaP/@opr_prijmeni" xmlDataType="string"/>
    </xmlCellPr>
  </singleXmlCell>
  <singleXmlCell id="104" r="F37" connectionId="0">
    <xmlCellPr id="1" uniqueName="z_naz_obce">
      <xmlPr mapId="6" xpath="/Pisemnost/DPFDP5/VetaP/@z_naz_obce" xmlDataType="string"/>
    </xmlCellPr>
  </singleXmlCell>
  <singleXmlCell id="105" r="F42" connectionId="0">
    <xmlCellPr id="1" uniqueName="zast_ic">
      <xmlPr mapId="6" xpath="/Pisemnost/DPFDP5/VetaP/@zast_ic" xmlDataType="string"/>
    </xmlCellPr>
  </singleXmlCell>
  <singleXmlCell id="106" r="F16" connectionId="0">
    <xmlCellPr id="1" uniqueName="krok_naz_obce">
      <xmlPr mapId="6" xpath="/Pisemnost/DPFDP5/VetaP/@krok_naz_obce" xmlDataType="string"/>
    </xmlCellPr>
  </singleXmlCell>
  <singleXmlCell id="107" r="F29" connectionId="0">
    <xmlCellPr id="1" uniqueName="titul">
      <xmlPr mapId="6" xpath="/Pisemnost/DPFDP5/VetaP/@titul" xmlDataType="string"/>
    </xmlCellPr>
  </singleXmlCell>
  <singleXmlCell id="108" r="F4" connectionId="0">
    <xmlCellPr id="1" uniqueName="c_orient">
      <xmlPr mapId="6" xpath="/Pisemnost/DPFDP5/VetaP/@c_orient" xmlDataType="string"/>
    </xmlCellPr>
  </singleXmlCell>
  <singleXmlCell id="109" r="F7" connectionId="0">
    <xmlCellPr id="1" uniqueName="c_pracufo">
      <xmlPr mapId="6" xpath="/Pisemnost/DPFDP5/VetaP/@c_pracufo" xmlDataType="decimal"/>
    </xmlCellPr>
  </singleXmlCell>
  <singleXmlCell id="110" r="F27" connectionId="0">
    <xmlCellPr id="1" uniqueName="st_prislus">
      <xmlPr mapId="6" xpath="/Pisemnost/DPFDP5/VetaP/@st_prislus" xmlDataType="string"/>
    </xmlCellPr>
  </singleXmlCell>
  <singleXmlCell id="111" r="F35" connectionId="0">
    <xmlCellPr id="1" uniqueName="z_c_telef">
      <xmlPr mapId="6" xpath="/Pisemnost/DPFDP5/VetaP/@z_c_telef" xmlDataType="string"/>
    </xmlCellPr>
  </singleXmlCell>
  <singleXmlCell id="112" r="F15" connectionId="0">
    <xmlCellPr id="1" uniqueName="krok_c_pop">
      <xmlPr mapId="6" xpath="/Pisemnost/DPFDP5/VetaP/@krok_c_pop" xmlDataType="decimal"/>
    </xmlCellPr>
  </singleXmlCell>
  <singleXmlCell id="113" r="F32" connectionId="0">
    <xmlCellPr id="1" uniqueName="z_c_obce">
      <xmlPr mapId="6" xpath="/Pisemnost/DPFDP5/VetaP/@z_c_obce" xmlDataType="decimal"/>
    </xmlCellPr>
  </singleXmlCell>
  <singleXmlCell id="114" r="F36" connectionId="0">
    <xmlCellPr id="1" uniqueName="z_email">
      <xmlPr mapId="6" xpath="/Pisemnost/DPFDP5/VetaP/@z_email" xmlDataType="string"/>
    </xmlCellPr>
  </singleXmlCell>
  <singleXmlCell id="115" r="F21" connectionId="0">
    <xmlCellPr id="1" uniqueName="opr_postaveni">
      <xmlPr mapId="6" xpath="/Pisemnost/DPFDP5/VetaP/@opr_postaveni" xmlDataType="string"/>
    </xmlCellPr>
  </singleXmlCell>
  <singleXmlCell id="116" r="F30" connectionId="0">
    <xmlCellPr id="1" uniqueName="ulice">
      <xmlPr mapId="6" xpath="/Pisemnost/DPFDP5/VetaP/@ulice" xmlDataType="string"/>
    </xmlCellPr>
  </singleXmlCell>
  <singleXmlCell id="117" r="F17" connectionId="0">
    <xmlCellPr id="1" uniqueName="krok_psc">
      <xmlPr mapId="6" xpath="/Pisemnost/DPFDP5/VetaP/@krok_psc" xmlDataType="string"/>
    </xmlCellPr>
  </singleXmlCell>
  <singleXmlCell id="118" r="F46" connectionId="0">
    <xmlCellPr id="1" uniqueName="zast_prijmeni">
      <xmlPr mapId="6" xpath="/Pisemnost/DPFDP5/VetaP/@zast_prijmeni" xmlDataType="string"/>
    </xmlCellPr>
  </singleXmlCell>
  <singleXmlCell id="119" r="F44" connectionId="0">
    <xmlCellPr id="1" uniqueName="zast_kod">
      <xmlPr mapId="6" xpath="/Pisemnost/DPFDP5/VetaP/@zast_kod" xmlDataType="string"/>
    </xmlCellPr>
  </singleXmlCell>
  <singleXmlCell id="120" r="F41" connectionId="0">
    <xmlCellPr id="1" uniqueName="zast_ev_cislo">
      <xmlPr mapId="6" xpath="/Pisemnost/DPFDP5/VetaP/@zast_ev_cislo" xmlDataType="string"/>
    </xmlCellPr>
  </singleXmlCell>
  <singleXmlCell id="121" r="F38" connectionId="0">
    <xmlCellPr id="1" uniqueName="z_psc">
      <xmlPr mapId="6" xpath="/Pisemnost/DPFDP5/VetaP/@z_psc" xmlDataType="string"/>
    </xmlCellPr>
  </singleXmlCell>
  <singleXmlCell id="122" r="F26" connectionId="0">
    <xmlCellPr id="1" uniqueName="rodnepr">
      <xmlPr mapId="6" xpath="/Pisemnost/DPFDP5/VetaP/@rodnepr" xmlDataType="string"/>
    </xmlCellPr>
  </singleXmlCell>
  <singleXmlCell id="123" r="F19" connectionId="0">
    <xmlCellPr id="1" uniqueName="naz_obce">
      <xmlPr mapId="6" xpath="/Pisemnost/DPFDP5/VetaP/@naz_obce" xmlDataType="string"/>
    </xmlCellPr>
  </singleXmlCell>
  <singleXmlCell id="124" r="F18" connectionId="0">
    <xmlCellPr id="1" uniqueName="krok_ulice">
      <xmlPr mapId="6" xpath="/Pisemnost/DPFDP5/VetaP/@krok_ulice" xmlDataType="string"/>
    </xmlCellPr>
  </singleXmlCell>
  <singleXmlCell id="125" r="F14" connectionId="0">
    <xmlCellPr id="1" uniqueName="krok_c_orient">
      <xmlPr mapId="6" xpath="/Pisemnost/DPFDP5/VetaP/@krok_c_orient" xmlDataType="string"/>
    </xmlCellPr>
  </singleXmlCell>
  <singleXmlCell id="126" r="J21" connectionId="0">
    <xmlCellPr id="1" uniqueName="kc_ztrata2">
      <xmlPr mapId="6" xpath="/Pisemnost/DPFDP5/VetaO/@kc_ztrata2" xmlDataType="decimal"/>
    </xmlCellPr>
  </singleXmlCell>
  <singleXmlCell id="127" r="J11" connectionId="0">
    <xmlCellPr id="1" uniqueName="kc_vynprij">
      <xmlPr mapId="6" xpath="/Pisemnost/DPFDP5/VetaO/@kc_vynprij" xmlDataType="decimal"/>
    </xmlCellPr>
  </singleXmlCell>
  <singleXmlCell id="128" r="J12" connectionId="0">
    <xmlCellPr id="1" uniqueName="kc_vynprij_6">
      <xmlPr mapId="6" xpath="/Pisemnost/DPFDP5/VetaO/@kc_vynprij_6" xmlDataType="decimal"/>
    </xmlCellPr>
  </singleXmlCell>
  <singleXmlCell id="129" r="J19" connectionId="0">
    <xmlCellPr id="1" uniqueName="kc_zd7">
      <xmlPr mapId="6" xpath="/Pisemnost/DPFDP5/VetaO/@kc_zd7" xmlDataType="decimal"/>
    </xmlCellPr>
  </singleXmlCell>
  <singleXmlCell id="130" r="J18" connectionId="0">
    <xmlCellPr id="1" uniqueName="kc_zd6p">
      <xmlPr mapId="6" xpath="/Pisemnost/DPFDP5/VetaO/@kc_zd6p" xmlDataType="decimal"/>
    </xmlCellPr>
  </singleXmlCell>
  <singleXmlCell id="131" r="J16" connectionId="0">
    <xmlCellPr id="1" uniqueName="kc_zd10">
      <xmlPr mapId="6" xpath="/Pisemnost/DPFDP5/VetaO/@kc_zd10" xmlDataType="decimal"/>
    </xmlCellPr>
  </singleXmlCell>
  <singleXmlCell id="132" r="J20" connectionId="0">
    <xmlCellPr id="1" uniqueName="kc_zd9">
      <xmlPr mapId="6" xpath="/Pisemnost/DPFDP5/VetaO/@kc_zd9" xmlDataType="decimal"/>
    </xmlCellPr>
  </singleXmlCell>
  <singleXmlCell id="133" r="J17" connectionId="0">
    <xmlCellPr id="1" uniqueName="kc_zd6">
      <xmlPr mapId="6" xpath="/Pisemnost/DPFDP5/VetaO/@kc_zd6" xmlDataType="decimal"/>
    </xmlCellPr>
  </singleXmlCell>
  <singleXmlCell id="134" r="J15" connectionId="0">
    <xmlCellPr id="1" uniqueName="kc_zakldan8">
      <xmlPr mapId="6" xpath="/Pisemnost/DPFDP5/VetaO/@kc_zakldan8" xmlDataType="decimal"/>
    </xmlCellPr>
  </singleXmlCell>
  <singleXmlCell id="135" r="J14" connectionId="0">
    <xmlCellPr id="1" uniqueName="kc_zakldan23">
      <xmlPr mapId="6" xpath="/Pisemnost/DPFDP5/VetaO/@kc_zakldan23" xmlDataType="decimal"/>
    </xmlCellPr>
  </singleXmlCell>
  <singleXmlCell id="136" r="J13" connectionId="0">
    <xmlCellPr id="1" uniqueName="kc_zakldan">
      <xmlPr mapId="6" xpath="/Pisemnost/DPFDP5/VetaO/@kc_zakldan" xmlDataType="decimal"/>
    </xmlCellPr>
  </singleXmlCell>
  <singleXmlCell id="137" r="J10" connectionId="0">
    <xmlCellPr id="1" uniqueName="kc_uhrn">
      <xmlPr mapId="6" xpath="/Pisemnost/DPFDP5/VetaO/@kc_uhrn" xmlDataType="decimal"/>
    </xmlCellPr>
  </singleXmlCell>
  <singleXmlCell id="138" r="J9" connectionId="0">
    <xmlCellPr id="1" uniqueName="kc_prij6zahr">
      <xmlPr mapId="6" xpath="/Pisemnost/DPFDP5/VetaO/@kc_prij6zahr" xmlDataType="decimal"/>
    </xmlCellPr>
  </singleXmlCell>
  <singleXmlCell id="139" r="J8" connectionId="0">
    <xmlCellPr id="1" uniqueName="kc_prij6vyn">
      <xmlPr mapId="6" xpath="/Pisemnost/DPFDP5/VetaO/@kc_prij6vyn" xmlDataType="decimal"/>
    </xmlCellPr>
  </singleXmlCell>
  <singleXmlCell id="140" r="J5" connectionId="0">
    <xmlCellPr id="1" uniqueName="kc_poj6">
      <xmlPr mapId="6" xpath="/Pisemnost/DPFDP5/VetaO/@kc_poj6" xmlDataType="decimal"/>
    </xmlCellPr>
  </singleXmlCell>
  <singleXmlCell id="141" r="J6" connectionId="0">
    <xmlCellPr id="1" uniqueName="kc_pomerzd">
      <xmlPr mapId="6" xpath="/Pisemnost/DPFDP5/VetaO/@kc_pomerzd" xmlDataType="decimal"/>
    </xmlCellPr>
  </singleXmlCell>
  <singleXmlCell id="142" r="J3" connectionId="0">
    <xmlCellPr id="1" uniqueName="celk_sl5">
      <xmlPr mapId="6" xpath="/Pisemnost/DPFDP5/VetaO/@celk_sl5" xmlDataType="decimal"/>
    </xmlCellPr>
  </singleXmlCell>
  <singleXmlCell id="143" r="J2" connectionId="0">
    <xmlCellPr id="1" uniqueName="celk_sl4">
      <xmlPr mapId="6" xpath="/Pisemnost/DPFDP5/VetaO/@celk_sl4" xmlDataType="decimal"/>
    </xmlCellPr>
  </singleXmlCell>
  <singleXmlCell id="144" r="J7" connectionId="0">
    <xmlCellPr id="1" uniqueName="kc_prij6">
      <xmlPr mapId="6" xpath="/Pisemnost/DPFDP5/VetaO/@kc_prij6" xmlDataType="decimal"/>
    </xmlCellPr>
  </singleXmlCell>
  <singleXmlCell id="145" r="J4" connectionId="0">
    <xmlCellPr id="1" uniqueName="kc_dan_zah">
      <xmlPr mapId="6" xpath="/Pisemnost/DPFDP5/VetaO/@kc_dan_zah" xmlDataType="decimal"/>
    </xmlCellPr>
  </singleXmlCell>
  <singleXmlCell id="146" r="N3" connectionId="0">
    <xmlCellPr id="1" uniqueName="kc_dalsivzd">
      <xmlPr mapId="6" xpath="/Pisemnost/DPFDP5/VetaS/@kc_dalsivzd" xmlDataType="decimal"/>
    </xmlCellPr>
  </singleXmlCell>
  <singleXmlCell id="147" r="N13" connectionId="0">
    <xmlCellPr id="1" uniqueName="kc_zdsniz">
      <xmlPr mapId="6" xpath="/Pisemnost/DPFDP5/VetaS/@kc_zdsniz" xmlDataType="decimal"/>
    </xmlCellPr>
  </singleXmlCell>
  <singleXmlCell id="148" r="N4" connectionId="0">
    <xmlCellPr id="1" uniqueName="kc_odcelk">
      <xmlPr mapId="6" xpath="/Pisemnost/DPFDP5/VetaS/@kc_odcelk" xmlDataType="decimal"/>
    </xmlCellPr>
  </singleXmlCell>
  <singleXmlCell id="149" r="N6" connectionId="0">
    <xmlCellPr id="1" uniqueName="kc_op15_13">
      <xmlPr mapId="6" xpath="/Pisemnost/DPFDP5/VetaS/@kc_op15_13" xmlDataType="decimal"/>
    </xmlCellPr>
  </singleXmlCell>
  <singleXmlCell id="150" r="N9" connectionId="0">
    <xmlCellPr id="1" uniqueName="kc_op28_5">
      <xmlPr mapId="6" xpath="/Pisemnost/DPFDP5/VetaS/@kc_op28_5" xmlDataType="decimal"/>
    </xmlCellPr>
  </singleXmlCell>
  <singleXmlCell id="151" r="N10" connectionId="0">
    <xmlCellPr id="1" uniqueName="kc_op34_4">
      <xmlPr mapId="6" xpath="/Pisemnost/DPFDP5/VetaS/@kc_op34_4" xmlDataType="decimal"/>
    </xmlCellPr>
  </singleXmlCell>
  <singleXmlCell id="152" r="N17" connectionId="0">
    <xmlCellPr id="1" uniqueName="text_op_dal">
      <xmlPr mapId="6" xpath="/Pisemnost/DPFDP5/VetaS/@text_op_dal" xmlDataType="string"/>
    </xmlCellPr>
  </singleXmlCell>
  <singleXmlCell id="153" r="N7" connectionId="0">
    <xmlCellPr id="1" uniqueName="kc_op15_14">
      <xmlPr mapId="6" xpath="/Pisemnost/DPFDP5/VetaS/@kc_op15_14" xmlDataType="decimal"/>
    </xmlCellPr>
  </singleXmlCell>
  <singleXmlCell id="154" r="N15" connectionId="0">
    <xmlCellPr id="1" uniqueName="m_dalsi">
      <xmlPr mapId="6" xpath="/Pisemnost/DPFDP5/VetaS/@m_dalsi" xmlDataType="decimal"/>
    </xmlCellPr>
  </singleXmlCell>
  <singleXmlCell id="155" r="N11" connectionId="0">
    <xmlCellPr id="1" uniqueName="kc_op_dal">
      <xmlPr mapId="6" xpath="/Pisemnost/DPFDP5/VetaS/@kc_op_dal" xmlDataType="decimal"/>
    </xmlCellPr>
  </singleXmlCell>
  <singleXmlCell id="156" r="N2" connectionId="0">
    <xmlCellPr id="1" uniqueName="da_dan16">
      <xmlPr mapId="6" xpath="/Pisemnost/DPFDP5/VetaS/@da_dan16" xmlDataType="decimal"/>
    </xmlCellPr>
  </singleXmlCell>
  <singleXmlCell id="157" r="N14" connectionId="0">
    <xmlCellPr id="1" uniqueName="kc_zdzaokr">
      <xmlPr mapId="6" xpath="/Pisemnost/DPFDP5/VetaS/@kc_zdzaokr" xmlDataType="decimal"/>
    </xmlCellPr>
  </singleXmlCell>
  <singleXmlCell id="158" r="N8" connectionId="0">
    <xmlCellPr id="1" uniqueName="kc_op15_8">
      <xmlPr mapId="6" xpath="/Pisemnost/DPFDP5/VetaS/@kc_op15_8" xmlDataType="decimal"/>
    </xmlCellPr>
  </singleXmlCell>
  <singleXmlCell id="159" r="N5" connectionId="0">
    <xmlCellPr id="1" uniqueName="kc_op15_12">
      <xmlPr mapId="6" xpath="/Pisemnost/DPFDP5/VetaS/@kc_op15_12" xmlDataType="decimal"/>
    </xmlCellPr>
  </singleXmlCell>
  <singleXmlCell id="160" r="N12" connectionId="0">
    <xmlCellPr id="1" uniqueName="kc_podvzdel">
      <xmlPr mapId="6" xpath="/Pisemnost/DPFDP5/VetaS/@kc_podvzdel" xmlDataType="decimal"/>
    </xmlCellPr>
  </singleXmlCell>
  <singleXmlCell id="161" r="N16" connectionId="0">
    <xmlCellPr id="1" uniqueName="m_uroky">
      <xmlPr mapId="6" xpath="/Pisemnost/DPFDP5/VetaS/@m_uroky" xmlDataType="decimal"/>
    </xmlCellPr>
  </singleXmlCell>
  <singleXmlCell id="162" r="J52" connectionId="0">
    <xmlCellPr id="1" uniqueName="potv_dazvyh">
      <xmlPr mapId="6" xpath="/Pisemnost/DPFDP5/VetaB/@potv_dazvyh" xmlDataType="decimal"/>
    </xmlCellPr>
  </singleXmlCell>
  <singleXmlCell id="163" r="J51" connectionId="0">
    <xmlCellPr id="1" uniqueName="vklad_ku">
      <xmlPr mapId="6" xpath="/Pisemnost/DPFDP5/VetaB/@vklad_ku" xmlDataType="decimal"/>
    </xmlCellPr>
  </singleXmlCell>
  <singleXmlCell id="164" r="J34" connectionId="0">
    <xmlCellPr id="1" uniqueName="pojpri">
      <xmlPr mapId="6" xpath="/Pisemnost/DPFDP5/VetaB/@pojpri" xmlDataType="decimal"/>
    </xmlCellPr>
  </singleXmlCell>
  <singleXmlCell id="165" r="J43" connectionId="0">
    <xmlCellPr id="1" uniqueName="potv_zivpoj">
      <xmlPr mapId="6" xpath="/Pisemnost/DPFDP5/VetaB/@potv_zivpoj" xmlDataType="decimal"/>
    </xmlCellPr>
  </singleXmlCell>
  <singleXmlCell id="166" r="J35" connectionId="0">
    <xmlCellPr id="1" uniqueName="potv_36">
      <xmlPr mapId="6" xpath="/Pisemnost/DPFDP5/VetaB/@potv_36" xmlDataType="decimal"/>
    </xmlCellPr>
  </singleXmlCell>
  <singleXmlCell id="167" r="J36" connectionId="0">
    <xmlCellPr id="1" uniqueName="potv_dalsivzd">
      <xmlPr mapId="6" xpath="/Pisemnost/DPFDP5/VetaB/@potv_dalsivzd" xmlDataType="decimal"/>
    </xmlCellPr>
  </singleXmlCell>
  <singleXmlCell id="168" r="J32" connectionId="0">
    <xmlCellPr id="1" uniqueName="doklad_dar">
      <xmlPr mapId="6" xpath="/Pisemnost/DPFDP5/VetaB/@doklad_dar" xmlDataType="decimal"/>
    </xmlCellPr>
  </singleXmlCell>
  <singleXmlCell id="169" r="J40" connectionId="0">
    <xmlCellPr id="1" uniqueName="potv_uver">
      <xmlPr mapId="6" xpath="/Pisemnost/DPFDP5/VetaB/@potv_uver" xmlDataType="decimal"/>
    </xmlCellPr>
  </singleXmlCell>
  <singleXmlCell id="171" r="J38" connectionId="0">
    <xmlCellPr id="1" uniqueName="potv_penpri">
      <xmlPr mapId="6" xpath="/Pisemnost/DPFDP5/VetaB/@potv_penpri" xmlDataType="decimal"/>
    </xmlCellPr>
  </singleXmlCell>
  <singleXmlCell id="172" r="J48" connectionId="0">
    <xmlCellPr id="1" uniqueName="priloha1">
      <xmlPr mapId="6" xpath="/Pisemnost/DPFDP5/VetaB/@priloha1" xmlDataType="string"/>
    </xmlCellPr>
  </singleXmlCell>
  <singleXmlCell id="173" r="J49" connectionId="0">
    <xmlCellPr id="1" uniqueName="priloha2">
      <xmlPr mapId="6" xpath="/Pisemnost/DPFDP5/VetaB/@priloha2" xmlDataType="string"/>
    </xmlCellPr>
  </singleXmlCell>
  <singleXmlCell id="174" r="J33" connectionId="0">
    <xmlCellPr id="1" uniqueName="duvody_dodap">
      <xmlPr mapId="6" xpath="/Pisemnost/DPFDP5/VetaB/@duvody_dodap" xmlDataType="decimal"/>
    </xmlCellPr>
  </singleXmlCell>
  <singleXmlCell id="175" r="J46" connectionId="0">
    <xmlCellPr id="1" uniqueName="pril_ztraty">
      <xmlPr mapId="6" xpath="/Pisemnost/DPFDP5/VetaB/@pril_ztraty" xmlDataType="decimal"/>
    </xmlCellPr>
  </singleXmlCell>
  <singleXmlCell id="176" r="J44" connectionId="0">
    <xmlCellPr id="1" uniqueName="pril3_samlist">
      <xmlPr mapId="6" xpath="/Pisemnost/DPFDP5/VetaB/@pril3_samlist" xmlDataType="decimal"/>
    </xmlCellPr>
  </singleXmlCell>
  <singleXmlCell id="177" r="J37" connectionId="0">
    <xmlCellPr id="1" uniqueName="potv_ms">
      <xmlPr mapId="6" xpath="/Pisemnost/DPFDP5/VetaB/@potv_ms" xmlDataType="decimal"/>
    </xmlCellPr>
  </singleXmlCell>
  <singleXmlCell id="178" r="J42" connectionId="0">
    <xmlCellPr id="1" uniqueName="potv_zam">
      <xmlPr mapId="6" xpath="/Pisemnost/DPFDP5/VetaB/@potv_zam" xmlDataType="decimal"/>
    </xmlCellPr>
  </singleXmlCell>
  <singleXmlCell id="179" r="J31" connectionId="0">
    <xmlCellPr id="1" uniqueName="dal_prilohy">
      <xmlPr mapId="6" xpath="/Pisemnost/DPFDP5/VetaB/@dal_prilohy" xmlDataType="decimal"/>
    </xmlCellPr>
  </singleXmlCell>
  <singleXmlCell id="180" r="J47" connectionId="0">
    <xmlCellPr id="1" uniqueName="priloh_celk">
      <xmlPr mapId="6" xpath="/Pisemnost/DPFDP5/VetaB/@priloh_celk" xmlDataType="decimal"/>
    </xmlCellPr>
  </singleXmlCell>
  <singleXmlCell id="181" r="J41" connectionId="0">
    <xmlCellPr id="1" uniqueName="potv_zahrsd">
      <xmlPr mapId="6" xpath="/Pisemnost/DPFDP5/VetaB/@potv_zahrsd" xmlDataType="decimal"/>
    </xmlCellPr>
  </singleXmlCell>
  <singleXmlCell id="182" r="J39" connectionId="0">
    <xmlCellPr id="1" uniqueName="potv_povod">
      <xmlPr mapId="6" xpath="/Pisemnost/DPFDP5/VetaB/@potv_povod" xmlDataType="decimal"/>
    </xmlCellPr>
  </singleXmlCell>
  <singleXmlCell id="183" r="J45" connectionId="0">
    <xmlCellPr id="1" uniqueName="pril_poduv">
      <xmlPr mapId="6" xpath="/Pisemnost/DPFDP5/VetaB/@pril_poduv" xmlDataType="decimal"/>
    </xmlCellPr>
  </singleXmlCell>
  <singleXmlCell id="184" r="J50" connectionId="0">
    <xmlCellPr id="1" uniqueName="seznam">
      <xmlPr mapId="6" xpath="/Pisemnost/DPFDP5/VetaB/@seznam" xmlDataType="decimal"/>
    </xmlCellPr>
  </singleXmlCell>
  <singleXmlCell id="185" r="N31" connectionId="0">
    <xmlCellPr id="1" uniqueName="c_nace">
      <xmlPr mapId="6" xpath="/Pisemnost/DPFDP5/VetaT/@c_nace" xmlDataType="decimal"/>
    </xmlCellPr>
  </singleXmlCell>
  <singleXmlCell id="186" r="N32" connectionId="0">
    <xmlCellPr id="1" uniqueName="celk_pr_prij7">
      <xmlPr mapId="6" xpath="/Pisemnost/DPFDP5/VetaT/@celk_pr_prij7" xmlDataType="decimal"/>
    </xmlCellPr>
  </singleXmlCell>
  <singleXmlCell id="187" r="N33" connectionId="0">
    <xmlCellPr id="1" uniqueName="celk_pr_vyd7">
      <xmlPr mapId="6" xpath="/Pisemnost/DPFDP5/VetaT/@celk_pr_vyd7" xmlDataType="decimal"/>
    </xmlCellPr>
  </singleXmlCell>
  <singleXmlCell id="188" r="N44" connectionId="0">
    <xmlCellPr id="1" uniqueName="kc_pod_vaso">
      <xmlPr mapId="6" xpath="/Pisemnost/DPFDP5/VetaT/@kc_pod_vaso" xmlDataType="decimal"/>
    </xmlCellPr>
  </singleXmlCell>
  <singleXmlCell id="189" r="N42" connectionId="0">
    <xmlCellPr id="1" uniqueName="kc_pod_komp">
      <xmlPr mapId="6" xpath="/Pisemnost/DPFDP5/VetaT/@kc_pod_komp" xmlDataType="decimal"/>
    </xmlCellPr>
  </singleXmlCell>
  <singleXmlCell id="190" r="N52" connectionId="0">
    <xmlCellPr id="1" uniqueName="kc_zd7vyn">
      <xmlPr mapId="6" xpath="/Pisemnost/DPFDP5/VetaT/@kc_zd7vyn" xmlDataType="decimal"/>
    </xmlCellPr>
  </singleXmlCell>
  <singleXmlCell id="191" r="N49" connectionId="0">
    <xmlCellPr id="1" uniqueName="kc_vyd_so">
      <xmlPr mapId="6" xpath="/Pisemnost/DPFDP5/VetaT/@kc_vyd_so" xmlDataType="decimal"/>
    </xmlCellPr>
  </singleXmlCell>
  <singleXmlCell id="192" r="N46" connectionId="0">
    <xmlCellPr id="1" uniqueName="kc_uhsniz">
      <xmlPr mapId="6" xpath="/Pisemnost/DPFDP5/VetaT/@kc_uhsniz" xmlDataType="decimal"/>
    </xmlCellPr>
  </singleXmlCell>
  <singleXmlCell id="193" r="N56" connectionId="0">
    <xmlCellPr id="1" uniqueName="pr_vyd7">
      <xmlPr mapId="6" xpath="/Pisemnost/DPFDP5/VetaT/@pr_vyd7" xmlDataType="decimal"/>
    </xmlCellPr>
  </singleXmlCell>
  <singleXmlCell id="194" r="N55" connectionId="0">
    <xmlCellPr id="1" uniqueName="pr_sazba">
      <xmlPr mapId="6" xpath="/Pisemnost/DPFDP5/VetaT/@pr_sazba" xmlDataType="decimal"/>
    </xmlCellPr>
  </singleXmlCell>
  <singleXmlCell id="195" r="N54" connectionId="0">
    <xmlCellPr id="1" uniqueName="pr_prij7">
      <xmlPr mapId="6" xpath="/Pisemnost/DPFDP5/VetaT/@pr_prij7" xmlDataType="decimal"/>
    </xmlCellPr>
  </singleXmlCell>
  <singleXmlCell id="196" r="N57" connectionId="0">
    <xmlCellPr id="1" uniqueName="uc_soust">
      <xmlPr mapId="6" xpath="/Pisemnost/DPFDP5/VetaT/@uc_soust" xmlDataType="string"/>
    </xmlCellPr>
  </singleXmlCell>
  <singleXmlCell id="197" r="N58" connectionId="0">
    <xmlCellPr id="1" uniqueName="vyd7proc">
      <xmlPr mapId="6" xpath="/Pisemnost/DPFDP5/VetaT/@vyd7proc" xmlDataType="string"/>
    </xmlCellPr>
  </singleXmlCell>
  <singleXmlCell id="198" r="N53" connectionId="0">
    <xmlCellPr id="1" uniqueName="m_podnik">
      <xmlPr mapId="6" xpath="/Pisemnost/DPFDP5/VetaT/@m_podnik" xmlDataType="decimal"/>
    </xmlCellPr>
  </singleXmlCell>
  <singleXmlCell id="199" r="N35" connectionId="0">
    <xmlCellPr id="1" uniqueName="d_precin">
      <xmlPr mapId="6" xpath="/Pisemnost/DPFDP5/VetaT/@d_precin" xmlDataType="string"/>
    </xmlCellPr>
  </singleXmlCell>
  <singleXmlCell id="200" r="N36" connectionId="0">
    <xmlCellPr id="1" uniqueName="d_ukoncin">
      <xmlPr mapId="6" xpath="/Pisemnost/DPFDP5/VetaT/@d_ukoncin" xmlDataType="string"/>
    </xmlCellPr>
  </singleXmlCell>
  <singleXmlCell id="201" r="N34" connectionId="0">
    <xmlCellPr id="1" uniqueName="d_obnocin">
      <xmlPr mapId="6" xpath="/Pisemnost/DPFDP5/VetaT/@d_obnocin" xmlDataType="string"/>
    </xmlCellPr>
  </singleXmlCell>
  <singleXmlCell id="202" r="N37" connectionId="0">
    <xmlCellPr id="1" uniqueName="d_zahcin">
      <xmlPr mapId="6" xpath="/Pisemnost/DPFDP5/VetaT/@d_zahcin" xmlDataType="string"/>
    </xmlCellPr>
  </singleXmlCell>
  <singleXmlCell id="203" r="N59" connectionId="0">
    <xmlCellPr id="1" uniqueName="sniz_lim7">
      <xmlPr mapId="6" xpath="/Pisemnost/DPFDP5/VetaT/@sniz_lim7" xmlDataType="string"/>
    </xmlCellPr>
  </singleXmlCell>
  <singleXmlCell id="204" r="N51" connectionId="0">
    <xmlCellPr id="1" uniqueName="kc_zd7p">
      <xmlPr mapId="6" xpath="/Pisemnost/DPFDP5/VetaT/@kc_zd7p" xmlDataType="decimal"/>
    </xmlCellPr>
  </singleXmlCell>
  <singleXmlCell id="205" r="N50" connectionId="0">
    <xmlCellPr id="1" uniqueName="kc_vyd_vaso">
      <xmlPr mapId="6" xpath="/Pisemnost/DPFDP5/VetaT/@kc_vyd_vaso" xmlDataType="decimal"/>
    </xmlCellPr>
  </singleXmlCell>
  <singleXmlCell id="206" r="N48" connectionId="0">
    <xmlCellPr id="1" uniqueName="kc_vyd7">
      <xmlPr mapId="6" xpath="/Pisemnost/DPFDP5/VetaT/@kc_vyd7" xmlDataType="decimal"/>
    </xmlCellPr>
  </singleXmlCell>
  <singleXmlCell id="207" r="N47" connectionId="0">
    <xmlCellPr id="1" uniqueName="kc_uhzvys">
      <xmlPr mapId="6" xpath="/Pisemnost/DPFDP5/VetaT/@kc_uhzvys" xmlDataType="decimal"/>
    </xmlCellPr>
  </singleXmlCell>
  <singleXmlCell id="208" r="N45" connectionId="0">
    <xmlCellPr id="1" uniqueName="kc_prij7">
      <xmlPr mapId="6" xpath="/Pisemnost/DPFDP5/VetaT/@kc_prij7" xmlDataType="decimal"/>
    </xmlCellPr>
  </singleXmlCell>
  <singleXmlCell id="209" r="N43" connectionId="0">
    <xmlCellPr id="1" uniqueName="kc_pod_so">
      <xmlPr mapId="6" xpath="/Pisemnost/DPFDP5/VetaT/@kc_pod_so" xmlDataType="decimal"/>
    </xmlCellPr>
  </singleXmlCell>
  <singleXmlCell id="210" r="N39" connectionId="0">
    <xmlCellPr id="1" uniqueName="kc_hosp_rozd">
      <xmlPr mapId="6" xpath="/Pisemnost/DPFDP5/VetaT/@kc_hosp_rozd" xmlDataType="decimal"/>
    </xmlCellPr>
  </singleXmlCell>
  <singleXmlCell id="211" r="N40" connectionId="0">
    <xmlCellPr id="1" uniqueName="kc_odpcelk">
      <xmlPr mapId="6" xpath="/Pisemnost/DPFDP5/VetaT/@kc_odpcelk" xmlDataType="decimal"/>
    </xmlCellPr>
  </singleXmlCell>
  <singleXmlCell id="212" r="N41" connectionId="0">
    <xmlCellPr id="1" uniqueName="kc_odpnem">
      <xmlPr mapId="6" xpath="/Pisemnost/DPFDP5/VetaT/@kc_odpnem" xmlDataType="decimal"/>
    </xmlCellPr>
  </singleXmlCell>
  <singleXmlCell id="213" r="N38" connectionId="0">
    <xmlCellPr id="1" uniqueName="kc_cisobr">
      <xmlPr mapId="6" xpath="/Pisemnost/DPFDP5/VetaT/@kc_cisobr" xmlDataType="decimal"/>
    </xmlCellPr>
  </singleXmlCell>
  <singleXmlCell id="214" r="F75" connectionId="0">
    <xmlCellPr id="1" uniqueName="kc_z_dpfmz08">
      <xmlPr mapId="6" xpath="/Pisemnost/DPFDP5/VetaU/@kc_z_dpfmz08" xmlDataType="decimal"/>
    </xmlCellPr>
  </singleXmlCell>
  <singleXmlCell id="215" r="F64" connectionId="0">
    <xmlCellPr id="1" uniqueName="kc_dpfmz05a">
      <xmlPr mapId="6" xpath="/Pisemnost/DPFDP5/VetaU/@kc_dpfmz05a" xmlDataType="decimal"/>
    </xmlCellPr>
  </singleXmlCell>
  <singleXmlCell id="216" r="F73" connectionId="0">
    <xmlCellPr id="1" uniqueName="kc_z_dpfmz05a">
      <xmlPr mapId="6" xpath="/Pisemnost/DPFDP5/VetaU/@kc_z_dpfmz05a" xmlDataType="decimal"/>
    </xmlCellPr>
  </singleXmlCell>
  <singleXmlCell id="217" r="F65" connectionId="0">
    <xmlCellPr id="1" uniqueName="kc_dpfmz06">
      <xmlPr mapId="6" xpath="/Pisemnost/DPFDP5/VetaU/@kc_dpfmz06" xmlDataType="decimal"/>
    </xmlCellPr>
  </singleXmlCell>
  <singleXmlCell id="218" r="F67" connectionId="0">
    <xmlCellPr id="1" uniqueName="kc_dpfmz10">
      <xmlPr mapId="6" xpath="/Pisemnost/DPFDP5/VetaU/@kc_dpfmz10" xmlDataType="decimal"/>
    </xmlCellPr>
  </singleXmlCell>
  <singleXmlCell id="219" r="F69" connectionId="0">
    <xmlCellPr id="1" uniqueName="kc_dpfmz18">
      <xmlPr mapId="6" xpath="/Pisemnost/DPFDP5/VetaU/@kc_dpfmz18" xmlDataType="decimal"/>
    </xmlCellPr>
  </singleXmlCell>
  <singleXmlCell id="221" r="F62" connectionId="0">
    <xmlCellPr id="1" uniqueName="kc_dpfmz03">
      <xmlPr mapId="6" xpath="/Pisemnost/DPFDP5/VetaU/@kc_dpfmz03" xmlDataType="decimal"/>
    </xmlCellPr>
  </singleXmlCell>
  <singleXmlCell id="222" r="F61" connectionId="0">
    <xmlCellPr id="1" uniqueName="kc_dpfmz02">
      <xmlPr mapId="6" xpath="/Pisemnost/DPFDP5/VetaU/@kc_dpfmz02" xmlDataType="decimal"/>
    </xmlCellPr>
  </singleXmlCell>
  <singleXmlCell id="223" r="F68" connectionId="0">
    <xmlCellPr id="1" uniqueName="kc_dpfmz11">
      <xmlPr mapId="6" xpath="/Pisemnost/DPFDP5/VetaU/@kc_dpfmz11" xmlDataType="decimal"/>
    </xmlCellPr>
  </singleXmlCell>
  <singleXmlCell id="224" r="F66" connectionId="0">
    <xmlCellPr id="1" uniqueName="kc_dpfmz08">
      <xmlPr mapId="6" xpath="/Pisemnost/DPFDP5/VetaU/@kc_dpfmz08" xmlDataType="decimal"/>
    </xmlCellPr>
  </singleXmlCell>
  <singleXmlCell id="225" r="F63" connectionId="0">
    <xmlCellPr id="1" uniqueName="kc_dpfmz04">
      <xmlPr mapId="6" xpath="/Pisemnost/DPFDP5/VetaU/@kc_dpfmz04" xmlDataType="decimal"/>
    </xmlCellPr>
  </singleXmlCell>
  <singleXmlCell id="226" r="F70" connectionId="0">
    <xmlCellPr id="1" uniqueName="kc_z_dpfmz02">
      <xmlPr mapId="6" xpath="/Pisemnost/DPFDP5/VetaU/@kc_z_dpfmz02" xmlDataType="decimal"/>
    </xmlCellPr>
  </singleXmlCell>
  <singleXmlCell id="227" r="F71" connectionId="0">
    <xmlCellPr id="1" uniqueName="kc_z_dpfmz03">
      <xmlPr mapId="6" xpath="/Pisemnost/DPFDP5/VetaU/@kc_z_dpfmz03" xmlDataType="decimal"/>
    </xmlCellPr>
  </singleXmlCell>
  <singleXmlCell id="228" r="F72" connectionId="0">
    <xmlCellPr id="1" uniqueName="kc_z_dpfmz04">
      <xmlPr mapId="6" xpath="/Pisemnost/DPFDP5/VetaU/@kc_z_dpfmz04" xmlDataType="decimal"/>
    </xmlCellPr>
  </singleXmlCell>
  <singleXmlCell id="229" r="F74" connectionId="0">
    <xmlCellPr id="1" uniqueName="kc_z_dpfmz06">
      <xmlPr mapId="6" xpath="/Pisemnost/DPFDP5/VetaU/@kc_z_dpfmz06" xmlDataType="decimal"/>
    </xmlCellPr>
  </singleXmlCell>
  <singleXmlCell id="230" r="F76" connectionId="0">
    <xmlCellPr id="1" uniqueName="kc_z_dpfmz10">
      <xmlPr mapId="6" xpath="/Pisemnost/DPFDP5/VetaU/@kc_z_dpfmz10" xmlDataType="decimal"/>
    </xmlCellPr>
  </singleXmlCell>
  <singleXmlCell id="231" r="F77" connectionId="0">
    <xmlCellPr id="1" uniqueName="kc_z_dpfmz11">
      <xmlPr mapId="6" xpath="/Pisemnost/DPFDP5/VetaU/@kc_z_dpfmz11" xmlDataType="decimal"/>
    </xmlCellPr>
  </singleXmlCell>
  <singleXmlCell id="232" r="J78" connectionId="0">
    <xmlCellPr id="1" uniqueName="sniz_lim9">
      <xmlPr mapId="6" xpath="/Pisemnost/DPFDP5/VetaV/@sniz_lim9" xmlDataType="string"/>
    </xmlCellPr>
  </singleXmlCell>
  <singleXmlCell id="233" r="J74" connectionId="0">
    <xmlCellPr id="1" uniqueName="uhrn_prijmy10">
      <xmlPr mapId="6" xpath="/Pisemnost/DPFDP5/VetaV/@uhrn_prijmy10" xmlDataType="decimal"/>
    </xmlCellPr>
  </singleXmlCell>
  <singleXmlCell id="234" r="J69" connectionId="0">
    <xmlCellPr id="1" uniqueName="kc_vyd9">
      <xmlPr mapId="6" xpath="/Pisemnost/DPFDP5/VetaV/@kc_vyd9" xmlDataType="decimal"/>
    </xmlCellPr>
  </singleXmlCell>
  <singleXmlCell id="235" r="J72" connectionId="0">
    <xmlCellPr id="1" uniqueName="kc_zvysukon9">
      <xmlPr mapId="6" xpath="/Pisemnost/DPFDP5/VetaV/@kc_zvysukon9" xmlDataType="decimal"/>
    </xmlCellPr>
  </singleXmlCell>
  <singleXmlCell id="236" r="J62" connectionId="0">
    <xmlCellPr id="1" uniqueName="kc_prij10">
      <xmlPr mapId="6" xpath="/Pisemnost/DPFDP5/VetaV/@kc_prij10" xmlDataType="decimal"/>
    </xmlCellPr>
  </singleXmlCell>
  <singleXmlCell id="237" r="J65" connectionId="0">
    <xmlCellPr id="1" uniqueName="kc_rezerv_z">
      <xmlPr mapId="6" xpath="/Pisemnost/DPFDP5/VetaV/@kc_rezerv_z" xmlDataType="decimal"/>
    </xmlCellPr>
  </singleXmlCell>
  <singleXmlCell id="244" r="J73" connectionId="0">
    <xmlCellPr id="1" uniqueName="spol_jm_manz">
      <xmlPr mapId="6" xpath="/Pisemnost/DPFDP5/VetaV/@spol_jm_manz" xmlDataType="string"/>
    </xmlCellPr>
  </singleXmlCell>
  <singleXmlCell id="245" r="J68" connectionId="0">
    <xmlCellPr id="1" uniqueName="kc_vyd10">
      <xmlPr mapId="6" xpath="/Pisemnost/DPFDP5/VetaV/@kc_vyd10" xmlDataType="decimal"/>
    </xmlCellPr>
  </singleXmlCell>
  <singleXmlCell id="246" r="J67" connectionId="0">
    <xmlCellPr id="1" uniqueName="kc_snizukon9">
      <xmlPr mapId="6" xpath="/Pisemnost/DPFDP5/VetaV/@kc_snizukon9" xmlDataType="decimal"/>
    </xmlCellPr>
  </singleXmlCell>
  <singleXmlCell id="247" r="J63" connectionId="0">
    <xmlCellPr id="1" uniqueName="kc_prij9">
      <xmlPr mapId="6" xpath="/Pisemnost/DPFDP5/VetaV/@kc_prij9" xmlDataType="decimal"/>
    </xmlCellPr>
  </singleXmlCell>
  <singleXmlCell id="248" r="J66" connectionId="0">
    <xmlCellPr id="1" uniqueName="kc_rozdil9">
      <xmlPr mapId="6" xpath="/Pisemnost/DPFDP5/VetaV/@kc_rozdil9" xmlDataType="decimal"/>
    </xmlCellPr>
  </singleXmlCell>
  <singleXmlCell id="249" r="J70" connectionId="0">
    <xmlCellPr id="1" uniqueName="kc_zd10p">
      <xmlPr mapId="6" xpath="/Pisemnost/DPFDP5/VetaV/@kc_zd10p" xmlDataType="decimal"/>
    </xmlCellPr>
  </singleXmlCell>
  <singleXmlCell id="250" r="J71" connectionId="0">
    <xmlCellPr id="1" uniqueName="kc_zd9p">
      <xmlPr mapId="6" xpath="/Pisemnost/DPFDP5/VetaV/@kc_zd9p" xmlDataType="decimal"/>
    </xmlCellPr>
  </singleXmlCell>
  <singleXmlCell id="251" r="J64" connectionId="0">
    <xmlCellPr id="1" uniqueName="kc_rezerv_k">
      <xmlPr mapId="6" xpath="/Pisemnost/DPFDP5/VetaV/@kc_rezerv_k" xmlDataType="decimal"/>
    </xmlCellPr>
  </singleXmlCell>
  <singleXmlCell id="252" r="J61" connectionId="0">
    <xmlCellPr id="1" uniqueName="kc_par9_nem">
      <xmlPr mapId="6" xpath="/Pisemnost/DPFDP5/VetaV/@kc_par9_nem" xmlDataType="decimal"/>
    </xmlCellPr>
  </singleXmlCell>
  <singleXmlCell id="253" r="J75" connectionId="0">
    <xmlCellPr id="1" uniqueName="uhrn_rozdil10">
      <xmlPr mapId="6" xpath="/Pisemnost/DPFDP5/VetaV/@uhrn_rozdil10" xmlDataType="decimal"/>
    </xmlCellPr>
  </singleXmlCell>
  <singleXmlCell id="254" r="J76" connectionId="0">
    <xmlCellPr id="1" uniqueName="uhrn_vydaje10">
      <xmlPr mapId="6" xpath="/Pisemnost/DPFDP5/VetaV/@uhrn_vydaje10" xmlDataType="decimal"/>
    </xmlCellPr>
  </singleXmlCell>
  <singleXmlCell id="255" r="J77" connectionId="0">
    <xmlCellPr id="1" uniqueName="vyd9proc">
      <xmlPr mapId="6" xpath="/Pisemnost/DPFDP5/VetaV/@vyd9proc" xmlDataType="string"/>
    </xmlCellPr>
  </singleXmlCell>
  <singleXmlCell id="256" r="N71" connectionId="0">
    <xmlCellPr id="1" uniqueName="da_zazahr">
      <xmlPr mapId="6" xpath="/Pisemnost/DPFDP5/VetaW/@da_zazahr" xmlDataType="decimal"/>
    </xmlCellPr>
  </singleXmlCell>
  <singleXmlCell id="257" r="N72" connectionId="0">
    <xmlCellPr id="1" uniqueName="uhrn_neuzndan">
      <xmlPr mapId="6" xpath="/Pisemnost/DPFDP5/VetaW/@uhrn_neuzndan" xmlDataType="decimal"/>
    </xmlCellPr>
  </singleXmlCell>
  <singleXmlCell id="258" r="N73" connectionId="0">
    <xmlCellPr id="1" uniqueName="uhrn_uzndan">
      <xmlPr mapId="6" xpath="/Pisemnost/DPFDP5/VetaW/@uhrn_uzndan" xmlDataType="decimal"/>
    </xmlCellPr>
  </singleXmlCell>
  <singleXmlCell id="259" r="B81" connectionId="0">
    <xmlCellPr id="1" uniqueName="c_nest_uctu">
      <xmlPr mapId="6" xpath="/Pisemnost/DPFDP5/VetaN/@c_nest_uctu" xmlDataType="string"/>
    </xmlCellPr>
  </singleXmlCell>
  <singleXmlCell id="260" r="B82" connectionId="0">
    <xmlCellPr id="1" uniqueName="id_banky">
      <xmlPr mapId="6" xpath="/Pisemnost/DPFDP5/VetaN/@id_banky" xmlDataType="string"/>
    </xmlCellPr>
  </singleXmlCell>
  <singleXmlCell id="261" r="B83" connectionId="0">
    <xmlCellPr id="1" uniqueName="k_meny_uctu">
      <xmlPr mapId="6" xpath="/Pisemnost/DPFDP5/VetaN/@k_meny_uctu" xmlDataType="string"/>
    </xmlCellPr>
  </singleXmlCell>
  <singleXmlCell id="262" r="B84" connectionId="0">
    <xmlCellPr id="1" uniqueName="k_stat_banky">
      <xmlPr mapId="6" xpath="/Pisemnost/DPFDP5/VetaN/@k_stat_banky" xmlDataType="string"/>
    </xmlCellPr>
  </singleXmlCell>
  <singleXmlCell id="264" r="B85" connectionId="0">
    <xmlCellPr id="1" uniqueName="kc_preplatek">
      <xmlPr mapId="6" xpath="/Pisemnost/DPFDP5/VetaN/@kc_preplatek" xmlDataType="decimal"/>
    </xmlCellPr>
  </singleXmlCell>
  <singleXmlCell id="265" r="B86" connectionId="0">
    <xmlCellPr id="1" uniqueName="mesto_banky">
      <xmlPr mapId="6" xpath="/Pisemnost/DPFDP5/VetaN/@mesto_banky" xmlDataType="string"/>
    </xmlCellPr>
  </singleXmlCell>
  <singleXmlCell id="266" r="B87" connectionId="0">
    <xmlCellPr id="1" uniqueName="mesto_prij">
      <xmlPr mapId="6" xpath="/Pisemnost/DPFDP5/VetaN/@mesto_prij" xmlDataType="string"/>
    </xmlCellPr>
  </singleXmlCell>
  <singleXmlCell id="267" r="B88" connectionId="0">
    <xmlCellPr id="1" uniqueName="naz_adr_banky">
      <xmlPr mapId="6" xpath="/Pisemnost/DPFDP5/VetaN/@naz_adr_banky" xmlDataType="string"/>
    </xmlCellPr>
  </singleXmlCell>
  <singleXmlCell id="268" r="B89" connectionId="0">
    <xmlCellPr id="1" uniqueName="nazev_prij">
      <xmlPr mapId="6" xpath="/Pisemnost/DPFDP5/VetaN/@nazev_prij" xmlDataType="string"/>
    </xmlCellPr>
  </singleXmlCell>
  <singleXmlCell id="269" r="B90" connectionId="0">
    <xmlCellPr id="1" uniqueName="psc_banky">
      <xmlPr mapId="6" xpath="/Pisemnost/DPFDP5/VetaN/@psc_banky" xmlDataType="string"/>
    </xmlCellPr>
  </singleXmlCell>
  <singleXmlCell id="271" r="B91" connectionId="0">
    <xmlCellPr id="1" uniqueName="psc_prij">
      <xmlPr mapId="6" xpath="/Pisemnost/DPFDP5/VetaN/@psc_prij" xmlDataType="string"/>
    </xmlCellPr>
  </singleXmlCell>
  <singleXmlCell id="274" r="B92" connectionId="0">
    <xmlCellPr id="1" uniqueName="region_banky">
      <xmlPr mapId="6" xpath="/Pisemnost/DPFDP5/VetaN/@region_banky" xmlDataType="string"/>
    </xmlCellPr>
  </singleXmlCell>
  <singleXmlCell id="275" r="B93" connectionId="0">
    <xmlCellPr id="1" uniqueName="region_prij">
      <xmlPr mapId="6" xpath="/Pisemnost/DPFDP5/VetaN/@region_prij" xmlDataType="string"/>
    </xmlCellPr>
  </singleXmlCell>
  <singleXmlCell id="276" r="B94" connectionId="0">
    <xmlCellPr id="1" uniqueName="stat_prij">
      <xmlPr mapId="6" xpath="/Pisemnost/DPFDP5/VetaN/@stat_prij" xmlDataType="string"/>
    </xmlCellPr>
  </singleXmlCell>
  <singleXmlCell id="277" r="B95" connectionId="0">
    <xmlCellPr id="1" uniqueName="sym_plvmpv">
      <xmlPr mapId="6" xpath="/Pisemnost/DPFDP5/VetaN/@sym_plvmpv" xmlDataType="string"/>
    </xmlCellPr>
  </singleXmlCell>
  <singleXmlCell id="278" r="B96" connectionId="0">
    <xmlCellPr id="1" uniqueName="ulice_banky">
      <xmlPr mapId="6" xpath="/Pisemnost/DPFDP5/VetaN/@ulice_banky" xmlDataType="string"/>
    </xmlCellPr>
  </singleXmlCell>
  <singleXmlCell id="279" r="B97" connectionId="0">
    <xmlCellPr id="1" uniqueName="ulice_prij">
      <xmlPr mapId="6" xpath="/Pisemnost/DPFDP5/VetaN/@ulice_prij" xmlDataType="string"/>
    </xmlCellPr>
  </singleXmlCell>
  <singleXmlCell id="280" r="B98" connectionId="0">
    <xmlCellPr id="1" uniqueName="zp_vrac">
      <xmlPr mapId="6" xpath="/Pisemnost/DPFDP5/VetaN/@zp_vrac" xmlDataType="string"/>
    </xmlCellPr>
  </singleXmlCell>
  <singleXmlCell id="281" r="B99" connectionId="0">
    <xmlCellPr id="1" uniqueName="zvp_c_komds">
      <xmlPr mapId="6" xpath="/Pisemnost/DPFDP5/VetaN/@zvp_c_komds" xmlDataType="string"/>
    </xmlCellPr>
  </singleXmlCell>
  <singleXmlCell id="282" r="B100" connectionId="0">
    <xmlCellPr id="1" uniqueName="zvp_c_obce">
      <xmlPr mapId="6" xpath="/Pisemnost/DPFDP5/VetaN/@zvp_c_obce" xmlDataType="decimal"/>
    </xmlCellPr>
  </singleXmlCell>
  <singleXmlCell id="283" r="B101" connectionId="0">
    <xmlCellPr id="1" uniqueName="zvp_c_orient">
      <xmlPr mapId="6" xpath="/Pisemnost/DPFDP5/VetaN/@zvp_c_orient" xmlDataType="string"/>
    </xmlCellPr>
  </singleXmlCell>
  <singleXmlCell id="284" r="B102" connectionId="0">
    <xmlCellPr id="1" uniqueName="zvp_c_pop">
      <xmlPr mapId="6" xpath="/Pisemnost/DPFDP5/VetaN/@zvp_c_pop" xmlDataType="decimal"/>
    </xmlCellPr>
  </singleXmlCell>
  <singleXmlCell id="285" r="B103" connectionId="0">
    <xmlCellPr id="1" uniqueName="zvp_jmeno">
      <xmlPr mapId="6" xpath="/Pisemnost/DPFDP5/VetaN/@zvp_jmeno" xmlDataType="string"/>
    </xmlCellPr>
  </singleXmlCell>
  <singleXmlCell id="286" r="B104" connectionId="0">
    <xmlCellPr id="1" uniqueName="zvp_k_bank">
      <xmlPr mapId="6" xpath="/Pisemnost/DPFDP5/VetaN/@zvp_k_bank" xmlDataType="decimal"/>
    </xmlCellPr>
  </singleXmlCell>
  <singleXmlCell id="287" r="B105" connectionId="0">
    <xmlCellPr id="1" uniqueName="zvp_naz_bank">
      <xmlPr mapId="6" xpath="/Pisemnost/DPFDP5/VetaN/@zvp_naz_bank" xmlDataType="string"/>
    </xmlCellPr>
  </singleXmlCell>
  <singleXmlCell id="288" r="B106" connectionId="0">
    <xmlCellPr id="1" uniqueName="zvp_naz_obce">
      <xmlPr mapId="6" xpath="/Pisemnost/DPFDP5/VetaN/@zvp_naz_obce" xmlDataType="string"/>
    </xmlCellPr>
  </singleXmlCell>
  <singleXmlCell id="289" r="B107" connectionId="0">
    <xmlCellPr id="1" uniqueName="zvp_pbu">
      <xmlPr mapId="6" xpath="/Pisemnost/DPFDP5/VetaN/@zvp_pbu" xmlDataType="decimal"/>
    </xmlCellPr>
  </singleXmlCell>
  <singleXmlCell id="290" r="B108" connectionId="0">
    <xmlCellPr id="1" uniqueName="zvp_prijmeni">
      <xmlPr mapId="6" xpath="/Pisemnost/DPFDP5/VetaN/@zvp_prijmeni" xmlDataType="string"/>
    </xmlCellPr>
  </singleXmlCell>
  <singleXmlCell id="291" r="B109" connectionId="0">
    <xmlCellPr id="1" uniqueName="zvp_psc">
      <xmlPr mapId="6" xpath="/Pisemnost/DPFDP5/VetaN/@zvp_psc" xmlDataType="decimal"/>
    </xmlCellPr>
  </singleXmlCell>
  <singleXmlCell id="292" r="B110" connectionId="0">
    <xmlCellPr id="1" uniqueName="zvp_spec_symb">
      <xmlPr mapId="6" xpath="/Pisemnost/DPFDP5/VetaN/@zvp_spec_symb" xmlDataType="string"/>
    </xmlCellPr>
  </singleXmlCell>
  <singleXmlCell id="293" r="B111" connectionId="0">
    <xmlCellPr id="1" uniqueName="zvp_titul">
      <xmlPr mapId="6" xpath="/Pisemnost/DPFDP5/VetaN/@zvp_titul" xmlDataType="string"/>
    </xmlCellPr>
  </singleXmlCell>
  <singleXmlCell id="294" r="B112" connectionId="0">
    <xmlCellPr id="1" uniqueName="zvp_ulice">
      <xmlPr mapId="6" xpath="/Pisemnost/DPFDP5/VetaN/@zvp_ulice" xmlDataType="string"/>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drawing" Target="../drawings/drawing1.xml" /><Relationship Id="rId2"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_rels/sheet11.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11.xml" /><Relationship Id="rId3" Type="http://schemas.openxmlformats.org/officeDocument/2006/relationships/vmlDrawing" Target="../drawings/vmlDrawing5.vml" /><Relationship Id="rId4" Type="http://schemas.openxmlformats.org/officeDocument/2006/relationships/printerSettings" Target="../printerSettings/printerSettings10.bin" /></Relationships>
</file>

<file path=xl/worksheets/_rels/sheet12.xml.rels><?xml version="1.0" encoding="UTF-8" standalone="yes"?><Relationships xmlns="http://schemas.openxmlformats.org/package/2006/relationships"><Relationship Id="rId1" Type="http://schemas.openxmlformats.org/officeDocument/2006/relationships/comments" Target="../comments12.xml" /><Relationship Id="rId2" Type="http://schemas.openxmlformats.org/officeDocument/2006/relationships/vmlDrawing" Target="../drawings/vmlDrawing6.vml" /><Relationship Id="rId3" Type="http://schemas.openxmlformats.org/officeDocument/2006/relationships/printerSettings" Target="../printerSettings/printerSettings11.bin" /></Relationships>
</file>

<file path=xl/worksheets/_rels/sheet13.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hyperlink" Target="http://business.center.cz/business/sablony/s3-priznani-k-dani-z-prijmu-fyzickych-osob.aspx" TargetMode="External" /><Relationship Id="rId3" Type="http://schemas.openxmlformats.org/officeDocument/2006/relationships/comments" Target="../comments13.xml" /><Relationship Id="rId4" Type="http://schemas.openxmlformats.org/officeDocument/2006/relationships/vmlDrawing" Target="../drawings/vmlDrawing7.vml" /><Relationship Id="rId5" Type="http://schemas.openxmlformats.org/officeDocument/2006/relationships/printerSettings" Target="../printerSettings/printerSettings12.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20.xml.rels><?xml version="1.0" encoding="UTF-8" standalone="yes"?><Relationships xmlns="http://schemas.openxmlformats.org/package/2006/relationships"><Relationship Id="rId1" Type="http://schemas.openxmlformats.org/officeDocument/2006/relationships/comments" Target="../comments20.xml" /><Relationship Id="rId2" Type="http://schemas.openxmlformats.org/officeDocument/2006/relationships/drawing" Target="../drawings/drawing2.xml" /><Relationship Id="rId3" Type="http://schemas.openxmlformats.org/officeDocument/2006/relationships/vmlDrawing" Target="../drawings/vmlDrawing8.vml" /><Relationship Id="rId4" Type="http://schemas.openxmlformats.org/officeDocument/2006/relationships/printerSettings" Target="../printerSettings/printerSettings19.bin" /></Relationships>
</file>

<file path=xl/worksheets/_rels/sheet21.xml.rels><?xml version="1.0" encoding="UTF-8" standalone="yes"?><Relationships xmlns="http://schemas.openxmlformats.org/package/2006/relationships"><Relationship Id="rId1" Type="http://schemas.openxmlformats.org/officeDocument/2006/relationships/comments" Target="../comments21.xml" /><Relationship Id="rId2" Type="http://schemas.openxmlformats.org/officeDocument/2006/relationships/drawing" Target="../drawings/drawing3.xml" /><Relationship Id="rId3" Type="http://schemas.openxmlformats.org/officeDocument/2006/relationships/vmlDrawing" Target="../drawings/vmlDrawing9.vml" /><Relationship Id="rId4" Type="http://schemas.openxmlformats.org/officeDocument/2006/relationships/printerSettings" Target="../printerSettings/printerSettings20.bin" /></Relationships>
</file>

<file path=xl/worksheets/_rels/sheet22.xml.rels><?xml version="1.0" encoding="UTF-8" standalone="yes"?><Relationships xmlns="http://schemas.openxmlformats.org/package/2006/relationships"><Relationship Id="rId1" Type="http://schemas.openxmlformats.org/officeDocument/2006/relationships/drawing" Target="../drawings/drawing4.xml" /><Relationship Id="rId2" Type="http://schemas.openxmlformats.org/officeDocument/2006/relationships/printerSettings" Target="../printerSettings/printerSettings21.bin" /></Relationships>
</file>

<file path=xl/worksheets/_rels/sheet23.xml.rels><?xml version="1.0" encoding="UTF-8" standalone="yes"?><Relationships xmlns="http://schemas.openxmlformats.org/package/2006/relationships"><Relationship Id="rId1" Type="http://schemas.openxmlformats.org/officeDocument/2006/relationships/drawing" Target="../drawings/drawing5.xml" /><Relationship Id="rId2" Type="http://schemas.openxmlformats.org/officeDocument/2006/relationships/printerSettings" Target="../printerSettings/printerSettings22.bin" /></Relationships>
</file>

<file path=xl/worksheets/_rels/sheet24.xml.rels><?xml version="1.0" encoding="UTF-8" standalone="yes"?><Relationships xmlns="http://schemas.openxmlformats.org/package/2006/relationships"><Relationship Id="rId1" Type="http://schemas.openxmlformats.org/officeDocument/2006/relationships/printerSettings" Target="../printerSettings/printerSettings23.bin" /></Relationships>
</file>

<file path=xl/worksheets/_rels/sheet25.xml.rels><?xml version="1.0" encoding="UTF-8" standalone="yes"?><Relationships xmlns="http://schemas.openxmlformats.org/package/2006/relationships"><Relationship Id="rId1" Type="http://schemas.openxmlformats.org/officeDocument/2006/relationships/comments" Target="../comments25.xml" /><Relationship Id="rId2" Type="http://schemas.openxmlformats.org/officeDocument/2006/relationships/drawing" Target="../drawings/drawing6.xml" /><Relationship Id="rId3" Type="http://schemas.openxmlformats.org/officeDocument/2006/relationships/vmlDrawing" Target="../drawings/vmlDrawing10.vml" /><Relationship Id="rId4" Type="http://schemas.openxmlformats.org/officeDocument/2006/relationships/printerSettings" Target="../printerSettings/printerSettings24.bin" /></Relationships>
</file>

<file path=xl/worksheets/_rels/sheet26.xml.rels><?xml version="1.0" encoding="UTF-8" standalone="yes"?><Relationships xmlns="http://schemas.openxmlformats.org/package/2006/relationships"><Relationship Id="rId1" Type="http://schemas.openxmlformats.org/officeDocument/2006/relationships/comments" Target="../comments26.xml" /><Relationship Id="rId2" Type="http://schemas.openxmlformats.org/officeDocument/2006/relationships/drawing" Target="../drawings/drawing7.xml" /><Relationship Id="rId3" Type="http://schemas.openxmlformats.org/officeDocument/2006/relationships/vmlDrawing" Target="../drawings/vmlDrawing11.vml" /><Relationship Id="rId4" Type="http://schemas.openxmlformats.org/officeDocument/2006/relationships/printerSettings" Target="../printerSettings/printerSettings25.bin" /></Relationships>
</file>

<file path=xl/worksheets/_rels/sheet27.xml.rels><?xml version="1.0" encoding="UTF-8" standalone="yes"?><Relationships xmlns="http://schemas.openxmlformats.org/package/2006/relationships"><Relationship Id="rId1" Type="http://schemas.openxmlformats.org/officeDocument/2006/relationships/printerSettings" Target="../printerSettings/printerSettings26.bin" /></Relationships>
</file>

<file path=xl/worksheets/_rels/sheet28.xml.rels><?xml version="1.0" encoding="UTF-8" standalone="yes"?><Relationships xmlns="http://schemas.openxmlformats.org/package/2006/relationships"><Relationship Id="rId1" Type="http://schemas.openxmlformats.org/officeDocument/2006/relationships/printerSettings" Target="../printerSettings/printerSettings27.bin" /></Relationships>
</file>

<file path=xl/worksheets/_rels/sheet29.xml.rels><?xml version="1.0" encoding="UTF-8" standalone="yes"?><Relationships xmlns="http://schemas.openxmlformats.org/package/2006/relationships"><Relationship Id="rId1" Type="http://schemas.openxmlformats.org/officeDocument/2006/relationships/printerSettings" Target="../printerSettings/printerSettings28.bin" /></Relationships>
</file>

<file path=xl/worksheets/_rels/sheet3.xml.rels><?xml version="1.0" encoding="UTF-8" standalone="yes"?><Relationships xmlns="http://schemas.openxmlformats.org/package/2006/relationships"><Relationship Id="rId20" Type="http://schemas.openxmlformats.org/officeDocument/2006/relationships/table" Target="../tables/table20.xml" /><Relationship Id="rId22" Type="http://schemas.openxmlformats.org/officeDocument/2006/relationships/table" Target="../tables/table22.xml" /><Relationship Id="rId21" Type="http://schemas.openxmlformats.org/officeDocument/2006/relationships/table" Target="../tables/table21.xml" /><Relationship Id="rId24" Type="http://schemas.openxmlformats.org/officeDocument/2006/relationships/table" Target="../tables/table24.xml" /><Relationship Id="rId23" Type="http://schemas.openxmlformats.org/officeDocument/2006/relationships/table" Target="../tables/table23.xml" /><Relationship Id="rId1" Type="http://schemas.openxmlformats.org/officeDocument/2006/relationships/table" Target="../tables/table1.xml" /><Relationship Id="rId2" Type="http://schemas.openxmlformats.org/officeDocument/2006/relationships/table" Target="../tables/table2.xml" /><Relationship Id="rId3" Type="http://schemas.openxmlformats.org/officeDocument/2006/relationships/table" Target="../tables/table3.xml" /><Relationship Id="rId4" Type="http://schemas.openxmlformats.org/officeDocument/2006/relationships/table" Target="../tables/table4.xml" /><Relationship Id="rId9" Type="http://schemas.openxmlformats.org/officeDocument/2006/relationships/table" Target="../tables/table9.xml" /><Relationship Id="rId26" Type="http://schemas.openxmlformats.org/officeDocument/2006/relationships/printerSettings" Target="../printerSettings/printerSettings2.bin" /><Relationship Id="rId25" Type="http://schemas.openxmlformats.org/officeDocument/2006/relationships/tableSingleCells" Target="../tables/tableSingleCells1.xml" /><Relationship Id="rId5" Type="http://schemas.openxmlformats.org/officeDocument/2006/relationships/table" Target="../tables/table5.xml" /><Relationship Id="rId6" Type="http://schemas.openxmlformats.org/officeDocument/2006/relationships/table" Target="../tables/table6.xml" /><Relationship Id="rId7" Type="http://schemas.openxmlformats.org/officeDocument/2006/relationships/table" Target="../tables/table7.xml" /><Relationship Id="rId8" Type="http://schemas.openxmlformats.org/officeDocument/2006/relationships/table" Target="../tables/table8.xml" /><Relationship Id="rId11" Type="http://schemas.openxmlformats.org/officeDocument/2006/relationships/table" Target="../tables/table11.xml" /><Relationship Id="rId10" Type="http://schemas.openxmlformats.org/officeDocument/2006/relationships/table" Target="../tables/table10.xml" /><Relationship Id="rId13" Type="http://schemas.openxmlformats.org/officeDocument/2006/relationships/table" Target="../tables/table13.xml" /><Relationship Id="rId12" Type="http://schemas.openxmlformats.org/officeDocument/2006/relationships/table" Target="../tables/table12.xml" /><Relationship Id="rId15" Type="http://schemas.openxmlformats.org/officeDocument/2006/relationships/table" Target="../tables/table15.xml" /><Relationship Id="rId14" Type="http://schemas.openxmlformats.org/officeDocument/2006/relationships/table" Target="../tables/table14.xml" /><Relationship Id="rId17" Type="http://schemas.openxmlformats.org/officeDocument/2006/relationships/table" Target="../tables/table17.xml" /><Relationship Id="rId16" Type="http://schemas.openxmlformats.org/officeDocument/2006/relationships/table" Target="../tables/table16.xml" /><Relationship Id="rId19" Type="http://schemas.openxmlformats.org/officeDocument/2006/relationships/table" Target="../tables/table19.xml" /><Relationship Id="rId18" Type="http://schemas.openxmlformats.org/officeDocument/2006/relationships/table" Target="../tables/table18.xml" /></Relationships>
</file>

<file path=xl/worksheets/_rels/sheet4.xml.rels><?xml version="1.0" encoding="UTF-8" standalone="yes"?><Relationships xmlns="http://schemas.openxmlformats.org/package/2006/relationships"><Relationship Id="rId1" Type="http://schemas.openxmlformats.org/officeDocument/2006/relationships/comments" Target="../comments4.xml" /><Relationship Id="rId2" Type="http://schemas.openxmlformats.org/officeDocument/2006/relationships/vmlDrawing" Target="../drawings/vmlDrawing1.vml" /><Relationship Id="rId3" Type="http://schemas.openxmlformats.org/officeDocument/2006/relationships/printerSettings" Target="../printerSettings/printerSettings3.bin" /></Relationships>
</file>

<file path=xl/worksheets/_rels/sheet5.xml.rels><?xml version="1.0" encoding="UTF-8" standalone="yes"?><Relationships xmlns="http://schemas.openxmlformats.org/package/2006/relationships"><Relationship Id="rId1" Type="http://schemas.openxmlformats.org/officeDocument/2006/relationships/hyperlink" Target="http://business.center.cz/business/sablony/s110-ucetni-zaverka-v-plnem-rozsahu.aspx" TargetMode="External" /><Relationship Id="rId2" Type="http://schemas.openxmlformats.org/officeDocument/2006/relationships/hyperlink" Target="http://business.center.cz/business/sablony/s110-ucetni-zaverka-v-plnem-rozsahu.aspx" TargetMode="External" /><Relationship Id="rId3" Type="http://schemas.openxmlformats.org/officeDocument/2006/relationships/hyperlink" Target="https://adisepo.mfcr.cz/adistc/adis/idpr_epo/epo2/spol/soubor_vyber.faces" TargetMode="External" /><Relationship Id="rId4" Type="http://schemas.openxmlformats.org/officeDocument/2006/relationships/printerSettings" Target="../printerSettings/printerSettings4.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7.xml.rels><?xml version="1.0" encoding="UTF-8" standalone="yes"?><Relationships xmlns="http://schemas.openxmlformats.org/package/2006/relationships"><Relationship Id="rId1" Type="http://schemas.openxmlformats.org/officeDocument/2006/relationships/hyperlink" Target="http://business.center.cz/business/sablony/s3-priznani-k-dani-z-prijmu-fyzickych-osob.aspx" TargetMode="External" /><Relationship Id="rId2" Type="http://schemas.openxmlformats.org/officeDocument/2006/relationships/comments" Target="../comments7.xml" /><Relationship Id="rId3" Type="http://schemas.openxmlformats.org/officeDocument/2006/relationships/vmlDrawing" Target="../drawings/vmlDrawing2.vml" /><Relationship Id="rId4" Type="http://schemas.openxmlformats.org/officeDocument/2006/relationships/printerSettings" Target="../printerSettings/printerSettings6.bin" /></Relationships>
</file>

<file path=xl/worksheets/_rels/sheet8.xml.rels><?xml version="1.0" encoding="UTF-8" standalone="yes"?><Relationships xmlns="http://schemas.openxmlformats.org/package/2006/relationships"><Relationship Id="rId1" Type="http://schemas.openxmlformats.org/officeDocument/2006/relationships/comments" Target="../comments8.xml" /><Relationship Id="rId2" Type="http://schemas.openxmlformats.org/officeDocument/2006/relationships/vmlDrawing" Target="../drawings/vmlDrawing3.vml" /><Relationship Id="rId3" Type="http://schemas.openxmlformats.org/officeDocument/2006/relationships/printerSettings" Target="../printerSettings/printerSettings7.bin" /></Relationships>
</file>

<file path=xl/worksheets/_rels/sheet9.xml.rels><?xml version="1.0" encoding="UTF-8" standalone="yes"?><Relationships xmlns="http://schemas.openxmlformats.org/package/2006/relationships"><Relationship Id="rId1" Type="http://schemas.openxmlformats.org/officeDocument/2006/relationships/comments" Target="../comments9.xml" /><Relationship Id="rId2" Type="http://schemas.openxmlformats.org/officeDocument/2006/relationships/vmlDrawing" Target="../drawings/vmlDrawing4.vml" /><Relationship Id="rId3"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100"/>
  <sheetViews>
    <sheetView tabSelected="1" workbookViewId="0" topLeftCell="A1">
      <selection pane="topLeft" activeCell="A16" sqref="A16:K16"/>
    </sheetView>
  </sheetViews>
  <sheetFormatPr defaultRowHeight="12.75"/>
  <cols>
    <col min="12" max="12" width="9.14285714285714" style="4"/>
    <col min="13" max="13" width="90.7142857142857" style="4" customWidth="1"/>
    <col min="14" max="31" width="9.14285714285714" style="4"/>
  </cols>
  <sheetData>
    <row r="1" spans="1:13" ht="12.75" customHeight="1">
      <c r="A1" s="160"/>
      <c r="B1" s="160"/>
      <c r="C1" s="160"/>
      <c r="D1" s="160"/>
      <c r="E1" s="160"/>
      <c r="F1" s="160"/>
      <c r="G1" s="160"/>
      <c r="H1" s="160"/>
      <c r="I1" s="160"/>
      <c r="J1" s="160"/>
      <c r="K1" s="160"/>
      <c r="M1" s="730"/>
    </row>
    <row r="2" spans="1:13" ht="12.75" customHeight="1">
      <c r="A2" s="160"/>
      <c r="B2" s="160"/>
      <c r="C2" s="160"/>
      <c r="D2" s="160"/>
      <c r="E2" s="160"/>
      <c r="F2" s="160"/>
      <c r="G2" s="160"/>
      <c r="H2" s="160"/>
      <c r="I2" s="160"/>
      <c r="J2" s="160"/>
      <c r="K2" s="160"/>
      <c r="M2" s="730"/>
    </row>
    <row r="3" spans="1:13" ht="12.75" customHeight="1">
      <c r="A3" s="160"/>
      <c r="B3" s="160"/>
      <c r="C3" s="160"/>
      <c r="D3" s="160"/>
      <c r="E3" s="160"/>
      <c r="F3" s="160"/>
      <c r="G3" s="160"/>
      <c r="H3" s="160"/>
      <c r="I3" s="160"/>
      <c r="J3" s="160"/>
      <c r="K3" s="160"/>
      <c r="M3" s="730"/>
    </row>
    <row r="4" spans="1:13" ht="12.75">
      <c r="A4" s="160"/>
      <c r="B4" s="160"/>
      <c r="C4" s="160"/>
      <c r="D4" s="160"/>
      <c r="E4" s="160"/>
      <c r="F4" s="160"/>
      <c r="G4" s="160"/>
      <c r="H4" s="160"/>
      <c r="I4" s="160"/>
      <c r="J4" s="160"/>
      <c r="K4" s="160"/>
      <c r="M4" s="197"/>
    </row>
    <row r="5" spans="1:13" ht="12.75" customHeight="1">
      <c r="A5" s="160"/>
      <c r="B5" s="160"/>
      <c r="C5" s="160"/>
      <c r="D5" s="160"/>
      <c r="E5" s="160"/>
      <c r="F5" s="160"/>
      <c r="G5" s="160"/>
      <c r="H5" s="160"/>
      <c r="I5" s="160"/>
      <c r="J5" s="160"/>
      <c r="K5" s="160"/>
      <c r="M5" s="729"/>
    </row>
    <row r="6" spans="1:13" ht="12.75">
      <c r="A6" s="160"/>
      <c r="B6" s="160"/>
      <c r="C6" s="160"/>
      <c r="D6" s="160"/>
      <c r="E6" s="160"/>
      <c r="F6" s="160"/>
      <c r="G6" s="160"/>
      <c r="H6" s="160"/>
      <c r="I6" s="160"/>
      <c r="J6" s="160"/>
      <c r="K6" s="160"/>
      <c r="M6" s="729"/>
    </row>
    <row r="7" spans="1:13" ht="12.75">
      <c r="A7" s="160"/>
      <c r="B7" s="160"/>
      <c r="C7" s="160"/>
      <c r="D7" s="160"/>
      <c r="E7" s="160"/>
      <c r="F7" s="160"/>
      <c r="G7" s="160"/>
      <c r="H7" s="160"/>
      <c r="I7" s="160"/>
      <c r="J7" s="160"/>
      <c r="K7" s="160"/>
      <c r="M7" s="729"/>
    </row>
    <row r="8" spans="1:13" ht="12.75">
      <c r="A8" s="727" t="s">
        <v>3713</v>
      </c>
      <c r="B8" s="728"/>
      <c r="C8" s="728"/>
      <c r="D8" s="728"/>
      <c r="E8" s="728"/>
      <c r="F8" s="728"/>
      <c r="G8" s="728"/>
      <c r="H8" s="728"/>
      <c r="I8" s="728"/>
      <c r="J8" s="728"/>
      <c r="K8" s="728"/>
      <c r="M8" s="729"/>
    </row>
    <row r="9" spans="1:13" ht="12.75">
      <c r="A9" s="728"/>
      <c r="B9" s="728"/>
      <c r="C9" s="728"/>
      <c r="D9" s="728"/>
      <c r="E9" s="728"/>
      <c r="F9" s="728"/>
      <c r="G9" s="728"/>
      <c r="H9" s="728"/>
      <c r="I9" s="728"/>
      <c r="J9" s="728"/>
      <c r="K9" s="728"/>
      <c r="M9" s="729"/>
    </row>
    <row r="10" spans="1:13" ht="12.75">
      <c r="A10" s="728"/>
      <c r="B10" s="728"/>
      <c r="C10" s="728"/>
      <c r="D10" s="728"/>
      <c r="E10" s="728"/>
      <c r="F10" s="728"/>
      <c r="G10" s="728"/>
      <c r="H10" s="728"/>
      <c r="I10" s="728"/>
      <c r="J10" s="728"/>
      <c r="K10" s="728"/>
      <c r="M10" s="729"/>
    </row>
    <row r="11" spans="1:11" ht="12.75">
      <c r="A11" s="728"/>
      <c r="B11" s="728"/>
      <c r="C11" s="728"/>
      <c r="D11" s="728"/>
      <c r="E11" s="728"/>
      <c r="F11" s="728"/>
      <c r="G11" s="728"/>
      <c r="H11" s="728"/>
      <c r="I11" s="728"/>
      <c r="J11" s="728"/>
      <c r="K11" s="728"/>
    </row>
    <row r="12" spans="1:13" ht="12.75">
      <c r="A12" s="160"/>
      <c r="B12" s="160"/>
      <c r="C12" s="160"/>
      <c r="D12" s="160"/>
      <c r="E12" s="160"/>
      <c r="F12" s="160"/>
      <c r="G12" s="160"/>
      <c r="H12" s="160"/>
      <c r="I12" s="160"/>
      <c r="J12" s="160"/>
      <c r="K12" s="160"/>
      <c r="M12" s="197"/>
    </row>
    <row r="13" spans="1:13" ht="60" customHeight="1">
      <c r="A13" s="740" t="s">
        <v>3709</v>
      </c>
      <c r="B13" s="740"/>
      <c r="C13" s="740"/>
      <c r="D13" s="740"/>
      <c r="E13" s="740"/>
      <c r="F13" s="740"/>
      <c r="G13" s="740"/>
      <c r="H13" s="740"/>
      <c r="I13" s="740"/>
      <c r="J13" s="740"/>
      <c r="K13" s="740"/>
      <c r="M13" s="1"/>
    </row>
    <row r="14" spans="1:13" ht="18">
      <c r="A14" s="741" t="s">
        <v>3888</v>
      </c>
      <c r="B14" s="741"/>
      <c r="C14" s="741"/>
      <c r="D14" s="741"/>
      <c r="E14" s="741"/>
      <c r="F14" s="741"/>
      <c r="G14" s="741"/>
      <c r="H14" s="741"/>
      <c r="I14" s="741"/>
      <c r="J14" s="741"/>
      <c r="K14" s="741"/>
      <c r="M14" s="197"/>
    </row>
    <row r="15" spans="1:13" ht="18" customHeight="1">
      <c r="A15" s="741" t="s">
        <v>3889</v>
      </c>
      <c r="B15" s="741"/>
      <c r="C15" s="741"/>
      <c r="D15" s="741"/>
      <c r="E15" s="741"/>
      <c r="F15" s="741"/>
      <c r="G15" s="741"/>
      <c r="H15" s="741"/>
      <c r="I15" s="741"/>
      <c r="J15" s="741"/>
      <c r="K15" s="741"/>
      <c r="M15" s="729"/>
    </row>
    <row r="16" spans="1:31" s="541" customFormat="1" ht="36" customHeight="1">
      <c r="A16" s="742" t="s">
        <v>3865</v>
      </c>
      <c r="B16" s="742"/>
      <c r="C16" s="742"/>
      <c r="D16" s="742"/>
      <c r="E16" s="742"/>
      <c r="F16" s="742"/>
      <c r="G16" s="742"/>
      <c r="H16" s="742"/>
      <c r="I16" s="742"/>
      <c r="J16" s="742"/>
      <c r="K16" s="742"/>
      <c r="L16" s="569"/>
      <c r="M16" s="729"/>
      <c r="N16" s="569"/>
      <c r="O16" s="569"/>
      <c r="P16" s="569"/>
      <c r="Q16" s="569"/>
      <c r="R16" s="569"/>
      <c r="S16" s="569"/>
      <c r="T16" s="569"/>
      <c r="U16" s="569"/>
      <c r="V16" s="569"/>
      <c r="W16" s="569"/>
      <c r="X16" s="569"/>
      <c r="Y16" s="569"/>
      <c r="Z16" s="569"/>
      <c r="AA16" s="569"/>
      <c r="AB16" s="569"/>
      <c r="AC16" s="569"/>
      <c r="AD16" s="569"/>
      <c r="AE16" s="569"/>
    </row>
    <row r="17" spans="1:13" ht="36" customHeight="1">
      <c r="A17" s="736" t="s">
        <v>3710</v>
      </c>
      <c r="B17" s="737"/>
      <c r="C17" s="737"/>
      <c r="D17" s="737"/>
      <c r="E17" s="737"/>
      <c r="F17" s="737"/>
      <c r="G17" s="737"/>
      <c r="H17" s="737"/>
      <c r="I17" s="737"/>
      <c r="J17" s="737"/>
      <c r="K17" s="737"/>
      <c r="M17" s="729"/>
    </row>
    <row r="18" spans="1:13" ht="36" customHeight="1">
      <c r="A18" s="732" t="s">
        <v>3866</v>
      </c>
      <c r="B18" s="733"/>
      <c r="C18" s="733"/>
      <c r="D18" s="733"/>
      <c r="E18" s="733"/>
      <c r="F18" s="733"/>
      <c r="G18" s="733"/>
      <c r="H18" s="733"/>
      <c r="I18" s="733"/>
      <c r="J18" s="733"/>
      <c r="K18" s="733"/>
      <c r="M18" s="729"/>
    </row>
    <row r="19" spans="1:13" ht="24" customHeight="1">
      <c r="A19" s="734" t="s">
        <v>3867</v>
      </c>
      <c r="B19" s="734"/>
      <c r="C19" s="734"/>
      <c r="D19" s="734"/>
      <c r="E19" s="734"/>
      <c r="F19" s="734"/>
      <c r="G19" s="734"/>
      <c r="H19" s="734"/>
      <c r="I19" s="734"/>
      <c r="J19" s="734"/>
      <c r="K19" s="734"/>
      <c r="M19" s="197"/>
    </row>
    <row r="20" spans="1:13" ht="24" customHeight="1">
      <c r="A20" s="734" t="s">
        <v>3868</v>
      </c>
      <c r="B20" s="734"/>
      <c r="C20" s="734"/>
      <c r="D20" s="734"/>
      <c r="E20" s="734"/>
      <c r="F20" s="734"/>
      <c r="G20" s="734"/>
      <c r="H20" s="734"/>
      <c r="I20" s="734"/>
      <c r="J20" s="734"/>
      <c r="K20" s="734"/>
      <c r="M20" s="729"/>
    </row>
    <row r="21" spans="1:13" ht="24" customHeight="1">
      <c r="A21" s="734" t="s">
        <v>3869</v>
      </c>
      <c r="B21" s="734"/>
      <c r="C21" s="734"/>
      <c r="D21" s="734"/>
      <c r="E21" s="734"/>
      <c r="F21" s="734"/>
      <c r="G21" s="734"/>
      <c r="H21" s="734"/>
      <c r="I21" s="734"/>
      <c r="J21" s="734"/>
      <c r="K21" s="734"/>
      <c r="M21" s="729"/>
    </row>
    <row r="22" spans="1:13" ht="24" customHeight="1">
      <c r="A22" s="734" t="s">
        <v>3870</v>
      </c>
      <c r="B22" s="734"/>
      <c r="C22" s="734"/>
      <c r="D22" s="734"/>
      <c r="E22" s="734"/>
      <c r="F22" s="734"/>
      <c r="G22" s="734"/>
      <c r="H22" s="734"/>
      <c r="I22" s="734"/>
      <c r="J22" s="734"/>
      <c r="K22" s="734"/>
      <c r="M22" s="729"/>
    </row>
    <row r="23" spans="1:13" ht="24" customHeight="1">
      <c r="A23" s="734" t="s">
        <v>3871</v>
      </c>
      <c r="B23" s="734"/>
      <c r="C23" s="734"/>
      <c r="D23" s="734"/>
      <c r="E23" s="734"/>
      <c r="F23" s="734"/>
      <c r="G23" s="734"/>
      <c r="H23" s="734"/>
      <c r="I23" s="734"/>
      <c r="J23" s="734"/>
      <c r="K23" s="734"/>
      <c r="M23" s="197"/>
    </row>
    <row r="24" spans="1:13" ht="12.95" customHeight="1">
      <c r="A24" s="735"/>
      <c r="B24" s="735"/>
      <c r="C24" s="735"/>
      <c r="D24" s="735"/>
      <c r="E24" s="735"/>
      <c r="F24" s="735"/>
      <c r="G24" s="735"/>
      <c r="H24" s="735"/>
      <c r="I24" s="735"/>
      <c r="J24" s="735"/>
      <c r="K24" s="735"/>
      <c r="M24" s="729"/>
    </row>
    <row r="25" spans="1:13" ht="48" customHeight="1">
      <c r="A25" s="731" t="s">
        <v>3872</v>
      </c>
      <c r="B25" s="731"/>
      <c r="C25" s="731"/>
      <c r="D25" s="731"/>
      <c r="E25" s="731"/>
      <c r="F25" s="731"/>
      <c r="G25" s="731"/>
      <c r="H25" s="731"/>
      <c r="I25" s="731"/>
      <c r="J25" s="731"/>
      <c r="K25" s="731"/>
      <c r="M25" s="729"/>
    </row>
    <row r="26" spans="1:13" ht="12.95" customHeight="1">
      <c r="A26" s="735"/>
      <c r="B26" s="735"/>
      <c r="C26" s="735"/>
      <c r="D26" s="735"/>
      <c r="E26" s="735"/>
      <c r="F26" s="735"/>
      <c r="G26" s="735"/>
      <c r="H26" s="735"/>
      <c r="I26" s="735"/>
      <c r="J26" s="735"/>
      <c r="K26" s="735"/>
      <c r="M26" s="198"/>
    </row>
    <row r="27" spans="1:13" ht="12.95" customHeight="1">
      <c r="A27" s="735"/>
      <c r="B27" s="735"/>
      <c r="C27" s="735"/>
      <c r="D27" s="735"/>
      <c r="E27" s="735"/>
      <c r="F27" s="735"/>
      <c r="G27" s="735"/>
      <c r="H27" s="735"/>
      <c r="I27" s="735"/>
      <c r="J27" s="735"/>
      <c r="K27" s="735"/>
      <c r="M27" s="729"/>
    </row>
    <row r="28" spans="1:13" ht="12.95" customHeight="1">
      <c r="A28" s="735"/>
      <c r="B28" s="735"/>
      <c r="C28" s="735"/>
      <c r="D28" s="735"/>
      <c r="E28" s="735"/>
      <c r="F28" s="735"/>
      <c r="G28" s="735"/>
      <c r="H28" s="735"/>
      <c r="I28" s="735"/>
      <c r="J28" s="735"/>
      <c r="K28" s="735"/>
      <c r="M28" s="729"/>
    </row>
    <row r="29" spans="1:13" ht="18" customHeight="1">
      <c r="A29" s="731" t="s">
        <v>3873</v>
      </c>
      <c r="B29" s="731"/>
      <c r="C29" s="731"/>
      <c r="D29" s="731"/>
      <c r="E29" s="731"/>
      <c r="F29" s="731"/>
      <c r="G29" s="731"/>
      <c r="H29" s="731"/>
      <c r="I29" s="731"/>
      <c r="J29" s="731"/>
      <c r="K29" s="731"/>
      <c r="M29" s="729"/>
    </row>
    <row r="30" spans="1:13" ht="21.95" customHeight="1">
      <c r="A30" s="738" t="str">
        <f>+IF(A99=2,HYPERLINK("http://www.mesec.cz/dane/dan-z-prijmu/pruvodce/danove-formulare/"),IF(A99=3,HYPERLINK("http://www.podnikatel.cz/formulare/kategorie/dan-z-prijmu/"),HYPERLINK("http://business.center.cz/business/sablony/s3-priznani-k-dani-z-prijmu-fyzickych-osob.aspx")))</f>
        <v>http://business.center.cz/business/sablony/s3-priznani-k-dani-z-prijmu-fyzickych-osob.aspx</v>
      </c>
      <c r="B30" s="738"/>
      <c r="C30" s="738"/>
      <c r="D30" s="738"/>
      <c r="E30" s="738"/>
      <c r="F30" s="738"/>
      <c r="G30" s="738"/>
      <c r="H30" s="738"/>
      <c r="I30" s="738"/>
      <c r="J30" s="738"/>
      <c r="K30" s="738"/>
      <c r="M30" s="729"/>
    </row>
    <row r="31" spans="1:13" ht="21.95" customHeight="1">
      <c r="A31" s="739"/>
      <c r="B31" s="739"/>
      <c r="C31" s="739"/>
      <c r="D31" s="739"/>
      <c r="E31" s="739"/>
      <c r="F31" s="739"/>
      <c r="G31" s="739"/>
      <c r="H31" s="739"/>
      <c r="I31" s="739"/>
      <c r="J31" s="739"/>
      <c r="K31" s="739"/>
      <c r="M31" s="729"/>
    </row>
    <row r="32" spans="1:13" ht="12.75" customHeight="1">
      <c r="A32" s="735"/>
      <c r="B32" s="735"/>
      <c r="C32" s="735"/>
      <c r="D32" s="735"/>
      <c r="E32" s="735"/>
      <c r="F32" s="735"/>
      <c r="G32" s="735"/>
      <c r="H32" s="735"/>
      <c r="I32" s="735"/>
      <c r="J32" s="735"/>
      <c r="K32" s="735"/>
      <c r="M32" s="729"/>
    </row>
    <row r="33" spans="1:13" ht="12.75" customHeight="1">
      <c r="A33" s="735"/>
      <c r="B33" s="735"/>
      <c r="C33" s="735"/>
      <c r="D33" s="735"/>
      <c r="E33" s="735"/>
      <c r="F33" s="735"/>
      <c r="G33" s="735"/>
      <c r="H33" s="735"/>
      <c r="I33" s="735"/>
      <c r="J33" s="735"/>
      <c r="K33" s="735"/>
      <c r="M33" s="729"/>
    </row>
    <row r="34" spans="1:13" ht="48" customHeight="1">
      <c r="A34" s="743" t="s">
        <v>3874</v>
      </c>
      <c r="B34" s="743"/>
      <c r="C34" s="743"/>
      <c r="D34" s="743"/>
      <c r="E34" s="743"/>
      <c r="F34" s="743"/>
      <c r="G34" s="743"/>
      <c r="H34" s="743"/>
      <c r="I34" s="743"/>
      <c r="J34" s="743"/>
      <c r="K34" s="743"/>
      <c r="M34" s="729"/>
    </row>
    <row r="35" spans="1:13" ht="12.75" customHeight="1">
      <c r="A35" s="735"/>
      <c r="B35" s="735"/>
      <c r="C35" s="735"/>
      <c r="D35" s="735"/>
      <c r="E35" s="735"/>
      <c r="F35" s="735"/>
      <c r="G35" s="735"/>
      <c r="H35" s="735"/>
      <c r="I35" s="735"/>
      <c r="J35" s="735"/>
      <c r="K35" s="735"/>
      <c r="M35" s="729"/>
    </row>
    <row r="36" spans="1:13" ht="12.75" customHeight="1">
      <c r="A36" s="735"/>
      <c r="B36" s="735"/>
      <c r="C36" s="735"/>
      <c r="D36" s="735"/>
      <c r="E36" s="735"/>
      <c r="F36" s="735"/>
      <c r="G36" s="735"/>
      <c r="H36" s="735"/>
      <c r="I36" s="735"/>
      <c r="J36" s="735"/>
      <c r="K36" s="735"/>
      <c r="M36" s="729"/>
    </row>
    <row r="37" spans="1:13" ht="12.75" customHeight="1">
      <c r="A37" s="735"/>
      <c r="B37" s="735"/>
      <c r="C37" s="735"/>
      <c r="D37" s="735"/>
      <c r="E37" s="735"/>
      <c r="F37" s="735"/>
      <c r="G37" s="735"/>
      <c r="H37" s="735"/>
      <c r="I37" s="735"/>
      <c r="J37" s="735"/>
      <c r="K37" s="735"/>
      <c r="M37" s="729"/>
    </row>
    <row r="38" spans="1:13" ht="12.75" customHeight="1">
      <c r="A38" s="735"/>
      <c r="B38" s="735"/>
      <c r="C38" s="735"/>
      <c r="D38" s="735"/>
      <c r="E38" s="735"/>
      <c r="F38" s="735"/>
      <c r="G38" s="735"/>
      <c r="H38" s="735"/>
      <c r="I38" s="735"/>
      <c r="J38" s="735"/>
      <c r="K38" s="735"/>
      <c r="M38" s="729"/>
    </row>
    <row r="39" spans="1:13" ht="12.75" customHeight="1">
      <c r="A39" s="735"/>
      <c r="B39" s="735"/>
      <c r="C39" s="735"/>
      <c r="D39" s="735"/>
      <c r="E39" s="735"/>
      <c r="F39" s="735"/>
      <c r="G39" s="735"/>
      <c r="H39" s="735"/>
      <c r="I39" s="735"/>
      <c r="J39" s="735"/>
      <c r="K39" s="735"/>
      <c r="M39" s="729"/>
    </row>
    <row r="40" spans="1:13" ht="12.75" customHeight="1">
      <c r="A40" s="735"/>
      <c r="B40" s="735"/>
      <c r="C40" s="735"/>
      <c r="D40" s="735"/>
      <c r="E40" s="735"/>
      <c r="F40" s="735"/>
      <c r="G40" s="735"/>
      <c r="H40" s="735"/>
      <c r="I40" s="735"/>
      <c r="J40" s="735"/>
      <c r="K40" s="735"/>
      <c r="M40" s="729"/>
    </row>
    <row r="41" spans="1:13" ht="12.75" customHeight="1">
      <c r="A41" s="735"/>
      <c r="B41" s="735"/>
      <c r="C41" s="735"/>
      <c r="D41" s="735"/>
      <c r="E41" s="735"/>
      <c r="F41" s="735"/>
      <c r="G41" s="735"/>
      <c r="H41" s="735"/>
      <c r="I41" s="735"/>
      <c r="J41" s="735"/>
      <c r="K41" s="735"/>
      <c r="M41" s="729"/>
    </row>
    <row r="42" spans="1:11" ht="12.75">
      <c r="A42" s="4"/>
      <c r="B42" s="4"/>
      <c r="C42" s="4"/>
      <c r="D42" s="4"/>
      <c r="E42" s="4"/>
      <c r="F42" s="4"/>
      <c r="G42" s="4"/>
      <c r="H42" s="4"/>
      <c r="I42" s="4"/>
      <c r="J42" s="4"/>
      <c r="K42" s="4"/>
    </row>
    <row r="43" spans="1:11" ht="12.75">
      <c r="A43" s="4"/>
      <c r="B43" s="4"/>
      <c r="C43" s="4"/>
      <c r="D43" s="4"/>
      <c r="E43" s="4"/>
      <c r="F43" s="4"/>
      <c r="G43" s="4"/>
      <c r="H43" s="4"/>
      <c r="I43" s="4"/>
      <c r="J43" s="4"/>
      <c r="K43" s="4"/>
    </row>
    <row r="44" spans="1:11" ht="12.75">
      <c r="A44" s="4"/>
      <c r="B44" s="4"/>
      <c r="C44" s="4"/>
      <c r="D44" s="4"/>
      <c r="E44" s="4"/>
      <c r="F44" s="4"/>
      <c r="G44" s="4"/>
      <c r="H44" s="4"/>
      <c r="I44" s="4"/>
      <c r="J44" s="4"/>
      <c r="K44" s="4"/>
    </row>
    <row r="45" spans="1:11" ht="12.75">
      <c r="A45" s="4"/>
      <c r="B45" s="4"/>
      <c r="C45" s="4"/>
      <c r="D45" s="4"/>
      <c r="E45" s="4"/>
      <c r="F45" s="4"/>
      <c r="G45" s="4"/>
      <c r="H45" s="4"/>
      <c r="I45" s="4"/>
      <c r="J45" s="4"/>
      <c r="K45" s="4"/>
    </row>
    <row r="46" spans="1:11" ht="12.75">
      <c r="A46" s="4"/>
      <c r="B46" s="4"/>
      <c r="C46" s="4"/>
      <c r="D46" s="4"/>
      <c r="E46" s="4"/>
      <c r="F46" s="4"/>
      <c r="G46" s="4"/>
      <c r="H46" s="4"/>
      <c r="I46" s="4"/>
      <c r="J46" s="4"/>
      <c r="K46" s="4"/>
    </row>
    <row r="47" spans="1:11" ht="12.75">
      <c r="A47" s="4"/>
      <c r="B47" s="4"/>
      <c r="C47" s="4"/>
      <c r="D47" s="4"/>
      <c r="E47" s="4"/>
      <c r="F47" s="4"/>
      <c r="G47" s="4"/>
      <c r="H47" s="4"/>
      <c r="I47" s="4"/>
      <c r="J47" s="4"/>
      <c r="K47" s="4"/>
    </row>
    <row r="48" spans="1:11" ht="12.75">
      <c r="A48" s="4"/>
      <c r="B48" s="4"/>
      <c r="C48" s="4"/>
      <c r="D48" s="4"/>
      <c r="E48" s="4"/>
      <c r="F48" s="4"/>
      <c r="G48" s="4"/>
      <c r="H48" s="4"/>
      <c r="I48" s="4"/>
      <c r="J48" s="4"/>
      <c r="K48" s="4"/>
    </row>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pans="1:1" s="4" customFormat="1" ht="12.75" hidden="1">
      <c r="A99" s="25">
        <v>1</v>
      </c>
    </row>
    <row r="100" spans="1:1" s="4" customFormat="1" ht="12.75" hidden="1">
      <c r="A100" s="329" t="s">
        <v>441</v>
      </c>
    </row>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sheetData>
  <sheetProtection password="EF65" sheet="1" objects="1" scenarios="1"/>
  <mergeCells count="35">
    <mergeCell ref="A41:K41"/>
    <mergeCell ref="A33:K33"/>
    <mergeCell ref="A32:K32"/>
    <mergeCell ref="A37:K37"/>
    <mergeCell ref="A38:K38"/>
    <mergeCell ref="A39:K39"/>
    <mergeCell ref="A40:K40"/>
    <mergeCell ref="A35:K35"/>
    <mergeCell ref="A36:K36"/>
    <mergeCell ref="A34:K34"/>
    <mergeCell ref="A27:K27"/>
    <mergeCell ref="A29:K29"/>
    <mergeCell ref="A28:K28"/>
    <mergeCell ref="A30:K31"/>
    <mergeCell ref="A13:K13"/>
    <mergeCell ref="A14:K14"/>
    <mergeCell ref="A15:K15"/>
    <mergeCell ref="A16:K16"/>
    <mergeCell ref="A26:K26"/>
    <mergeCell ref="A8:K11"/>
    <mergeCell ref="M24:M25"/>
    <mergeCell ref="M27:M41"/>
    <mergeCell ref="M1:M3"/>
    <mergeCell ref="M5:M10"/>
    <mergeCell ref="M15:M18"/>
    <mergeCell ref="M20:M22"/>
    <mergeCell ref="A25:K25"/>
    <mergeCell ref="A18:K18"/>
    <mergeCell ref="A19:K19"/>
    <mergeCell ref="A20:K20"/>
    <mergeCell ref="A21:K21"/>
    <mergeCell ref="A24:K24"/>
    <mergeCell ref="A17:K17"/>
    <mergeCell ref="A22:K22"/>
    <mergeCell ref="A23:K23"/>
  </mergeCells>
  <printOptions horizontalCentered="1" verticalCentered="1"/>
  <pageMargins left="0.393700787401575" right="0.393700787401575" top="0.590551181102362" bottom="0.393700787401575" header="0.511811023622047" footer="0.511811023622047"/>
  <pageSetup orientation="portrait" paperSize="9" scale="91" r:id="rId2"/>
  <headerFooter alignWithMargins="0"/>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900-000000000000}">
  <sheetPr codeName="List5">
    <tabColor rgb="FFFFCCFF"/>
  </sheetPr>
  <dimension ref="A1:E49"/>
  <sheetViews>
    <sheetView workbookViewId="0" topLeftCell="A1">
      <selection pane="topLeft" activeCell="C30" sqref="C30"/>
    </sheetView>
  </sheetViews>
  <sheetFormatPr defaultColWidth="9.14428571428571" defaultRowHeight="12.75"/>
  <cols>
    <col min="1" max="1" width="37.1428571428571" style="53" customWidth="1"/>
    <col min="2" max="3" width="29.8571428571429" style="53" customWidth="1"/>
    <col min="4" max="16384" width="9.14285714285714" style="53"/>
  </cols>
  <sheetData>
    <row r="1" spans="1:3" ht="12.75">
      <c r="A1" s="1185" t="s">
        <v>3661</v>
      </c>
      <c r="B1" s="1185"/>
      <c r="C1" s="1185"/>
    </row>
    <row r="2" spans="1:5" ht="18">
      <c r="A2" s="1191" t="s">
        <v>300</v>
      </c>
      <c r="B2" s="1191"/>
      <c r="C2" s="1191"/>
      <c r="D2" s="54"/>
      <c r="E2" s="54"/>
    </row>
    <row r="3" spans="1:5" ht="15.75">
      <c r="A3" s="1192" t="s">
        <v>3894</v>
      </c>
      <c r="B3" s="1192"/>
      <c r="C3" s="1192"/>
      <c r="D3" s="54"/>
      <c r="E3" s="54"/>
    </row>
    <row r="4" spans="1:5" ht="12.75">
      <c r="A4" s="1193"/>
      <c r="B4" s="1193"/>
      <c r="C4" s="1193"/>
      <c r="D4" s="54"/>
      <c r="E4" s="54"/>
    </row>
    <row r="5" spans="1:5" ht="16.5" thickBot="1">
      <c r="A5" s="55" t="s">
        <v>11</v>
      </c>
      <c r="B5" s="1188" t="str">
        <f>+CONCATENATE(ZAKL_DATA!B5," ",ZAKL_DATA!B4," ",ZAKL_DATA!B7)</f>
        <v xml:space="preserve">  </v>
      </c>
      <c r="C5" s="1189"/>
      <c r="D5" s="54"/>
      <c r="E5" s="54"/>
    </row>
    <row r="6" spans="1:5" ht="15.95" customHeight="1" thickBot="1">
      <c r="A6" s="56" t="s">
        <v>12</v>
      </c>
      <c r="B6" s="57" t="s">
        <v>13</v>
      </c>
      <c r="C6" s="58" t="s">
        <v>14</v>
      </c>
      <c r="D6" s="54"/>
      <c r="E6" s="54"/>
    </row>
    <row r="7" spans="1:5" ht="15.95" customHeight="1">
      <c r="A7" s="59" t="s">
        <v>15</v>
      </c>
      <c r="B7" s="162">
        <v>0</v>
      </c>
      <c r="C7" s="163">
        <v>0</v>
      </c>
      <c r="D7" s="54"/>
      <c r="E7" s="54"/>
    </row>
    <row r="8" spans="1:5" ht="15.95" customHeight="1">
      <c r="A8" s="60" t="s">
        <v>131</v>
      </c>
      <c r="B8" s="164">
        <v>0</v>
      </c>
      <c r="C8" s="165">
        <v>0</v>
      </c>
      <c r="D8" s="54"/>
      <c r="E8" s="54"/>
    </row>
    <row r="9" spans="1:5" ht="15.95" customHeight="1">
      <c r="A9" s="60" t="s">
        <v>373</v>
      </c>
      <c r="B9" s="164">
        <v>0</v>
      </c>
      <c r="C9" s="165">
        <v>0</v>
      </c>
      <c r="D9" s="54"/>
      <c r="E9" s="54"/>
    </row>
    <row r="10" spans="1:5" ht="15.95" customHeight="1">
      <c r="A10" s="60" t="s">
        <v>382</v>
      </c>
      <c r="B10" s="164">
        <v>0</v>
      </c>
      <c r="C10" s="165">
        <v>0</v>
      </c>
      <c r="D10" s="54"/>
      <c r="E10" s="54"/>
    </row>
    <row r="11" spans="1:5" ht="15.95" customHeight="1">
      <c r="A11" s="60" t="s">
        <v>132</v>
      </c>
      <c r="B11" s="164">
        <v>0</v>
      </c>
      <c r="C11" s="165">
        <v>0</v>
      </c>
      <c r="D11" s="54"/>
      <c r="E11" s="54"/>
    </row>
    <row r="12" spans="1:5" ht="15.95" customHeight="1">
      <c r="A12" s="60" t="s">
        <v>180</v>
      </c>
      <c r="B12" s="164">
        <v>0</v>
      </c>
      <c r="C12" s="165">
        <v>0</v>
      </c>
      <c r="D12" s="54"/>
      <c r="E12" s="54"/>
    </row>
    <row r="13" spans="1:5" ht="15.95" customHeight="1">
      <c r="A13" s="60" t="s">
        <v>3662</v>
      </c>
      <c r="B13" s="164">
        <v>0</v>
      </c>
      <c r="C13" s="165">
        <v>0</v>
      </c>
      <c r="D13" s="54"/>
      <c r="E13" s="54"/>
    </row>
    <row r="14" spans="1:5" ht="15.95" customHeight="1">
      <c r="A14" s="60" t="s">
        <v>3663</v>
      </c>
      <c r="B14" s="164">
        <v>0</v>
      </c>
      <c r="C14" s="165">
        <v>0</v>
      </c>
      <c r="D14" s="54"/>
      <c r="E14" s="54"/>
    </row>
    <row r="15" spans="1:5" ht="15.95" customHeight="1">
      <c r="A15" s="60" t="s">
        <v>16</v>
      </c>
      <c r="B15" s="164">
        <v>0</v>
      </c>
      <c r="C15" s="165">
        <v>0</v>
      </c>
      <c r="D15" s="54"/>
      <c r="E15" s="54"/>
    </row>
    <row r="16" spans="1:5" ht="15.95" customHeight="1">
      <c r="A16" s="61" t="s">
        <v>17</v>
      </c>
      <c r="B16" s="166">
        <f>SUM(B7:B15)</f>
        <v>0</v>
      </c>
      <c r="C16" s="167">
        <f>SUM(C7:C15)</f>
        <v>0</v>
      </c>
      <c r="D16" s="54"/>
      <c r="E16" s="54"/>
    </row>
    <row r="17" spans="1:5" ht="15.95" customHeight="1" thickBot="1">
      <c r="A17" s="62" t="s">
        <v>18</v>
      </c>
      <c r="B17" s="168">
        <f>SUM(B7:B16)</f>
        <v>0</v>
      </c>
      <c r="C17" s="169">
        <f>SUM(C7:C16)</f>
        <v>0</v>
      </c>
      <c r="D17" s="54"/>
      <c r="E17" s="54"/>
    </row>
    <row r="18" spans="1:5" ht="15.95" customHeight="1" thickBot="1">
      <c r="A18" s="63" t="s">
        <v>19</v>
      </c>
      <c r="B18" s="170"/>
      <c r="C18" s="171"/>
      <c r="D18" s="54"/>
      <c r="E18" s="54"/>
    </row>
    <row r="19" spans="1:5" ht="15.95" customHeight="1">
      <c r="A19" s="59" t="s">
        <v>3664</v>
      </c>
      <c r="B19" s="162">
        <v>0</v>
      </c>
      <c r="C19" s="163">
        <v>0</v>
      </c>
      <c r="D19" s="54"/>
      <c r="E19" s="54"/>
    </row>
    <row r="20" spans="1:5" ht="15.95" customHeight="1">
      <c r="A20" s="60" t="s">
        <v>3665</v>
      </c>
      <c r="B20" s="164">
        <v>0</v>
      </c>
      <c r="C20" s="165">
        <v>0</v>
      </c>
      <c r="D20" s="54"/>
      <c r="E20" s="54"/>
    </row>
    <row r="21" spans="1:5" ht="15.95" customHeight="1">
      <c r="A21" s="60" t="s">
        <v>20</v>
      </c>
      <c r="B21" s="164">
        <v>0</v>
      </c>
      <c r="C21" s="165">
        <v>0</v>
      </c>
      <c r="D21" s="54"/>
      <c r="E21" s="54"/>
    </row>
    <row r="22" spans="1:5" ht="15.95" customHeight="1">
      <c r="A22" s="60" t="s">
        <v>383</v>
      </c>
      <c r="B22" s="164">
        <v>0</v>
      </c>
      <c r="C22" s="165">
        <v>0</v>
      </c>
      <c r="D22" s="54"/>
      <c r="E22" s="54"/>
    </row>
    <row r="23" spans="1:5" ht="15.95" customHeight="1">
      <c r="A23" s="61" t="s">
        <v>21</v>
      </c>
      <c r="B23" s="166">
        <f>SUM(B19:B22)</f>
        <v>0</v>
      </c>
      <c r="C23" s="167">
        <f>SUM(C19:C22)</f>
        <v>0</v>
      </c>
      <c r="D23" s="54"/>
      <c r="E23" s="54"/>
    </row>
    <row r="24" spans="1:5" ht="15.95" customHeight="1">
      <c r="A24" s="61" t="s">
        <v>3666</v>
      </c>
      <c r="B24" s="166">
        <f>B16-B23</f>
        <v>0</v>
      </c>
      <c r="C24" s="167">
        <f>C16-C23</f>
        <v>0</v>
      </c>
      <c r="D24" s="54"/>
      <c r="E24" s="54"/>
    </row>
    <row r="25" spans="1:5" ht="15.95" customHeight="1" thickBot="1">
      <c r="A25" s="62" t="s">
        <v>18</v>
      </c>
      <c r="B25" s="168">
        <f>SUM(B19:B24)</f>
        <v>0</v>
      </c>
      <c r="C25" s="169">
        <f>SUM(C19:C24)</f>
        <v>0</v>
      </c>
      <c r="D25" s="54"/>
      <c r="E25" s="54"/>
    </row>
    <row r="26" spans="1:5" ht="15.95" customHeight="1">
      <c r="A26" s="1194"/>
      <c r="B26" s="855"/>
      <c r="C26" s="855"/>
      <c r="D26" s="54"/>
      <c r="E26" s="54"/>
    </row>
    <row r="27" spans="1:5" ht="15.95" customHeight="1" thickBot="1">
      <c r="A27" s="1190" t="s">
        <v>22</v>
      </c>
      <c r="B27" s="871"/>
      <c r="C27" s="871"/>
      <c r="D27" s="54"/>
      <c r="E27" s="54"/>
    </row>
    <row r="28" spans="1:3" ht="15.95" customHeight="1" thickBot="1">
      <c r="A28" s="56" t="s">
        <v>183</v>
      </c>
      <c r="B28" s="64"/>
      <c r="C28" s="65" t="s">
        <v>14</v>
      </c>
    </row>
    <row r="29" spans="1:3" ht="15.95" customHeight="1">
      <c r="A29" s="59" t="s">
        <v>23</v>
      </c>
      <c r="B29" s="66"/>
      <c r="C29" s="172">
        <v>0</v>
      </c>
    </row>
    <row r="30" spans="1:3" ht="15.95" customHeight="1">
      <c r="A30" s="60" t="s">
        <v>24</v>
      </c>
      <c r="B30" s="67"/>
      <c r="C30" s="173">
        <v>0</v>
      </c>
    </row>
    <row r="31" spans="1:3" ht="15.95" customHeight="1">
      <c r="A31" s="60" t="s">
        <v>25</v>
      </c>
      <c r="B31" s="67"/>
      <c r="C31" s="173">
        <v>0</v>
      </c>
    </row>
    <row r="32" spans="1:3" ht="15.95" customHeight="1">
      <c r="A32" s="70" t="s">
        <v>3667</v>
      </c>
      <c r="B32" s="67"/>
      <c r="C32" s="173">
        <v>0</v>
      </c>
    </row>
    <row r="33" spans="1:3" ht="15.95" customHeight="1">
      <c r="A33" s="60" t="s">
        <v>26</v>
      </c>
      <c r="B33" s="67"/>
      <c r="C33" s="173">
        <v>0</v>
      </c>
    </row>
    <row r="34" spans="1:3" ht="15.95" customHeight="1">
      <c r="A34" s="72" t="s">
        <v>27</v>
      </c>
      <c r="B34" s="71"/>
      <c r="C34" s="174">
        <f>+C29+C30+C31+C33</f>
        <v>0</v>
      </c>
    </row>
    <row r="35" spans="1:3" ht="15.95" customHeight="1" thickBot="1">
      <c r="A35" s="62" t="s">
        <v>18</v>
      </c>
      <c r="B35" s="68"/>
      <c r="C35" s="175">
        <f>SUM(C29:C33)</f>
        <v>0</v>
      </c>
    </row>
    <row r="36" spans="1:3" ht="15.95" customHeight="1" thickBot="1">
      <c r="A36" s="63" t="s">
        <v>184</v>
      </c>
      <c r="B36" s="69"/>
      <c r="C36" s="176"/>
    </row>
    <row r="37" spans="1:3" ht="15.95" customHeight="1">
      <c r="A37" s="59" t="s">
        <v>28</v>
      </c>
      <c r="B37" s="66"/>
      <c r="C37" s="172">
        <v>0</v>
      </c>
    </row>
    <row r="38" spans="1:3" ht="15.95" customHeight="1">
      <c r="A38" s="60" t="s">
        <v>29</v>
      </c>
      <c r="B38" s="67"/>
      <c r="C38" s="173">
        <v>0</v>
      </c>
    </row>
    <row r="39" spans="1:3" ht="15.95" customHeight="1">
      <c r="A39" s="60" t="s">
        <v>30</v>
      </c>
      <c r="B39" s="67"/>
      <c r="C39" s="173">
        <v>0</v>
      </c>
    </row>
    <row r="40" spans="1:3" ht="15.95" customHeight="1">
      <c r="A40" s="60" t="s">
        <v>402</v>
      </c>
      <c r="B40" s="67"/>
      <c r="C40" s="173">
        <v>0</v>
      </c>
    </row>
    <row r="41" spans="1:3" ht="15.95" customHeight="1">
      <c r="A41" s="60" t="s">
        <v>31</v>
      </c>
      <c r="B41" s="67"/>
      <c r="C41" s="173">
        <v>0</v>
      </c>
    </row>
    <row r="42" spans="1:3" ht="15.95" customHeight="1">
      <c r="A42" s="60" t="s">
        <v>32</v>
      </c>
      <c r="B42" s="67"/>
      <c r="C42" s="173">
        <v>0</v>
      </c>
    </row>
    <row r="43" spans="1:3" ht="15.95" customHeight="1">
      <c r="A43" s="70" t="s">
        <v>3668</v>
      </c>
      <c r="B43" s="67"/>
      <c r="C43" s="173">
        <v>0</v>
      </c>
    </row>
    <row r="44" spans="1:3" ht="15.95" customHeight="1">
      <c r="A44" s="70" t="s">
        <v>3669</v>
      </c>
      <c r="B44" s="67"/>
      <c r="C44" s="173">
        <v>0</v>
      </c>
    </row>
    <row r="45" spans="1:3" ht="15.95" customHeight="1">
      <c r="A45" s="70" t="s">
        <v>3670</v>
      </c>
      <c r="B45" s="67"/>
      <c r="C45" s="173">
        <v>0</v>
      </c>
    </row>
    <row r="46" spans="1:3" ht="15.95" customHeight="1">
      <c r="A46" s="72" t="s">
        <v>33</v>
      </c>
      <c r="B46" s="71"/>
      <c r="C46" s="174">
        <f>+SUM(C37:C42)</f>
        <v>0</v>
      </c>
    </row>
    <row r="47" spans="1:3" ht="15.95" customHeight="1">
      <c r="A47" s="72" t="s">
        <v>143</v>
      </c>
      <c r="B47" s="71"/>
      <c r="C47" s="174">
        <f>+C34-C46</f>
        <v>0</v>
      </c>
    </row>
    <row r="48" spans="1:3" ht="15.95" customHeight="1" thickBot="1">
      <c r="A48" s="62" t="s">
        <v>18</v>
      </c>
      <c r="B48" s="68"/>
      <c r="C48" s="175">
        <f>SUM(C37:C45)</f>
        <v>0</v>
      </c>
    </row>
    <row r="49" spans="1:3" ht="12.75">
      <c r="A49" s="1186" t="str">
        <f>+'DAP1'!A46:L46</f>
        <v>Formulář zpracovala ASPEKT HM, daňová, účetní a auditorská kancelář, www.danovapriznani.cz, business.center.cz</v>
      </c>
      <c r="B49" s="1187"/>
      <c r="C49" s="1187"/>
    </row>
  </sheetData>
  <sheetProtection algorithmName="SHA-512" hashValue="xhm5qMbefQlvYwVWFIMkqc2Gl9XBJFcEOadYOM0lbLXYHlibfKMbSdJsbfjPqVdaizgWU12dt2J+pKONK4MZIw==" saltValue="jKfub7bTwFpAEIEshnT/AA==" spinCount="100000" sheet="1" objects="1" scenarios="1"/>
  <mergeCells count="8">
    <mergeCell ref="A1:C1"/>
    <mergeCell ref="A49:C49"/>
    <mergeCell ref="B5:C5"/>
    <mergeCell ref="A27:C27"/>
    <mergeCell ref="A2:C2"/>
    <mergeCell ref="A3:C3"/>
    <mergeCell ref="A4:C4"/>
    <mergeCell ref="A26:C26"/>
  </mergeCells>
  <printOptions horizontalCentered="1" verticalCentered="1"/>
  <pageMargins left="0.393700787401575" right="0.393700787401575" top="0.590551181102362" bottom="0.590551181102362" header="0.511811023622047" footer="0.511811023622047"/>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A00-000000000000}">
  <sheetPr codeName="List6">
    <tabColor rgb="FFFFCCFF"/>
    <pageSetUpPr fitToPage="1"/>
  </sheetPr>
  <dimension ref="A1:AX41"/>
  <sheetViews>
    <sheetView workbookViewId="0" topLeftCell="A1">
      <selection pane="topLeft" activeCell="I17" sqref="I17:K17"/>
    </sheetView>
  </sheetViews>
  <sheetFormatPr defaultColWidth="9.14428571428571" defaultRowHeight="12.75"/>
  <cols>
    <col min="1" max="1" width="3.57142857142857" style="2" customWidth="1"/>
    <col min="2" max="2" width="15.7142857142857" style="2" customWidth="1"/>
    <col min="3" max="4" width="8.71428571428571" style="2" customWidth="1"/>
    <col min="5" max="5" width="10.7142857142857" style="2" customWidth="1"/>
    <col min="6" max="6" width="7.71428571428571" style="2" customWidth="1"/>
    <col min="7" max="7" width="8.71428571428571" style="2" customWidth="1"/>
    <col min="8" max="8" width="9.57142857142857" style="2" customWidth="1"/>
    <col min="9" max="11" width="8.71428571428571" style="2" customWidth="1"/>
    <col min="12" max="22" width="9.14285714285714" style="4"/>
    <col min="23" max="23" width="11.4285714285714" style="4" bestFit="1" customWidth="1"/>
    <col min="24" max="50" width="9.14285714285714" style="4"/>
    <col min="51" max="16384" width="9.14285714285714" style="2"/>
  </cols>
  <sheetData>
    <row r="1" spans="1:11" ht="18" customHeight="1" thickBot="1">
      <c r="A1" s="1219" t="s">
        <v>364</v>
      </c>
      <c r="B1" s="1220"/>
      <c r="C1" s="1220"/>
      <c r="D1" s="1220"/>
      <c r="E1" s="1220"/>
      <c r="F1" s="1220"/>
      <c r="G1" s="1221"/>
      <c r="H1" s="280" t="s">
        <v>42</v>
      </c>
      <c r="I1" s="1201" t="str">
        <f>'DAP1'!A9</f>
        <v/>
      </c>
      <c r="J1" s="1202"/>
      <c r="K1" s="1065"/>
    </row>
    <row r="2" spans="1:11" ht="26.25" customHeight="1">
      <c r="A2" s="1218" t="s">
        <v>3895</v>
      </c>
      <c r="B2" s="1218"/>
      <c r="C2" s="1218"/>
      <c r="D2" s="1218"/>
      <c r="E2" s="1218"/>
      <c r="F2" s="1218"/>
      <c r="G2" s="745"/>
      <c r="H2" s="1227"/>
      <c r="I2" s="1227"/>
      <c r="J2" s="1227"/>
      <c r="K2" s="1227"/>
    </row>
    <row r="3" spans="1:11" ht="36" customHeight="1">
      <c r="A3" s="1207" t="s">
        <v>209</v>
      </c>
      <c r="B3" s="1208"/>
      <c r="C3" s="1208"/>
      <c r="D3" s="1208"/>
      <c r="E3" s="1208"/>
      <c r="F3" s="1208"/>
      <c r="G3" s="1208"/>
      <c r="H3" s="1208"/>
      <c r="I3" s="1208"/>
      <c r="J3" s="1208"/>
      <c r="K3" s="1208"/>
    </row>
    <row r="4" spans="1:11" ht="15.95" customHeight="1">
      <c r="A4" s="1222" t="s">
        <v>3593</v>
      </c>
      <c r="B4" s="745"/>
      <c r="C4" s="745"/>
      <c r="D4" s="745"/>
      <c r="E4" s="745"/>
      <c r="F4" s="745"/>
      <c r="G4" s="745"/>
      <c r="H4" s="745"/>
      <c r="I4" s="745"/>
      <c r="J4" s="745"/>
      <c r="K4" s="745"/>
    </row>
    <row r="5" spans="1:11" ht="15.95" customHeight="1">
      <c r="A5" s="1223" t="s">
        <v>3594</v>
      </c>
      <c r="B5" s="1224"/>
      <c r="C5" s="1224"/>
      <c r="D5" s="1224"/>
      <c r="E5" s="1224"/>
      <c r="F5" s="1224"/>
      <c r="G5" s="1224"/>
      <c r="H5" s="1224"/>
      <c r="I5" s="1224"/>
      <c r="J5" s="1224"/>
      <c r="K5" s="1224"/>
    </row>
    <row r="6" spans="1:11" ht="9.95" customHeight="1">
      <c r="A6" s="1225" t="s">
        <v>321</v>
      </c>
      <c r="B6" s="1226"/>
      <c r="C6" s="1226"/>
      <c r="D6" s="1226"/>
      <c r="E6" s="1226"/>
      <c r="F6" s="1226"/>
      <c r="G6" s="1226"/>
      <c r="H6" s="1226"/>
      <c r="I6" s="1226"/>
      <c r="J6" s="1226"/>
      <c r="K6" s="1226"/>
    </row>
    <row r="7" spans="1:11" ht="8.1" customHeight="1" thickBot="1">
      <c r="A7" s="1225"/>
      <c r="B7" s="1226"/>
      <c r="C7" s="1226"/>
      <c r="D7" s="1226"/>
      <c r="E7" s="1226"/>
      <c r="F7" s="1226"/>
      <c r="G7" s="1226"/>
      <c r="H7" s="1226"/>
      <c r="I7" s="1226"/>
      <c r="J7" s="1226"/>
      <c r="K7" s="1226"/>
    </row>
    <row r="8" spans="1:50" s="119" customFormat="1" ht="24" customHeight="1" thickBot="1">
      <c r="A8" s="1203" t="s">
        <v>255</v>
      </c>
      <c r="B8" s="1204"/>
      <c r="C8" s="103"/>
      <c r="D8" s="117"/>
      <c r="E8" s="1203" t="s">
        <v>301</v>
      </c>
      <c r="F8" s="1211"/>
      <c r="G8" s="103" t="s">
        <v>316</v>
      </c>
      <c r="H8" s="117"/>
      <c r="I8" s="1203" t="s">
        <v>369</v>
      </c>
      <c r="J8" s="1234"/>
      <c r="K8" s="103"/>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8"/>
      <c r="AL8" s="118"/>
      <c r="AM8" s="118"/>
      <c r="AN8" s="118"/>
      <c r="AO8" s="118"/>
      <c r="AP8" s="118"/>
      <c r="AQ8" s="118"/>
      <c r="AR8" s="118"/>
      <c r="AS8" s="118"/>
      <c r="AT8" s="118"/>
      <c r="AU8" s="118"/>
      <c r="AV8" s="118"/>
      <c r="AW8" s="118"/>
      <c r="AX8" s="118"/>
    </row>
    <row r="9" spans="1:50" s="119" customFormat="1" ht="8.1" customHeight="1" thickBot="1">
      <c r="A9" s="1195"/>
      <c r="B9" s="1195"/>
      <c r="C9" s="1195"/>
      <c r="D9" s="1195"/>
      <c r="E9" s="1195"/>
      <c r="F9" s="1195"/>
      <c r="G9" s="1195"/>
      <c r="H9" s="1195"/>
      <c r="I9" s="1195"/>
      <c r="J9" s="1195"/>
      <c r="K9" s="1196"/>
      <c r="L9" s="118"/>
      <c r="M9" s="118"/>
      <c r="N9" s="118"/>
      <c r="O9" s="118"/>
      <c r="P9" s="118"/>
      <c r="Q9" s="118"/>
      <c r="R9" s="118"/>
      <c r="S9" s="118"/>
      <c r="T9" s="118"/>
      <c r="U9" s="118"/>
      <c r="V9" s="118"/>
      <c r="W9" s="118"/>
      <c r="X9" s="118"/>
      <c r="Y9" s="118"/>
      <c r="Z9" s="118"/>
      <c r="AA9" s="118"/>
      <c r="AB9" s="118"/>
      <c r="AC9" s="118"/>
      <c r="AD9" s="118"/>
      <c r="AE9" s="118"/>
      <c r="AF9" s="118"/>
      <c r="AG9" s="118"/>
      <c r="AH9" s="118"/>
      <c r="AI9" s="118"/>
      <c r="AJ9" s="118"/>
      <c r="AK9" s="118"/>
      <c r="AL9" s="118"/>
      <c r="AM9" s="118"/>
      <c r="AN9" s="118"/>
      <c r="AO9" s="118"/>
      <c r="AP9" s="118"/>
      <c r="AQ9" s="118"/>
      <c r="AR9" s="118"/>
      <c r="AS9" s="118"/>
      <c r="AT9" s="118"/>
      <c r="AU9" s="118"/>
      <c r="AV9" s="118"/>
      <c r="AW9" s="118"/>
      <c r="AX9" s="118"/>
    </row>
    <row r="10" spans="1:50" s="119" customFormat="1" ht="18" customHeight="1" thickBot="1">
      <c r="A10" s="1197" t="s">
        <v>3896</v>
      </c>
      <c r="B10" s="1198"/>
      <c r="C10" s="1198"/>
      <c r="D10" s="1198"/>
      <c r="E10" s="1198"/>
      <c r="F10" s="1198"/>
      <c r="G10" s="1198"/>
      <c r="H10" s="1198"/>
      <c r="I10" s="1198"/>
      <c r="J10" s="1199"/>
      <c r="K10" s="707"/>
      <c r="L10" s="118"/>
      <c r="M10" s="118"/>
      <c r="N10" s="118"/>
      <c r="O10" s="118"/>
      <c r="P10" s="118"/>
      <c r="Q10" s="118"/>
      <c r="R10" s="118"/>
      <c r="S10" s="118"/>
      <c r="T10" s="118"/>
      <c r="U10" s="118"/>
      <c r="V10" s="118"/>
      <c r="W10" s="118"/>
      <c r="X10" s="118"/>
      <c r="Y10" s="118"/>
      <c r="Z10" s="118"/>
      <c r="AA10" s="118"/>
      <c r="AB10" s="118"/>
      <c r="AC10" s="118"/>
      <c r="AD10" s="118"/>
      <c r="AE10" s="118"/>
      <c r="AF10" s="118"/>
      <c r="AG10" s="118"/>
      <c r="AH10" s="118"/>
      <c r="AI10" s="118"/>
      <c r="AJ10" s="118"/>
      <c r="AK10" s="118"/>
      <c r="AL10" s="118"/>
      <c r="AM10" s="118"/>
      <c r="AN10" s="118"/>
      <c r="AO10" s="118"/>
      <c r="AP10" s="118"/>
      <c r="AQ10" s="118"/>
      <c r="AR10" s="118"/>
      <c r="AS10" s="118"/>
      <c r="AT10" s="118"/>
      <c r="AU10" s="118"/>
      <c r="AV10" s="118"/>
      <c r="AW10" s="118"/>
      <c r="AX10" s="118"/>
    </row>
    <row r="11" spans="1:11" ht="8.1" customHeight="1" thickBot="1">
      <c r="A11" s="1196"/>
      <c r="B11" s="1196"/>
      <c r="C11" s="1196"/>
      <c r="D11" s="1196"/>
      <c r="E11" s="1196"/>
      <c r="F11" s="1196"/>
      <c r="G11" s="1196"/>
      <c r="H11" s="1196"/>
      <c r="I11" s="1196"/>
      <c r="J11" s="1196"/>
      <c r="K11" s="1196"/>
    </row>
    <row r="12" spans="1:11" ht="12.75">
      <c r="A12" s="1212"/>
      <c r="B12" s="1213"/>
      <c r="C12" s="1213"/>
      <c r="D12" s="1213"/>
      <c r="E12" s="1214"/>
      <c r="F12" s="1215" t="s">
        <v>186</v>
      </c>
      <c r="G12" s="1216"/>
      <c r="H12" s="1217"/>
      <c r="I12" s="1231" t="s">
        <v>194</v>
      </c>
      <c r="J12" s="1232"/>
      <c r="K12" s="1233"/>
    </row>
    <row r="13" spans="1:11" ht="18" customHeight="1">
      <c r="A13" s="21">
        <v>101</v>
      </c>
      <c r="B13" s="1205" t="s">
        <v>322</v>
      </c>
      <c r="C13" s="1205"/>
      <c r="D13" s="1205"/>
      <c r="E13" s="1206"/>
      <c r="F13" s="955">
        <f>+CEILING(ZAV!C34,1)-ZAV!C32</f>
        <v>0</v>
      </c>
      <c r="G13" s="1209"/>
      <c r="H13" s="1210"/>
      <c r="I13" s="1228"/>
      <c r="J13" s="1229"/>
      <c r="K13" s="1230"/>
    </row>
    <row r="14" spans="1:11" ht="18" customHeight="1">
      <c r="A14" s="21">
        <v>102</v>
      </c>
      <c r="B14" s="1205" t="s">
        <v>323</v>
      </c>
      <c r="C14" s="1205"/>
      <c r="D14" s="1205"/>
      <c r="E14" s="1206"/>
      <c r="F14" s="955">
        <f>+IF(OR(EXACT(K8,"X"),EXACT(K8,"x")),FLOOR(E33*IF(E33&gt;1,'1Př1'!F13,MIN(2000000,'1Př1'!F13)),1),FLOOR(ZAV!C46,1))</f>
        <v>0</v>
      </c>
      <c r="G14" s="1209"/>
      <c r="H14" s="1210"/>
      <c r="I14" s="1228"/>
      <c r="J14" s="1229"/>
      <c r="K14" s="1230"/>
    </row>
    <row r="15" spans="1:11" ht="18" customHeight="1">
      <c r="A15" s="21">
        <v>103</v>
      </c>
      <c r="B15" s="1205" t="s">
        <v>213</v>
      </c>
      <c r="C15" s="1205"/>
      <c r="D15" s="1205"/>
      <c r="E15" s="1206"/>
      <c r="F15" s="1236"/>
      <c r="G15" s="1237"/>
      <c r="H15" s="1238"/>
      <c r="I15" s="1228"/>
      <c r="J15" s="1229"/>
      <c r="K15" s="1230"/>
    </row>
    <row r="16" spans="1:11" ht="24" customHeight="1">
      <c r="A16" s="85">
        <v>104</v>
      </c>
      <c r="B16" s="1200" t="s">
        <v>3595</v>
      </c>
      <c r="C16" s="946"/>
      <c r="D16" s="946"/>
      <c r="E16" s="947"/>
      <c r="F16" s="955">
        <f>+F13-F14-F15</f>
        <v>0</v>
      </c>
      <c r="G16" s="1209"/>
      <c r="H16" s="1210"/>
      <c r="I16" s="1228"/>
      <c r="J16" s="1229"/>
      <c r="K16" s="1230"/>
    </row>
    <row r="17" spans="1:11" ht="45" customHeight="1">
      <c r="A17" s="18">
        <v>105</v>
      </c>
      <c r="B17" s="1200" t="s">
        <v>44</v>
      </c>
      <c r="C17" s="1200"/>
      <c r="D17" s="1200"/>
      <c r="E17" s="1235"/>
      <c r="F17" s="1253">
        <f>+SUM('1Př2'!F20:G23)</f>
        <v>0</v>
      </c>
      <c r="G17" s="1254"/>
      <c r="H17" s="1255"/>
      <c r="I17" s="1228"/>
      <c r="J17" s="1229"/>
      <c r="K17" s="1230"/>
    </row>
    <row r="18" spans="1:11" ht="45" customHeight="1">
      <c r="A18" s="87">
        <v>106</v>
      </c>
      <c r="B18" s="1200" t="s">
        <v>43</v>
      </c>
      <c r="C18" s="1200"/>
      <c r="D18" s="1200"/>
      <c r="E18" s="1235"/>
      <c r="F18" s="1253">
        <f>+SUM('1Př2'!F26:G29)</f>
        <v>0</v>
      </c>
      <c r="G18" s="1254"/>
      <c r="H18" s="1255"/>
      <c r="I18" s="1228"/>
      <c r="J18" s="1229"/>
      <c r="K18" s="1230"/>
    </row>
    <row r="19" spans="1:11" ht="48" customHeight="1">
      <c r="A19" s="18">
        <v>107</v>
      </c>
      <c r="B19" s="1200" t="s">
        <v>3599</v>
      </c>
      <c r="C19" s="946"/>
      <c r="D19" s="946"/>
      <c r="E19" s="947"/>
      <c r="F19" s="955">
        <f>FLOOR(+F13*('1Př2'!G39+'1Př2'!G40),1)</f>
        <v>0</v>
      </c>
      <c r="G19" s="1209"/>
      <c r="H19" s="1210"/>
      <c r="I19" s="1228"/>
      <c r="J19" s="1229"/>
      <c r="K19" s="1230"/>
    </row>
    <row r="20" spans="1:50" s="3" customFormat="1" ht="48" customHeight="1">
      <c r="A20" s="18">
        <v>108</v>
      </c>
      <c r="B20" s="1249" t="s">
        <v>3598</v>
      </c>
      <c r="C20" s="1216"/>
      <c r="D20" s="1216"/>
      <c r="E20" s="1217"/>
      <c r="F20" s="955">
        <f>FLOOR(+F14*('1Př2'!G39+'1Př2'!G40),1)</f>
        <v>0</v>
      </c>
      <c r="G20" s="1209"/>
      <c r="H20" s="1210"/>
      <c r="I20" s="1228"/>
      <c r="J20" s="1229"/>
      <c r="K20" s="1230"/>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row>
    <row r="21" spans="1:50" s="3" customFormat="1" ht="48" customHeight="1">
      <c r="A21" s="18">
        <v>109</v>
      </c>
      <c r="B21" s="1249" t="s">
        <v>3596</v>
      </c>
      <c r="C21" s="1216"/>
      <c r="D21" s="1216"/>
      <c r="E21" s="1217"/>
      <c r="F21" s="955">
        <v>0</v>
      </c>
      <c r="G21" s="1209"/>
      <c r="H21" s="1210"/>
      <c r="I21" s="1228"/>
      <c r="J21" s="1229"/>
      <c r="K21" s="1230"/>
      <c r="L21" s="8"/>
      <c r="M21" s="158" t="str">
        <f>+IF(F21-F22&gt;540000,"CHYBA"," ")</f>
        <v xml:space="preserve"> </v>
      </c>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row>
    <row r="22" spans="1:50" s="3" customFormat="1" ht="48" customHeight="1">
      <c r="A22" s="18">
        <v>110</v>
      </c>
      <c r="B22" s="1249" t="s">
        <v>3597</v>
      </c>
      <c r="C22" s="1216"/>
      <c r="D22" s="1216"/>
      <c r="E22" s="1217"/>
      <c r="F22" s="955">
        <v>0</v>
      </c>
      <c r="G22" s="1209"/>
      <c r="H22" s="1210"/>
      <c r="I22" s="1228"/>
      <c r="J22" s="1229"/>
      <c r="K22" s="1230"/>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row>
    <row r="23" spans="1:50" s="3" customFormat="1" ht="18" customHeight="1">
      <c r="A23" s="18">
        <v>111</v>
      </c>
      <c r="B23" s="1205" t="s">
        <v>213</v>
      </c>
      <c r="C23" s="1205"/>
      <c r="D23" s="1205"/>
      <c r="E23" s="1206"/>
      <c r="F23" s="1236"/>
      <c r="G23" s="1237"/>
      <c r="H23" s="1238"/>
      <c r="I23" s="1228"/>
      <c r="J23" s="1229"/>
      <c r="K23" s="1230"/>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row>
    <row r="24" spans="1:50" s="3" customFormat="1" ht="36" customHeight="1">
      <c r="A24" s="18">
        <v>112</v>
      </c>
      <c r="B24" s="1249" t="s">
        <v>210</v>
      </c>
      <c r="C24" s="1216"/>
      <c r="D24" s="1216"/>
      <c r="E24" s="1217"/>
      <c r="F24" s="955">
        <v>0</v>
      </c>
      <c r="G24" s="1209"/>
      <c r="H24" s="1210"/>
      <c r="I24" s="1228"/>
      <c r="J24" s="1229"/>
      <c r="K24" s="1230"/>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row>
    <row r="25" spans="1:50" s="3" customFormat="1" ht="24" customHeight="1">
      <c r="A25" s="18">
        <v>113</v>
      </c>
      <c r="B25" s="1249" t="s">
        <v>3600</v>
      </c>
      <c r="C25" s="1216"/>
      <c r="D25" s="1216"/>
      <c r="E25" s="1217"/>
      <c r="F25" s="1250">
        <f>IF(OR(F13&gt;800000,A30&gt;800000),T("LIMIT"),+F16+F17-F18-F19+F20+F21-F22-F23+F24)</f>
        <v>0</v>
      </c>
      <c r="G25" s="1251"/>
      <c r="H25" s="1252"/>
      <c r="I25" s="1228"/>
      <c r="J25" s="1229"/>
      <c r="K25" s="1230"/>
      <c r="L25" s="724" t="str">
        <f>+IF(EXACT(F25,"LIMIT"),"Vaše hodnoty překračují limity této bezplatné šablony - viz list UVOD"," ")</f>
        <v xml:space="preserve"> </v>
      </c>
      <c r="M25" s="8"/>
      <c r="N25" s="8"/>
      <c r="O25" s="8"/>
      <c r="P25" s="8"/>
      <c r="Q25" s="8"/>
      <c r="R25" s="8"/>
      <c r="S25" s="8"/>
      <c r="T25" s="8"/>
      <c r="U25" s="8"/>
      <c r="V25" s="8"/>
      <c r="W25" s="8"/>
      <c r="X25" s="8"/>
      <c r="Y25" s="8"/>
      <c r="Z25" s="8"/>
      <c r="AA25" s="8"/>
      <c r="AB25" s="8"/>
      <c r="AC25" s="8"/>
      <c r="AD25" s="8"/>
      <c r="AE25" s="8"/>
      <c r="AF25" s="8"/>
      <c r="AG25" s="8"/>
      <c r="AH25" s="8"/>
      <c r="AI25" s="8"/>
      <c r="AJ25" s="8"/>
      <c r="AK25" s="8"/>
      <c r="AL25" s="8"/>
      <c r="AM25" s="8"/>
      <c r="AN25" s="8"/>
      <c r="AO25" s="8"/>
      <c r="AP25" s="8"/>
      <c r="AQ25" s="8"/>
      <c r="AR25" s="8"/>
      <c r="AS25" s="8"/>
      <c r="AT25" s="8"/>
      <c r="AU25" s="8"/>
      <c r="AV25" s="8"/>
      <c r="AW25" s="8"/>
      <c r="AX25" s="8"/>
    </row>
    <row r="26" spans="1:50" s="3" customFormat="1" ht="24" customHeight="1" thickBot="1">
      <c r="A26" s="19">
        <v>114</v>
      </c>
      <c r="B26" s="1264" t="s">
        <v>107</v>
      </c>
      <c r="C26" s="1265"/>
      <c r="D26" s="1265"/>
      <c r="E26" s="1266"/>
      <c r="F26" s="985">
        <f>+F25</f>
        <v>0</v>
      </c>
      <c r="G26" s="1267"/>
      <c r="H26" s="1268"/>
      <c r="I26" s="1256"/>
      <c r="J26" s="1257"/>
      <c r="K26" s="1258"/>
      <c r="L26" s="724" t="str">
        <f>+IF(EXACT(F25,"LIMIT"),"Neomezenou verzi této šablony zakoupíte zde:"," ")</f>
        <v xml:space="preserve"> </v>
      </c>
      <c r="M26" s="8"/>
      <c r="N26" s="8"/>
      <c r="O26" s="8"/>
      <c r="P26" s="8"/>
      <c r="Q26" s="8"/>
      <c r="R26" s="8"/>
      <c r="S26" s="8"/>
      <c r="T26" s="8"/>
      <c r="U26" s="8"/>
      <c r="V26" s="8"/>
      <c r="W26" s="8"/>
      <c r="X26" s="8"/>
      <c r="Y26" s="8"/>
      <c r="Z26" s="8"/>
      <c r="AA26" s="8"/>
      <c r="AB26" s="8"/>
      <c r="AC26" s="8"/>
      <c r="AD26" s="8"/>
      <c r="AE26" s="8"/>
      <c r="AF26" s="8"/>
      <c r="AG26" s="8"/>
      <c r="AH26" s="8"/>
      <c r="AI26" s="8"/>
      <c r="AJ26" s="8"/>
      <c r="AK26" s="8"/>
      <c r="AL26" s="8"/>
      <c r="AM26" s="8"/>
      <c r="AN26" s="8"/>
      <c r="AO26" s="8"/>
      <c r="AP26" s="8"/>
      <c r="AQ26" s="8"/>
      <c r="AR26" s="8"/>
      <c r="AS26" s="8"/>
      <c r="AT26" s="8"/>
      <c r="AU26" s="8"/>
      <c r="AV26" s="8"/>
      <c r="AW26" s="8"/>
      <c r="AX26" s="8"/>
    </row>
    <row r="27" spans="1:50" s="3" customFormat="1" ht="18" customHeight="1">
      <c r="A27" s="1242" t="s">
        <v>324</v>
      </c>
      <c r="B27" s="1243"/>
      <c r="C27" s="1243"/>
      <c r="D27" s="1243"/>
      <c r="E27" s="1243"/>
      <c r="F27" s="1243"/>
      <c r="G27" s="1243"/>
      <c r="H27" s="1243"/>
      <c r="I27" s="1243"/>
      <c r="J27" s="1243"/>
      <c r="K27" s="1243"/>
      <c r="L27" s="725" t="str">
        <f>+IF(EXACT(F25,"LIMIT"),"http://business.center.cz/business/sablony/s3-priznani-k-dani-z-prijmu-fyzickych-osob.aspx"," ")</f>
        <v xml:space="preserve"> </v>
      </c>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row>
    <row r="28" spans="1:50" s="3" customFormat="1" ht="12.75" customHeight="1">
      <c r="A28" s="1244" t="s">
        <v>370</v>
      </c>
      <c r="B28" s="1245"/>
      <c r="C28" s="1245"/>
      <c r="D28" s="1245"/>
      <c r="E28" s="1245"/>
      <c r="F28" s="1245"/>
      <c r="G28" s="1245"/>
      <c r="H28" s="1245"/>
      <c r="I28" s="1245"/>
      <c r="J28" s="1245"/>
      <c r="K28" s="1245"/>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row>
    <row r="29" spans="1:50" s="3" customFormat="1" ht="12" customHeight="1" thickBot="1">
      <c r="A29" s="1246" t="s">
        <v>303</v>
      </c>
      <c r="B29" s="1156"/>
      <c r="C29" s="1247"/>
      <c r="D29" s="1247"/>
      <c r="E29" s="1246" t="s">
        <v>190</v>
      </c>
      <c r="F29" s="1248"/>
      <c r="G29" s="1247"/>
      <c r="H29" s="1247"/>
      <c r="I29" s="1262" t="s">
        <v>108</v>
      </c>
      <c r="J29" s="1262"/>
      <c r="K29" s="1263"/>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8"/>
      <c r="AM29" s="8"/>
      <c r="AN29" s="8"/>
      <c r="AO29" s="8"/>
      <c r="AP29" s="8"/>
      <c r="AQ29" s="8"/>
      <c r="AR29" s="8"/>
      <c r="AS29" s="8"/>
      <c r="AT29" s="8"/>
      <c r="AU29" s="8"/>
      <c r="AV29" s="8"/>
      <c r="AW29" s="8"/>
      <c r="AX29" s="8"/>
    </row>
    <row r="30" spans="1:50" s="3" customFormat="1" ht="18" customHeight="1" thickBot="1">
      <c r="A30" s="1239">
        <v>0</v>
      </c>
      <c r="B30" s="1240"/>
      <c r="C30" s="1241"/>
      <c r="D30" s="155"/>
      <c r="E30" s="1239">
        <f>+CEILING(ZAV!C43,1)</f>
        <v>0</v>
      </c>
      <c r="F30" s="1271"/>
      <c r="G30" s="1241"/>
      <c r="H30" s="155"/>
      <c r="I30" s="1239">
        <v>0</v>
      </c>
      <c r="J30" s="1269"/>
      <c r="K30" s="1270"/>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8"/>
      <c r="AM30" s="8"/>
      <c r="AN30" s="8"/>
      <c r="AO30" s="8"/>
      <c r="AP30" s="8"/>
      <c r="AQ30" s="8"/>
      <c r="AR30" s="8"/>
      <c r="AS30" s="8"/>
      <c r="AT30" s="8"/>
      <c r="AU30" s="8"/>
      <c r="AV30" s="8"/>
      <c r="AW30" s="8"/>
      <c r="AX30" s="8"/>
    </row>
    <row r="31" spans="1:50" s="3" customFormat="1" ht="12" customHeight="1">
      <c r="A31" s="1244" t="s">
        <v>338</v>
      </c>
      <c r="B31" s="1284"/>
      <c r="C31" s="1284"/>
      <c r="D31" s="1284"/>
      <c r="E31" s="1285" t="s">
        <v>339</v>
      </c>
      <c r="F31" s="1244"/>
      <c r="G31" s="894"/>
      <c r="H31" s="894"/>
      <c r="I31" s="894"/>
      <c r="J31" s="894"/>
      <c r="K31" s="894"/>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row>
    <row r="32" spans="1:50" s="3" customFormat="1" ht="12" customHeight="1" thickBot="1">
      <c r="A32" s="1262" t="s">
        <v>3601</v>
      </c>
      <c r="B32" s="1263"/>
      <c r="C32" s="1263"/>
      <c r="D32" s="1263"/>
      <c r="E32" s="1286"/>
      <c r="F32" s="1290" t="s">
        <v>183</v>
      </c>
      <c r="G32" s="1290"/>
      <c r="H32" s="1290" t="s">
        <v>184</v>
      </c>
      <c r="I32" s="1290"/>
      <c r="J32" s="1290" t="s">
        <v>216</v>
      </c>
      <c r="K32" s="1290"/>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row>
    <row r="33" spans="1:50" s="3" customFormat="1" ht="36" customHeight="1" thickBot="1">
      <c r="A33" s="1287" t="str">
        <f>CONCATENATE(+ZAKL_DATA!B29)</f>
        <v/>
      </c>
      <c r="B33" s="1288"/>
      <c r="C33" s="1288"/>
      <c r="D33" s="1289"/>
      <c r="E33" s="577">
        <v>0.60</v>
      </c>
      <c r="F33" s="1276">
        <f>+IF(E33=0,0,F13)</f>
        <v>0</v>
      </c>
      <c r="G33" s="1277"/>
      <c r="H33" s="1276">
        <f>+IF(E33=0,0,+F14+F15)</f>
        <v>0</v>
      </c>
      <c r="I33" s="1277"/>
      <c r="J33" s="1280"/>
      <c r="K33" s="1281"/>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row>
    <row r="34" spans="1:50" s="3" customFormat="1" ht="12" customHeight="1" thickBot="1">
      <c r="A34" s="1272" t="s">
        <v>340</v>
      </c>
      <c r="B34" s="1273"/>
      <c r="C34" s="1273"/>
      <c r="D34" s="1273"/>
      <c r="E34" s="1273"/>
      <c r="F34" s="1273"/>
      <c r="G34" s="1273"/>
      <c r="H34" s="1273"/>
      <c r="I34" s="1273"/>
      <c r="J34" s="1273"/>
      <c r="K34" s="1273"/>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row>
    <row r="35" spans="1:50" s="3" customFormat="1" ht="18" customHeight="1">
      <c r="A35" s="1282"/>
      <c r="B35" s="1283"/>
      <c r="C35" s="1283"/>
      <c r="D35" s="1283"/>
      <c r="E35" s="576">
        <v>0</v>
      </c>
      <c r="F35" s="1278">
        <v>0</v>
      </c>
      <c r="G35" s="1279"/>
      <c r="H35" s="1278">
        <v>0</v>
      </c>
      <c r="I35" s="1279"/>
      <c r="J35" s="1274"/>
      <c r="K35" s="1275"/>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row>
    <row r="36" spans="1:50" s="3" customFormat="1" ht="18" customHeight="1">
      <c r="A36" s="1291"/>
      <c r="B36" s="1292"/>
      <c r="C36" s="1292"/>
      <c r="D36" s="1292"/>
      <c r="E36" s="574">
        <v>0</v>
      </c>
      <c r="F36" s="1301">
        <v>0</v>
      </c>
      <c r="G36" s="1302"/>
      <c r="H36" s="1301">
        <v>0</v>
      </c>
      <c r="I36" s="1302"/>
      <c r="J36" s="1295"/>
      <c r="K36" s="1296"/>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row>
    <row r="37" spans="1:50" s="3" customFormat="1" ht="18" customHeight="1">
      <c r="A37" s="1291"/>
      <c r="B37" s="1292"/>
      <c r="C37" s="1292"/>
      <c r="D37" s="1292"/>
      <c r="E37" s="574">
        <v>0</v>
      </c>
      <c r="F37" s="1301">
        <v>0</v>
      </c>
      <c r="G37" s="1302"/>
      <c r="H37" s="1301">
        <v>0</v>
      </c>
      <c r="I37" s="1302"/>
      <c r="J37" s="1295"/>
      <c r="K37" s="1296"/>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row>
    <row r="38" spans="1:50" s="3" customFormat="1" ht="18" customHeight="1" thickBot="1">
      <c r="A38" s="1293" t="s">
        <v>72</v>
      </c>
      <c r="B38" s="1294"/>
      <c r="C38" s="1294"/>
      <c r="D38" s="1294"/>
      <c r="E38" s="575"/>
      <c r="F38" s="1299">
        <f>SUM(F35:F37)+F33</f>
        <v>0</v>
      </c>
      <c r="G38" s="1300"/>
      <c r="H38" s="1299">
        <f>SUM(H35:H37)+H33</f>
        <v>0</v>
      </c>
      <c r="I38" s="1300"/>
      <c r="J38" s="1297"/>
      <c r="K38" s="129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row>
    <row r="39" spans="1:50" s="3" customFormat="1" ht="13.5" customHeight="1">
      <c r="A39" s="1260" t="str">
        <f>+'DAP1'!A46</f>
        <v>Formulář zpracovala ASPEKT HM, daňová, účetní a auditorská kancelář, www.danovapriznani.cz, business.center.cz</v>
      </c>
      <c r="B39" s="1260"/>
      <c r="C39" s="1260"/>
      <c r="D39" s="1260"/>
      <c r="E39" s="1260"/>
      <c r="F39" s="1260"/>
      <c r="G39" s="1260"/>
      <c r="H39" s="1260"/>
      <c r="I39" s="1260"/>
      <c r="J39" s="1260"/>
      <c r="K39" s="1260"/>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row>
    <row r="40" spans="1:50" s="3" customFormat="1" ht="9" customHeight="1">
      <c r="A40" s="1261" t="s">
        <v>3897</v>
      </c>
      <c r="B40" s="1261"/>
      <c r="C40" s="1261"/>
      <c r="D40" s="1261"/>
      <c r="E40" s="1261"/>
      <c r="F40" s="1261"/>
      <c r="G40" s="1261"/>
      <c r="H40" s="1261"/>
      <c r="I40" s="1261"/>
      <c r="J40" s="1261"/>
      <c r="K40" s="1261"/>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row>
    <row r="41" spans="1:11" ht="13.5" customHeight="1">
      <c r="A41" s="1259" t="s">
        <v>365</v>
      </c>
      <c r="B41" s="1259"/>
      <c r="C41" s="1259"/>
      <c r="D41" s="1259"/>
      <c r="E41" s="1259"/>
      <c r="F41" s="1259"/>
      <c r="G41" s="1259"/>
      <c r="H41" s="1259"/>
      <c r="I41" s="1259"/>
      <c r="J41" s="1259"/>
      <c r="K41" s="1259"/>
    </row>
    <row r="42" s="4" customFormat="1" ht="12.75"/>
    <row r="43" s="4" customFormat="1" ht="12.75"/>
    <row r="44" s="4" customFormat="1" ht="12.75"/>
    <row r="45" s="4" customFormat="1" ht="12.75"/>
    <row r="46" s="4" customFormat="1" ht="12.75"/>
    <row r="47" s="4" customFormat="1" ht="12.75"/>
    <row r="48" s="4" customFormat="1" ht="12.75"/>
    <row r="49" s="4" customFormat="1" ht="12.75"/>
    <row r="50" s="4" customFormat="1" ht="12.75"/>
    <row r="51" s="4" customFormat="1" ht="12.75"/>
    <row r="52" s="4" customFormat="1" ht="12.75"/>
    <row r="53" s="4" customFormat="1" ht="12.75"/>
    <row r="54" s="4" customFormat="1" ht="12.75"/>
    <row r="55" s="4" customFormat="1" ht="12.75"/>
    <row r="56" s="4" customFormat="1" ht="12.75"/>
    <row r="57" s="4" customFormat="1" ht="12.75"/>
    <row r="58" s="4" customFormat="1" ht="12.75"/>
    <row r="59" s="4" customFormat="1" ht="12.75"/>
    <row r="60" s="4" customFormat="1" ht="12.75"/>
    <row r="61" s="4" customFormat="1" ht="12.75"/>
    <row r="62" s="4" customFormat="1" ht="12.75"/>
    <row r="63" s="4" customFormat="1" ht="12.75"/>
    <row r="64" s="4" customFormat="1" ht="12.75"/>
    <row r="65" s="4" customFormat="1" ht="12.75"/>
    <row r="66" s="4" customFormat="1" ht="12.75"/>
    <row r="67" s="4" customFormat="1" ht="12.75"/>
    <row r="68" s="4" customFormat="1" ht="12.75"/>
    <row r="69" s="4" customFormat="1" ht="12.75"/>
    <row r="70" s="4" customFormat="1" ht="12.75"/>
    <row r="71" s="4" customFormat="1" ht="12.75"/>
    <row r="72" s="4" customFormat="1" ht="12.75"/>
    <row r="73" s="4" customFormat="1" ht="12.75"/>
    <row r="74" s="4" customFormat="1" ht="12.75"/>
    <row r="75" s="4" customFormat="1" ht="12.75"/>
    <row r="76" s="4" customFormat="1" ht="12.75"/>
    <row r="77" s="4" customFormat="1" ht="12.75"/>
    <row r="78" s="4" customFormat="1" ht="12.75"/>
    <row r="79" s="4" customFormat="1" ht="12.75"/>
    <row r="80" s="4" customFormat="1" ht="12.75"/>
    <row r="81" s="4" customFormat="1" ht="12.75"/>
    <row r="82" s="4" customFormat="1" ht="12.75"/>
    <row r="83" s="4" customFormat="1" ht="12.75"/>
    <row r="84" s="4" customFormat="1" ht="12.75"/>
    <row r="85" s="4" customFormat="1" ht="12.75"/>
    <row r="86" s="4" customFormat="1" ht="12.75"/>
    <row r="87" s="4" customFormat="1" ht="12.75"/>
    <row r="88" s="4" customFormat="1" ht="12.75"/>
    <row r="89" s="4" customFormat="1" ht="12.75"/>
    <row r="90" s="4" customFormat="1" ht="12.75"/>
    <row r="91" s="4" customFormat="1" ht="12.75"/>
    <row r="92" s="4" customFormat="1" ht="12.75"/>
    <row r="93" s="4" customFormat="1" ht="12.75"/>
    <row r="94" s="4" customFormat="1" ht="12.75"/>
    <row r="95" s="4" customFormat="1" ht="12.75"/>
    <row r="96" s="4" customFormat="1" ht="12.75"/>
    <row r="97" s="4" customFormat="1" ht="12.75"/>
    <row r="98" s="4" customFormat="1" ht="12.75"/>
    <row r="99" s="4" customFormat="1" ht="12.75"/>
    <row r="100" s="4" customFormat="1" ht="12.75"/>
    <row r="101" s="4" customFormat="1" ht="12.75"/>
    <row r="102" s="4" customFormat="1" ht="12.75"/>
    <row r="103" s="4" customFormat="1" ht="12.75"/>
    <row r="104" s="4" customFormat="1" ht="12.75"/>
    <row r="105" s="4" customFormat="1" ht="12.75"/>
    <row r="106" s="4" customFormat="1" ht="12.75"/>
    <row r="107" s="4" customFormat="1" ht="12.75"/>
    <row r="108" s="4" customFormat="1" ht="12.75"/>
    <row r="109" s="4" customFormat="1" ht="12.75"/>
    <row r="110" s="4" customFormat="1" ht="12.75"/>
    <row r="111" s="4" customFormat="1" ht="12.75"/>
    <row r="112" s="4" customFormat="1" ht="12.75"/>
    <row r="113" s="4" customFormat="1" ht="12.75"/>
    <row r="114" s="4" customFormat="1" ht="12.75"/>
    <row r="115" s="4" customFormat="1" ht="12.75"/>
    <row r="116" s="4" customFormat="1" ht="12.75"/>
    <row r="117" s="4" customFormat="1" ht="12.75"/>
    <row r="118" s="4" customFormat="1" ht="12.75"/>
    <row r="119" s="4" customFormat="1" ht="12.75"/>
    <row r="120" s="4" customFormat="1" ht="12.75"/>
    <row r="121" s="4" customFormat="1" ht="12.75"/>
    <row r="122" s="4" customFormat="1" ht="12.75"/>
    <row r="123" s="4" customFormat="1" ht="12.75"/>
    <row r="124" s="4" customFormat="1" ht="12.75"/>
    <row r="125" s="4" customFormat="1" ht="12.75"/>
    <row r="126" s="4" customFormat="1" ht="12.75"/>
    <row r="127" s="4" customFormat="1" ht="12.75"/>
    <row r="128" s="4" customFormat="1" ht="12.75"/>
    <row r="129" s="4" customFormat="1" ht="12.75"/>
    <row r="130" s="4" customFormat="1" ht="12.75"/>
    <row r="131" s="4" customFormat="1" ht="12.75"/>
    <row r="132" s="4" customFormat="1" ht="12.75"/>
    <row r="133" s="4" customFormat="1" ht="12.75"/>
    <row r="134" s="4" customFormat="1" ht="12.75"/>
    <row r="135" s="4" customFormat="1" ht="12.75"/>
    <row r="136" s="4" customFormat="1" ht="12.75"/>
    <row r="137" s="4" customFormat="1" ht="12.75"/>
    <row r="138" s="4" customFormat="1" ht="12.75"/>
    <row r="139" s="4" customFormat="1" ht="12.75"/>
    <row r="140" s="4" customFormat="1" ht="12.75"/>
    <row r="141" s="4" customFormat="1" ht="12.75"/>
    <row r="142" s="4" customFormat="1" ht="12.75"/>
    <row r="143" s="4" customFormat="1" ht="12.75"/>
    <row r="144" s="4" customFormat="1" ht="12.75"/>
    <row r="145" s="4" customFormat="1" ht="12.75"/>
    <row r="146" s="4" customFormat="1" ht="12.75"/>
    <row r="147" s="4" customFormat="1" ht="12.75"/>
    <row r="148" s="4" customFormat="1" ht="12.75"/>
    <row r="149" s="4" customFormat="1" ht="12.75"/>
    <row r="150" s="4" customFormat="1" ht="12.75"/>
    <row r="151" s="4" customFormat="1" ht="12.75"/>
    <row r="152" s="4" customFormat="1" ht="12.75"/>
    <row r="153" s="4" customFormat="1" ht="12.75"/>
    <row r="154" s="4" customFormat="1" ht="12.75"/>
    <row r="155" s="4" customFormat="1" ht="12.75"/>
    <row r="156" s="4" customFormat="1" ht="12.75"/>
    <row r="157" s="4" customFormat="1" ht="12.75"/>
    <row r="158" s="4" customFormat="1" ht="12.75"/>
    <row r="159" s="4" customFormat="1" ht="12.75"/>
    <row r="160" s="4" customFormat="1" ht="12.75"/>
    <row r="161" s="4" customFormat="1" ht="12.75"/>
    <row r="162" s="4" customFormat="1" ht="12.75"/>
    <row r="163" s="4" customFormat="1" ht="12.75"/>
    <row r="164" s="4" customFormat="1" ht="12.75"/>
    <row r="165" s="4" customFormat="1" ht="12.75"/>
    <row r="166" s="4" customFormat="1" ht="12.75"/>
    <row r="167" s="4" customFormat="1" ht="12.75"/>
    <row r="168" s="4" customFormat="1" ht="12.75"/>
    <row r="169" s="4" customFormat="1" ht="12.75"/>
    <row r="170" s="4" customFormat="1" ht="12.75"/>
    <row r="171" s="4" customFormat="1" ht="12.75"/>
    <row r="172" s="4" customFormat="1" ht="12.75"/>
    <row r="173" s="4" customFormat="1" ht="12.75"/>
    <row r="174" s="4" customFormat="1" ht="12.75"/>
    <row r="175" s="4" customFormat="1" ht="12.75"/>
    <row r="176" s="4" customFormat="1" ht="12.75"/>
    <row r="177" s="4" customFormat="1" ht="12.75"/>
    <row r="178" s="4" customFormat="1" ht="12.75"/>
    <row r="179" s="4" customFormat="1" ht="12.75"/>
    <row r="180" s="4" customFormat="1" ht="12.75"/>
    <row r="181" s="4" customFormat="1" ht="12.75"/>
    <row r="182" s="4" customFormat="1" ht="12.75"/>
    <row r="183" s="4" customFormat="1" ht="12.75"/>
    <row r="184" s="4" customFormat="1" ht="12.75"/>
    <row r="185" s="4" customFormat="1" ht="12.75"/>
    <row r="186" s="4" customFormat="1" ht="12.75"/>
    <row r="187" s="4" customFormat="1" ht="12.75"/>
    <row r="188" s="4" customFormat="1" ht="12.75"/>
    <row r="189" s="4" customFormat="1" ht="12.75"/>
    <row r="190" s="4" customFormat="1" ht="12.75"/>
    <row r="191" s="4" customFormat="1" ht="12.75"/>
    <row r="192" s="4" customFormat="1" ht="12.75"/>
    <row r="193" s="4" customFormat="1" ht="12.75"/>
    <row r="194" s="4" customFormat="1" ht="12.75"/>
    <row r="195" s="4" customFormat="1" ht="12.75"/>
    <row r="196" s="4" customFormat="1" ht="12.75"/>
    <row r="197" s="4" customFormat="1" ht="12.75"/>
    <row r="198" s="4" customFormat="1" ht="12.75"/>
    <row r="199" s="4" customFormat="1" ht="12.75"/>
    <row r="200" s="4" customFormat="1" ht="12.75"/>
    <row r="201" s="4" customFormat="1" ht="12.75"/>
    <row r="202" s="4" customFormat="1" ht="12.75"/>
    <row r="203" s="4" customFormat="1" ht="12.75"/>
    <row r="204" s="4" customFormat="1" ht="12.75"/>
    <row r="205" s="4" customFormat="1" ht="12.75"/>
    <row r="206" s="4" customFormat="1" ht="12.75"/>
    <row r="207" s="4" customFormat="1" ht="12.75"/>
    <row r="208" s="4" customFormat="1" ht="12.75"/>
    <row r="209" s="4" customFormat="1" ht="12.75"/>
    <row r="210" s="4" customFormat="1" ht="12.75"/>
    <row r="211" s="4" customFormat="1" ht="12.75"/>
    <row r="212" s="4" customFormat="1" ht="12.75"/>
    <row r="213" s="4" customFormat="1" ht="12.75"/>
    <row r="214" s="4" customFormat="1" ht="12.75"/>
    <row r="215" s="4" customFormat="1" ht="12.75"/>
    <row r="216" s="4" customFormat="1" ht="12.75"/>
    <row r="217" s="4" customFormat="1" ht="12.75"/>
    <row r="218" s="4" customFormat="1" ht="12.75"/>
    <row r="219" s="4" customFormat="1" ht="12.75"/>
    <row r="220" s="4" customFormat="1" ht="12.75"/>
    <row r="221" s="4" customFormat="1" ht="12.75"/>
    <row r="222" s="4" customFormat="1" ht="12.75"/>
    <row r="223" s="4" customFormat="1" ht="12.75"/>
    <row r="224" s="4" customFormat="1" ht="12.75"/>
    <row r="225" s="4" customFormat="1" ht="12.75"/>
    <row r="226" s="4" customFormat="1" ht="12.75"/>
    <row r="227" s="4" customFormat="1" ht="12.75"/>
    <row r="228" s="4" customFormat="1" ht="12.75"/>
    <row r="229" s="4" customFormat="1" ht="12.75"/>
    <row r="230" s="4" customFormat="1" ht="12.75"/>
    <row r="231" s="4" customFormat="1" ht="12.75"/>
    <row r="232" s="4" customFormat="1" ht="12.75"/>
    <row r="233" s="4" customFormat="1" ht="12.75"/>
    <row r="234" s="4" customFormat="1" ht="12.75"/>
    <row r="235" s="4" customFormat="1" ht="12.75"/>
    <row r="236" s="4" customFormat="1" ht="12.75"/>
    <row r="237" s="4" customFormat="1" ht="12.75"/>
    <row r="238" s="4" customFormat="1" ht="12.75"/>
    <row r="239" s="4" customFormat="1" ht="12.75"/>
    <row r="240" s="4" customFormat="1" ht="12.75"/>
    <row r="241" s="4" customFormat="1" ht="12.75"/>
    <row r="242" s="4" customFormat="1" ht="12.75"/>
    <row r="243" s="4" customFormat="1" ht="12.75"/>
    <row r="244" s="4" customFormat="1" ht="12.75"/>
    <row r="245" s="4" customFormat="1" ht="12.75"/>
    <row r="246" s="4" customFormat="1" ht="12.75"/>
    <row r="247" s="4" customFormat="1" ht="12.75"/>
    <row r="248" s="4" customFormat="1" ht="12.75"/>
    <row r="249" s="4" customFormat="1" ht="12.75"/>
    <row r="250" s="4" customFormat="1" ht="12.75"/>
    <row r="251" s="4" customFormat="1" ht="12.75"/>
    <row r="252" s="4" customFormat="1" ht="12.75"/>
    <row r="253" s="4" customFormat="1" ht="12.75"/>
    <row r="254" s="4" customFormat="1" ht="12.75"/>
    <row r="255" s="4" customFormat="1" ht="12.75"/>
    <row r="256" s="4" customFormat="1" ht="12.75"/>
    <row r="257" s="4" customFormat="1" ht="12.75"/>
    <row r="258" s="4" customFormat="1" ht="12.75"/>
    <row r="259" s="4" customFormat="1" ht="12.75"/>
    <row r="260" s="4" customFormat="1" ht="12.75"/>
    <row r="261" s="4" customFormat="1" ht="12.75"/>
    <row r="262" s="4" customFormat="1" ht="12.75"/>
    <row r="263" s="4" customFormat="1" ht="12.75"/>
    <row r="264" s="4" customFormat="1" ht="12.75"/>
    <row r="265" s="4" customFormat="1" ht="12.75"/>
    <row r="266" s="4" customFormat="1" ht="12.75"/>
    <row r="267" s="4" customFormat="1" ht="12.75"/>
    <row r="268" s="4" customFormat="1" ht="12.75"/>
    <row r="269" s="4" customFormat="1" ht="12.75"/>
    <row r="270" s="4" customFormat="1" ht="12.75"/>
    <row r="271" s="4" customFormat="1" ht="12.75"/>
    <row r="272" s="4" customFormat="1" ht="12.75"/>
    <row r="273" s="4" customFormat="1" ht="12.75"/>
    <row r="274" s="4" customFormat="1" ht="12.75"/>
    <row r="275" s="4" customFormat="1" ht="12.75"/>
    <row r="276" s="4" customFormat="1" ht="12.75"/>
    <row r="277" s="4" customFormat="1" ht="12.75"/>
    <row r="278" s="4" customFormat="1" ht="12.75"/>
    <row r="279" s="4" customFormat="1" ht="12.75"/>
    <row r="280" s="4" customFormat="1" ht="12.75"/>
    <row r="281" s="4" customFormat="1" ht="12.75"/>
    <row r="282" s="4" customFormat="1" ht="12.75"/>
    <row r="283" s="4" customFormat="1" ht="12.75"/>
    <row r="284" s="4" customFormat="1" ht="12.75"/>
    <row r="285" s="4" customFormat="1" ht="12.75"/>
    <row r="286" s="4" customFormat="1" ht="12.75"/>
    <row r="287" s="4" customFormat="1" ht="12.75"/>
    <row r="288" s="4" customFormat="1" ht="12.75"/>
    <row r="289" s="4" customFormat="1" ht="12.75"/>
    <row r="290" s="4" customFormat="1" ht="12.75"/>
    <row r="291" s="4" customFormat="1" ht="12.75"/>
    <row r="292" s="4" customFormat="1" ht="12.75"/>
    <row r="293" s="4" customFormat="1" ht="12.75"/>
    <row r="294" s="4" customFormat="1" ht="12.75"/>
    <row r="295" s="4" customFormat="1" ht="12.75"/>
    <row r="296" s="4" customFormat="1" ht="12.75"/>
    <row r="297" s="4" customFormat="1" ht="12.75"/>
    <row r="298" s="4" customFormat="1" ht="12.75"/>
    <row r="299" s="4" customFormat="1" ht="12.75"/>
    <row r="300" s="4" customFormat="1" ht="12.75"/>
    <row r="301" s="4" customFormat="1" ht="12.75"/>
    <row r="302" s="4" customFormat="1" ht="12.75"/>
    <row r="303" s="4" customFormat="1" ht="12.75"/>
    <row r="304" s="4" customFormat="1" ht="12.75"/>
    <row r="305" s="4" customFormat="1" ht="12.75"/>
    <row r="306" s="4" customFormat="1" ht="12.75"/>
    <row r="307" s="4" customFormat="1" ht="12.75"/>
    <row r="308" s="4" customFormat="1" ht="12.75"/>
    <row r="309" s="4" customFormat="1" ht="12.75"/>
    <row r="310" s="4" customFormat="1" ht="12.75"/>
    <row r="311" s="4" customFormat="1" ht="12.75"/>
    <row r="312" s="4" customFormat="1" ht="12.75"/>
    <row r="313" s="4" customFormat="1" ht="12.75"/>
    <row r="314" s="4" customFormat="1" ht="12.75"/>
    <row r="315" s="4" customFormat="1" ht="12.75"/>
    <row r="316" s="4" customFormat="1" ht="12.75"/>
    <row r="317" s="4" customFormat="1" ht="12.75"/>
    <row r="318" s="4" customFormat="1" ht="12.75"/>
    <row r="319" s="4" customFormat="1" ht="12.75"/>
    <row r="320" s="4" customFormat="1" ht="12.75"/>
    <row r="321" s="4" customFormat="1" ht="12.75"/>
    <row r="322" s="4" customFormat="1" ht="12.75"/>
    <row r="323" s="4" customFormat="1" ht="12.75"/>
    <row r="324" s="4" customFormat="1" ht="12.75"/>
    <row r="325" s="4" customFormat="1" ht="12.75"/>
    <row r="326" s="4" customFormat="1" ht="12.75"/>
    <row r="327" s="4" customFormat="1" ht="12.75"/>
    <row r="328" s="4" customFormat="1" ht="12.75"/>
    <row r="329" s="4" customFormat="1" ht="12.75"/>
    <row r="330" s="4" customFormat="1" ht="12.75"/>
    <row r="331" s="4" customFormat="1" ht="12.75"/>
    <row r="332" s="4" customFormat="1" ht="12.75"/>
    <row r="333" s="4" customFormat="1" ht="12.75"/>
    <row r="334" s="4" customFormat="1" ht="12.75"/>
    <row r="335" s="4" customFormat="1" ht="12.75"/>
    <row r="336" s="4" customFormat="1" ht="12.75"/>
    <row r="337" s="4" customFormat="1" ht="12.75"/>
    <row r="338" s="4" customFormat="1" ht="12.75"/>
    <row r="339" s="4" customFormat="1" ht="12.75"/>
    <row r="340" s="4" customFormat="1" ht="12.75"/>
    <row r="341" s="4" customFormat="1" ht="12.75"/>
    <row r="342" s="4" customFormat="1" ht="12.75"/>
    <row r="343" s="4" customFormat="1" ht="12.75"/>
    <row r="344" s="4" customFormat="1" ht="12.75"/>
    <row r="345" s="4" customFormat="1" ht="12.75"/>
    <row r="346" s="4" customFormat="1" ht="12.75"/>
    <row r="347" s="4" customFormat="1" ht="12.75"/>
    <row r="348" s="4" customFormat="1" ht="12.75"/>
    <row r="349" s="4" customFormat="1" ht="12.75"/>
    <row r="350" s="4" customFormat="1" ht="12.75"/>
    <row r="351" s="4" customFormat="1" ht="12.75"/>
    <row r="352" s="4" customFormat="1" ht="12.75"/>
    <row r="353" s="4" customFormat="1" ht="12.75"/>
    <row r="354" s="4" customFormat="1" ht="12.75"/>
    <row r="355" s="4" customFormat="1" ht="12.75"/>
    <row r="356" s="4" customFormat="1" ht="12.75"/>
    <row r="357" s="4" customFormat="1" ht="12.75"/>
    <row r="358" s="4" customFormat="1" ht="12.75"/>
    <row r="359" s="4" customFormat="1" ht="12.75"/>
    <row r="360" s="4" customFormat="1" ht="12.75"/>
    <row r="361" s="4" customFormat="1" ht="12.75"/>
    <row r="362" s="4" customFormat="1" ht="12.75"/>
    <row r="363" s="4" customFormat="1" ht="12.75"/>
    <row r="364" s="4" customFormat="1" ht="12.75"/>
    <row r="365" s="4" customFormat="1" ht="12.75"/>
    <row r="366" s="4" customFormat="1" ht="12.75"/>
    <row r="367" s="4" customFormat="1" ht="12.75"/>
    <row r="368" s="4" customFormat="1" ht="12.75"/>
    <row r="369" s="4" customFormat="1" ht="12.75"/>
    <row r="370" s="4" customFormat="1" ht="12.75"/>
    <row r="371" s="4" customFormat="1" ht="12.75"/>
    <row r="372" s="4" customFormat="1" ht="12.75"/>
    <row r="373" s="4" customFormat="1" ht="12.75"/>
    <row r="374" s="4" customFormat="1" ht="12.75"/>
    <row r="375" s="4" customFormat="1" ht="12.75"/>
    <row r="376" s="4" customFormat="1" ht="12.75"/>
    <row r="377" s="4" customFormat="1" ht="12.75"/>
    <row r="378" s="4" customFormat="1" ht="12.75"/>
    <row r="379" s="4" customFormat="1" ht="12.75"/>
    <row r="380" s="4" customFormat="1" ht="12.75"/>
    <row r="381" s="4" customFormat="1" ht="12.75"/>
    <row r="382" s="4" customFormat="1" ht="12.75"/>
    <row r="383" s="4" customFormat="1" ht="12.75"/>
    <row r="384" s="4" customFormat="1" ht="12.75"/>
    <row r="385" s="4" customFormat="1" ht="12.75"/>
    <row r="386" s="4" customFormat="1" ht="12.75"/>
    <row r="387" s="4" customFormat="1" ht="12.75"/>
    <row r="388" s="4" customFormat="1" ht="12.75"/>
    <row r="389" s="4" customFormat="1" ht="12.75"/>
    <row r="390" s="4" customFormat="1" ht="12.75"/>
    <row r="391" s="4" customFormat="1" ht="12.75"/>
    <row r="392" s="4" customFormat="1" ht="12.75"/>
    <row r="393" s="4" customFormat="1" ht="12.75"/>
    <row r="394" s="4" customFormat="1" ht="12.75"/>
  </sheetData>
  <sheetProtection password="EF65" sheet="1" objects="1" scenarios="1"/>
  <mergeCells count="99">
    <mergeCell ref="J32:K32"/>
    <mergeCell ref="A36:D36"/>
    <mergeCell ref="A37:D37"/>
    <mergeCell ref="A38:D38"/>
    <mergeCell ref="J37:K37"/>
    <mergeCell ref="J38:K38"/>
    <mergeCell ref="F38:G38"/>
    <mergeCell ref="H38:I38"/>
    <mergeCell ref="F37:G37"/>
    <mergeCell ref="H37:I37"/>
    <mergeCell ref="F36:G36"/>
    <mergeCell ref="H36:I36"/>
    <mergeCell ref="J36:K36"/>
    <mergeCell ref="B18:E18"/>
    <mergeCell ref="A34:K34"/>
    <mergeCell ref="J35:K35"/>
    <mergeCell ref="H33:I33"/>
    <mergeCell ref="F33:G33"/>
    <mergeCell ref="F35:G35"/>
    <mergeCell ref="H35:I35"/>
    <mergeCell ref="J33:K33"/>
    <mergeCell ref="A35:D35"/>
    <mergeCell ref="A31:D31"/>
    <mergeCell ref="E31:E32"/>
    <mergeCell ref="F31:K31"/>
    <mergeCell ref="A32:D32"/>
    <mergeCell ref="A33:D33"/>
    <mergeCell ref="F32:G32"/>
    <mergeCell ref="H32:I32"/>
    <mergeCell ref="I30:K30"/>
    <mergeCell ref="I20:K20"/>
    <mergeCell ref="I21:K21"/>
    <mergeCell ref="F24:H24"/>
    <mergeCell ref="F22:H22"/>
    <mergeCell ref="E30:G30"/>
    <mergeCell ref="A41:K41"/>
    <mergeCell ref="A39:K39"/>
    <mergeCell ref="A40:K40"/>
    <mergeCell ref="F18:H18"/>
    <mergeCell ref="I23:K23"/>
    <mergeCell ref="I24:K24"/>
    <mergeCell ref="I25:K25"/>
    <mergeCell ref="I19:K19"/>
    <mergeCell ref="B21:E21"/>
    <mergeCell ref="B22:E22"/>
    <mergeCell ref="I29:K29"/>
    <mergeCell ref="B23:E23"/>
    <mergeCell ref="B24:E24"/>
    <mergeCell ref="B25:E25"/>
    <mergeCell ref="B26:E26"/>
    <mergeCell ref="F26:H26"/>
    <mergeCell ref="F15:H15"/>
    <mergeCell ref="A30:C30"/>
    <mergeCell ref="A27:K27"/>
    <mergeCell ref="A28:K28"/>
    <mergeCell ref="F20:H20"/>
    <mergeCell ref="F21:H21"/>
    <mergeCell ref="A29:D29"/>
    <mergeCell ref="E29:H29"/>
    <mergeCell ref="B20:E20"/>
    <mergeCell ref="I17:K17"/>
    <mergeCell ref="I22:K22"/>
    <mergeCell ref="F23:H23"/>
    <mergeCell ref="F25:H25"/>
    <mergeCell ref="F17:H17"/>
    <mergeCell ref="F19:H19"/>
    <mergeCell ref="I26:K26"/>
    <mergeCell ref="A7:K7"/>
    <mergeCell ref="A6:K6"/>
    <mergeCell ref="H2:K2"/>
    <mergeCell ref="I18:K18"/>
    <mergeCell ref="A11:K11"/>
    <mergeCell ref="F13:H13"/>
    <mergeCell ref="I15:K15"/>
    <mergeCell ref="I12:K12"/>
    <mergeCell ref="I13:K13"/>
    <mergeCell ref="I14:K14"/>
    <mergeCell ref="F16:H16"/>
    <mergeCell ref="I8:J8"/>
    <mergeCell ref="I16:K16"/>
    <mergeCell ref="B15:E15"/>
    <mergeCell ref="B16:E16"/>
    <mergeCell ref="B17:E17"/>
    <mergeCell ref="A9:K9"/>
    <mergeCell ref="A10:J10"/>
    <mergeCell ref="B19:E19"/>
    <mergeCell ref="I1:K1"/>
    <mergeCell ref="A8:B8"/>
    <mergeCell ref="B13:E13"/>
    <mergeCell ref="B14:E14"/>
    <mergeCell ref="A3:K3"/>
    <mergeCell ref="F14:H14"/>
    <mergeCell ref="E8:F8"/>
    <mergeCell ref="A12:E12"/>
    <mergeCell ref="F12:H12"/>
    <mergeCell ref="A2:G2"/>
    <mergeCell ref="A1:G1"/>
    <mergeCell ref="A4:K4"/>
    <mergeCell ref="A5:K5"/>
  </mergeCells>
  <dataValidations count="1">
    <dataValidation type="list" allowBlank="1" showInputMessage="1" sqref="A35:A37">
      <formula1>vl_cinnosti2</formula1>
    </dataValidation>
  </dataValidations>
  <hyperlinks>
    <hyperlink ref="L27"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B00-000000000000}">
  <sheetPr codeName="List7">
    <tabColor rgb="FFFFCCFF"/>
    <pageSetUpPr fitToPage="1"/>
  </sheetPr>
  <dimension ref="A1:AZ80"/>
  <sheetViews>
    <sheetView workbookViewId="0" topLeftCell="A1">
      <selection pane="topLeft" activeCell="A3" sqref="A3:B3"/>
    </sheetView>
  </sheetViews>
  <sheetFormatPr defaultRowHeight="12.75"/>
  <cols>
    <col min="1" max="1" width="3.28571428571429" customWidth="1"/>
    <col min="2" max="2" width="17.7142857142857" customWidth="1"/>
    <col min="3" max="3" width="8.85714285714286" customWidth="1"/>
    <col min="4" max="4" width="14.7142857142857" customWidth="1"/>
    <col min="5" max="7" width="17.7142857142857" customWidth="1"/>
    <col min="8" max="52" width="9.14285714285714" style="84"/>
  </cols>
  <sheetData>
    <row r="1" spans="1:7" ht="18" customHeight="1">
      <c r="A1" s="1244" t="s">
        <v>3602</v>
      </c>
      <c r="B1" s="1341"/>
      <c r="C1" s="1341"/>
      <c r="D1" s="1341"/>
      <c r="E1" s="1341"/>
      <c r="F1" s="1341"/>
      <c r="G1" s="1341"/>
    </row>
    <row r="2" spans="1:7 51:52" ht="15.95" customHeight="1" thickBot="1">
      <c r="A2" s="1342" t="s">
        <v>45</v>
      </c>
      <c r="B2" s="871"/>
      <c r="C2" s="150" t="s">
        <v>361</v>
      </c>
      <c r="D2" s="150"/>
      <c r="E2" s="150" t="s">
        <v>362</v>
      </c>
      <c r="F2" s="149" t="s">
        <v>363</v>
      </c>
      <c r="G2" s="149" t="s">
        <v>74</v>
      </c>
      <c r="AY2"/>
      <c r="AZ2"/>
    </row>
    <row r="3" spans="1:7 51:52" ht="15.95" customHeight="1" thickBot="1">
      <c r="A3" s="1358"/>
      <c r="B3" s="1359"/>
      <c r="C3" s="1356"/>
      <c r="D3" s="1357"/>
      <c r="E3" s="148"/>
      <c r="F3" s="153"/>
      <c r="G3" s="154">
        <v>12</v>
      </c>
      <c r="AY3"/>
      <c r="AZ3"/>
    </row>
    <row r="4" spans="1:7" ht="18" customHeight="1">
      <c r="A4" s="1345" t="s">
        <v>3757</v>
      </c>
      <c r="B4" s="1346"/>
      <c r="C4" s="1346"/>
      <c r="D4" s="1346"/>
      <c r="E4" s="1346"/>
      <c r="F4" s="1346"/>
      <c r="G4" s="1346"/>
    </row>
    <row r="5" spans="1:7" ht="15.95" customHeight="1" thickBot="1">
      <c r="A5" s="1354" t="s">
        <v>3758</v>
      </c>
      <c r="B5" s="1355"/>
      <c r="C5" s="1355"/>
      <c r="D5" s="1355"/>
      <c r="E5" s="1355"/>
      <c r="F5" s="1355"/>
      <c r="G5" s="1355"/>
    </row>
    <row r="6" spans="1:7" ht="22.5">
      <c r="A6" s="1352"/>
      <c r="B6" s="909"/>
      <c r="C6" s="909"/>
      <c r="D6" s="909"/>
      <c r="E6" s="1353"/>
      <c r="F6" s="89" t="s">
        <v>372</v>
      </c>
      <c r="G6" s="90" t="s">
        <v>371</v>
      </c>
    </row>
    <row r="7" spans="1:7" ht="15.95" customHeight="1">
      <c r="A7" s="50" t="s">
        <v>173</v>
      </c>
      <c r="B7" s="1350" t="s">
        <v>137</v>
      </c>
      <c r="C7" s="1350"/>
      <c r="D7" s="1350"/>
      <c r="E7" s="950"/>
      <c r="F7" s="73">
        <f>+ZAV!B7</f>
        <v>0</v>
      </c>
      <c r="G7" s="88">
        <f>+ZAV!C7</f>
        <v>0</v>
      </c>
    </row>
    <row r="8" spans="1:7" ht="15.95" customHeight="1">
      <c r="A8" s="50" t="s">
        <v>174</v>
      </c>
      <c r="B8" s="1350" t="s">
        <v>343</v>
      </c>
      <c r="C8" s="1350"/>
      <c r="D8" s="1350"/>
      <c r="E8" s="950"/>
      <c r="F8" s="73">
        <f>+ZAV!B9</f>
        <v>0</v>
      </c>
      <c r="G8" s="88">
        <f>+ZAV!C9</f>
        <v>0</v>
      </c>
    </row>
    <row r="9" spans="1:7" ht="15.95" customHeight="1">
      <c r="A9" s="50" t="s">
        <v>175</v>
      </c>
      <c r="B9" s="1350" t="s">
        <v>308</v>
      </c>
      <c r="C9" s="1350"/>
      <c r="D9" s="1350"/>
      <c r="E9" s="950"/>
      <c r="F9" s="73">
        <f>+ZAV!B10</f>
        <v>0</v>
      </c>
      <c r="G9" s="88">
        <f>+ZAV!C10</f>
        <v>0</v>
      </c>
    </row>
    <row r="10" spans="1:7" ht="15.95" customHeight="1">
      <c r="A10" s="50" t="s">
        <v>388</v>
      </c>
      <c r="B10" s="1350" t="s">
        <v>180</v>
      </c>
      <c r="C10" s="1350"/>
      <c r="D10" s="1350"/>
      <c r="E10" s="950"/>
      <c r="F10" s="73">
        <f>+ZAV!B12</f>
        <v>0</v>
      </c>
      <c r="G10" s="88">
        <f>+ZAV!C12</f>
        <v>0</v>
      </c>
    </row>
    <row r="11" spans="1:7" ht="15.95" customHeight="1">
      <c r="A11" s="50" t="s">
        <v>133</v>
      </c>
      <c r="B11" s="1350" t="s">
        <v>3603</v>
      </c>
      <c r="C11" s="1350"/>
      <c r="D11" s="1350"/>
      <c r="E11" s="950"/>
      <c r="F11" s="73">
        <f>+ZAV!B13+ZAV!B14</f>
        <v>0</v>
      </c>
      <c r="G11" s="88">
        <f>+ZAV!C13+ZAV!C14</f>
        <v>0</v>
      </c>
    </row>
    <row r="12" spans="1:7" ht="15.95" customHeight="1">
      <c r="A12" s="50" t="s">
        <v>387</v>
      </c>
      <c r="B12" s="1350" t="s">
        <v>309</v>
      </c>
      <c r="C12" s="1350"/>
      <c r="D12" s="1350"/>
      <c r="E12" s="950"/>
      <c r="F12" s="73">
        <f>+ZAV!B15+ZAV!B11+ZAV!B8</f>
        <v>0</v>
      </c>
      <c r="G12" s="88">
        <f>+ZAV!C15+ZAV!C11+ZAV!C8</f>
        <v>0</v>
      </c>
    </row>
    <row r="13" spans="1:7" ht="15.95" customHeight="1">
      <c r="A13" s="50" t="s">
        <v>386</v>
      </c>
      <c r="B13" s="1350" t="s">
        <v>3604</v>
      </c>
      <c r="C13" s="1350"/>
      <c r="D13" s="1350"/>
      <c r="E13" s="950"/>
      <c r="F13" s="73">
        <f>+ZAV!B19+ZAV!B20</f>
        <v>0</v>
      </c>
      <c r="G13" s="88">
        <f>+ZAV!C19+ZAV!C20</f>
        <v>0</v>
      </c>
    </row>
    <row r="14" spans="1:7" ht="15.95" customHeight="1" thickBot="1">
      <c r="A14" s="51" t="s">
        <v>385</v>
      </c>
      <c r="B14" s="1351" t="s">
        <v>383</v>
      </c>
      <c r="C14" s="1351"/>
      <c r="D14" s="1351"/>
      <c r="E14" s="954"/>
      <c r="F14" s="74">
        <f>+ZAV!B22</f>
        <v>0</v>
      </c>
      <c r="G14" s="104">
        <f>+ZAV!C22</f>
        <v>0</v>
      </c>
    </row>
    <row r="15" spans="1:7" ht="9" customHeight="1" thickBot="1">
      <c r="A15" s="1345"/>
      <c r="B15" s="1346"/>
      <c r="C15" s="1346"/>
      <c r="D15" s="1346"/>
      <c r="E15" s="1346"/>
      <c r="F15" s="1346"/>
      <c r="G15" s="1346"/>
    </row>
    <row r="16" spans="1:7" ht="15.95" customHeight="1" thickBot="1">
      <c r="A16" s="91" t="s">
        <v>384</v>
      </c>
      <c r="B16" s="120" t="s">
        <v>30</v>
      </c>
      <c r="C16" s="1347"/>
      <c r="D16" s="1348"/>
      <c r="E16" s="1349"/>
      <c r="F16" s="1346"/>
      <c r="G16" s="1346"/>
    </row>
    <row r="17" spans="1:7" ht="15" customHeight="1">
      <c r="A17" s="1343" t="s">
        <v>310</v>
      </c>
      <c r="B17" s="1344"/>
      <c r="C17" s="1344"/>
      <c r="D17" s="1344"/>
      <c r="E17" s="1344"/>
      <c r="F17" s="1344"/>
      <c r="G17" s="1344"/>
    </row>
    <row r="18" spans="1:7" ht="18" customHeight="1" thickBot="1">
      <c r="A18" s="1323" t="s">
        <v>280</v>
      </c>
      <c r="B18" s="1324"/>
      <c r="C18" s="1324"/>
      <c r="D18" s="1324"/>
      <c r="E18" s="1324"/>
      <c r="F18" s="1324"/>
      <c r="G18" s="1324"/>
    </row>
    <row r="19" spans="1:7" ht="24" customHeight="1">
      <c r="A19" s="94" t="s">
        <v>3605</v>
      </c>
      <c r="B19" s="1336" t="s">
        <v>75</v>
      </c>
      <c r="C19" s="1337"/>
      <c r="D19" s="1337"/>
      <c r="E19" s="1338"/>
      <c r="F19" s="1339" t="s">
        <v>246</v>
      </c>
      <c r="G19" s="1340"/>
    </row>
    <row r="20" spans="1:7" ht="15.95" customHeight="1">
      <c r="A20" s="48" t="s">
        <v>173</v>
      </c>
      <c r="B20" s="1317"/>
      <c r="C20" s="1317"/>
      <c r="D20" s="1317"/>
      <c r="E20" s="1317"/>
      <c r="F20" s="1318"/>
      <c r="G20" s="1319"/>
    </row>
    <row r="21" spans="1:7" ht="15.95" customHeight="1">
      <c r="A21" s="48" t="s">
        <v>174</v>
      </c>
      <c r="B21" s="1317"/>
      <c r="C21" s="1317"/>
      <c r="D21" s="1317"/>
      <c r="E21" s="1317"/>
      <c r="F21" s="1318"/>
      <c r="G21" s="1319"/>
    </row>
    <row r="22" spans="1:7" ht="15.95" customHeight="1">
      <c r="A22" s="48" t="s">
        <v>175</v>
      </c>
      <c r="B22" s="1317"/>
      <c r="C22" s="1317"/>
      <c r="D22" s="1317"/>
      <c r="E22" s="1317"/>
      <c r="F22" s="1318"/>
      <c r="G22" s="1319"/>
    </row>
    <row r="23" spans="1:7" ht="15.95" customHeight="1" thickBot="1">
      <c r="A23" s="49" t="s">
        <v>388</v>
      </c>
      <c r="B23" s="1320"/>
      <c r="C23" s="1320"/>
      <c r="D23" s="1320"/>
      <c r="E23" s="1320"/>
      <c r="F23" s="1321"/>
      <c r="G23" s="1322"/>
    </row>
    <row r="24" spans="1:7" ht="13.5" thickBot="1">
      <c r="A24" s="1323"/>
      <c r="B24" s="1324"/>
      <c r="C24" s="1324"/>
      <c r="D24" s="1324"/>
      <c r="E24" s="1324"/>
      <c r="F24" s="1324"/>
      <c r="G24" s="1324"/>
    </row>
    <row r="25" spans="1:7" ht="24.75" customHeight="1">
      <c r="A25" s="94" t="s">
        <v>247</v>
      </c>
      <c r="B25" s="1336" t="s">
        <v>76</v>
      </c>
      <c r="C25" s="1337"/>
      <c r="D25" s="1337"/>
      <c r="E25" s="1338"/>
      <c r="F25" s="1339" t="s">
        <v>246</v>
      </c>
      <c r="G25" s="1340"/>
    </row>
    <row r="26" spans="1:7" ht="15.95" customHeight="1">
      <c r="A26" s="48" t="s">
        <v>173</v>
      </c>
      <c r="B26" s="1317"/>
      <c r="C26" s="1317"/>
      <c r="D26" s="1317"/>
      <c r="E26" s="1317"/>
      <c r="F26" s="1318"/>
      <c r="G26" s="1319"/>
    </row>
    <row r="27" spans="1:7" ht="15.95" customHeight="1">
      <c r="A27" s="48" t="s">
        <v>174</v>
      </c>
      <c r="B27" s="1317"/>
      <c r="C27" s="1317"/>
      <c r="D27" s="1317"/>
      <c r="E27" s="1317"/>
      <c r="F27" s="1318"/>
      <c r="G27" s="1319"/>
    </row>
    <row r="28" spans="1:7" ht="15.95" customHeight="1">
      <c r="A28" s="48" t="s">
        <v>175</v>
      </c>
      <c r="B28" s="1317"/>
      <c r="C28" s="1317"/>
      <c r="D28" s="1317"/>
      <c r="E28" s="1317"/>
      <c r="F28" s="1318"/>
      <c r="G28" s="1319"/>
    </row>
    <row r="29" spans="1:7" ht="15.95" customHeight="1" thickBot="1">
      <c r="A29" s="49" t="s">
        <v>388</v>
      </c>
      <c r="B29" s="1320"/>
      <c r="C29" s="1320"/>
      <c r="D29" s="1320"/>
      <c r="E29" s="1320"/>
      <c r="F29" s="1321"/>
      <c r="G29" s="1322"/>
    </row>
    <row r="30" spans="1:7" ht="18" customHeight="1" thickBot="1">
      <c r="A30" s="1323" t="s">
        <v>109</v>
      </c>
      <c r="B30" s="1324"/>
      <c r="C30" s="1324"/>
      <c r="D30" s="1324"/>
      <c r="E30" s="1324"/>
      <c r="F30" s="1324"/>
      <c r="G30" s="1324"/>
    </row>
    <row r="31" spans="1:7" ht="15.95" customHeight="1">
      <c r="A31" s="1325" t="s">
        <v>110</v>
      </c>
      <c r="B31" s="1326"/>
      <c r="C31" s="1326"/>
      <c r="D31" s="1326"/>
      <c r="E31" s="1326"/>
      <c r="F31" s="1326"/>
      <c r="G31" s="1327"/>
    </row>
    <row r="32" spans="1:7" ht="15.95" customHeight="1">
      <c r="A32" s="100"/>
      <c r="B32" s="33" t="s">
        <v>46</v>
      </c>
      <c r="C32" s="1334" t="s">
        <v>128</v>
      </c>
      <c r="D32" s="1334"/>
      <c r="E32" s="33" t="s">
        <v>187</v>
      </c>
      <c r="F32" s="33" t="s">
        <v>129</v>
      </c>
      <c r="G32" s="34" t="s">
        <v>130</v>
      </c>
    </row>
    <row r="33" spans="1:7" ht="15.95" customHeight="1">
      <c r="A33" s="35" t="s">
        <v>173</v>
      </c>
      <c r="B33" s="106"/>
      <c r="C33" s="1307"/>
      <c r="D33" s="1307"/>
      <c r="E33" s="37"/>
      <c r="F33" s="40"/>
      <c r="G33" s="39"/>
    </row>
    <row r="34" spans="1:7" ht="15.95" customHeight="1">
      <c r="A34" s="35" t="s">
        <v>174</v>
      </c>
      <c r="B34" s="38"/>
      <c r="C34" s="1307"/>
      <c r="D34" s="1307"/>
      <c r="E34" s="107"/>
      <c r="F34" s="108"/>
      <c r="G34" s="109"/>
    </row>
    <row r="35" spans="1:7" ht="15.95" customHeight="1" thickBot="1">
      <c r="A35" s="36" t="s">
        <v>175</v>
      </c>
      <c r="B35" s="110"/>
      <c r="C35" s="1335"/>
      <c r="D35" s="1335"/>
      <c r="E35" s="110"/>
      <c r="F35" s="41"/>
      <c r="G35" s="42"/>
    </row>
    <row r="36" spans="1:7" ht="18" customHeight="1" thickBot="1">
      <c r="A36" s="1315" t="s">
        <v>344</v>
      </c>
      <c r="B36" s="1316"/>
      <c r="C36" s="1316"/>
      <c r="D36" s="1316"/>
      <c r="E36" s="1316"/>
      <c r="F36" s="1316"/>
      <c r="G36" s="1316"/>
    </row>
    <row r="37" spans="1:7" ht="15.95" customHeight="1">
      <c r="A37" s="1312" t="s">
        <v>111</v>
      </c>
      <c r="B37" s="1313"/>
      <c r="C37" s="1313"/>
      <c r="D37" s="1313"/>
      <c r="E37" s="1313"/>
      <c r="F37" s="1313"/>
      <c r="G37" s="1314"/>
    </row>
    <row r="38" spans="1:7" ht="24" customHeight="1">
      <c r="A38" s="101"/>
      <c r="B38" s="1308" t="s">
        <v>46</v>
      </c>
      <c r="C38" s="1309"/>
      <c r="D38" s="1308" t="s">
        <v>128</v>
      </c>
      <c r="E38" s="1309"/>
      <c r="F38" s="43" t="s">
        <v>306</v>
      </c>
      <c r="G38" s="44" t="s">
        <v>389</v>
      </c>
    </row>
    <row r="39" spans="1:7" ht="15.95" customHeight="1">
      <c r="A39" s="35" t="s">
        <v>173</v>
      </c>
      <c r="B39" s="1310"/>
      <c r="C39" s="1311"/>
      <c r="D39" s="1310"/>
      <c r="E39" s="1311"/>
      <c r="F39" s="10"/>
      <c r="G39" s="39"/>
    </row>
    <row r="40" spans="1:7" ht="15.95" customHeight="1" thickBot="1">
      <c r="A40" s="36" t="s">
        <v>174</v>
      </c>
      <c r="B40" s="1303"/>
      <c r="C40" s="1304"/>
      <c r="D40" s="1303"/>
      <c r="E40" s="1304"/>
      <c r="F40" s="11"/>
      <c r="G40" s="42"/>
    </row>
    <row r="41" spans="1:52" s="92" customFormat="1" ht="18" customHeight="1" thickBot="1">
      <c r="A41" s="1315" t="s">
        <v>281</v>
      </c>
      <c r="B41" s="1316"/>
      <c r="C41" s="1316"/>
      <c r="D41" s="1316"/>
      <c r="E41" s="1316"/>
      <c r="F41" s="1316"/>
      <c r="G41" s="1316"/>
      <c r="H41" s="93"/>
      <c r="I41" s="93"/>
      <c r="J41" s="93"/>
      <c r="K41" s="93"/>
      <c r="L41" s="93"/>
      <c r="M41" s="93"/>
      <c r="N41" s="93"/>
      <c r="O41" s="93"/>
      <c r="P41" s="93"/>
      <c r="Q41" s="93"/>
      <c r="R41" s="93"/>
      <c r="S41" s="93"/>
      <c r="T41" s="93"/>
      <c r="U41" s="93"/>
      <c r="V41" s="93"/>
      <c r="W41" s="93"/>
      <c r="X41" s="93"/>
      <c r="Y41" s="93"/>
      <c r="Z41" s="93"/>
      <c r="AA41" s="93"/>
      <c r="AB41" s="93"/>
      <c r="AC41" s="93"/>
      <c r="AD41" s="93"/>
      <c r="AE41" s="93"/>
      <c r="AF41" s="93"/>
      <c r="AG41" s="93"/>
      <c r="AH41" s="93"/>
      <c r="AI41" s="93"/>
      <c r="AJ41" s="93"/>
      <c r="AK41" s="93"/>
      <c r="AL41" s="93"/>
      <c r="AM41" s="93"/>
      <c r="AN41" s="93"/>
      <c r="AO41" s="93"/>
      <c r="AP41" s="93"/>
      <c r="AQ41" s="93"/>
      <c r="AR41" s="93"/>
      <c r="AS41" s="93"/>
      <c r="AT41" s="93"/>
      <c r="AU41" s="93"/>
      <c r="AV41" s="93"/>
      <c r="AW41" s="93"/>
      <c r="AX41" s="93"/>
      <c r="AY41" s="93"/>
      <c r="AZ41" s="93"/>
    </row>
    <row r="42" spans="1:7" ht="15.95" customHeight="1">
      <c r="A42" s="1312" t="s">
        <v>112</v>
      </c>
      <c r="B42" s="1313"/>
      <c r="C42" s="1313"/>
      <c r="D42" s="1313"/>
      <c r="E42" s="1313"/>
      <c r="F42" s="1313"/>
      <c r="G42" s="1314"/>
    </row>
    <row r="43" spans="1:7" ht="24" customHeight="1">
      <c r="A43" s="101"/>
      <c r="B43" s="1308" t="s">
        <v>46</v>
      </c>
      <c r="C43" s="1309"/>
      <c r="D43" s="1308" t="s">
        <v>128</v>
      </c>
      <c r="E43" s="1309"/>
      <c r="F43" s="43" t="s">
        <v>187</v>
      </c>
      <c r="G43" s="44" t="s">
        <v>389</v>
      </c>
    </row>
    <row r="44" spans="1:7" ht="15.95" customHeight="1" thickBot="1">
      <c r="A44" s="36" t="s">
        <v>173</v>
      </c>
      <c r="B44" s="1303"/>
      <c r="C44" s="1304"/>
      <c r="D44" s="1303"/>
      <c r="E44" s="1304"/>
      <c r="F44" s="11"/>
      <c r="G44" s="42"/>
    </row>
    <row r="45" spans="1:7" ht="13.5" thickBot="1">
      <c r="A45" s="1305" t="s">
        <v>397</v>
      </c>
      <c r="B45" s="1306"/>
      <c r="C45" s="1306"/>
      <c r="D45" s="1306"/>
      <c r="E45" s="1306"/>
      <c r="F45" s="1306"/>
      <c r="G45" s="1306"/>
    </row>
    <row r="46" spans="1:7" ht="12.75">
      <c r="A46" s="1330" t="s">
        <v>282</v>
      </c>
      <c r="B46" s="1331"/>
      <c r="C46" s="1331"/>
      <c r="D46" s="1331"/>
      <c r="E46" s="1331"/>
      <c r="F46" s="45" t="s">
        <v>187</v>
      </c>
      <c r="G46" s="46" t="s">
        <v>188</v>
      </c>
    </row>
    <row r="47" spans="1:7" ht="13.5" thickBot="1">
      <c r="A47" s="1332"/>
      <c r="B47" s="1333"/>
      <c r="C47" s="1333"/>
      <c r="D47" s="1333"/>
      <c r="E47" s="1333"/>
      <c r="F47" s="105"/>
      <c r="G47" s="47"/>
    </row>
    <row r="48" spans="1:7" ht="9" customHeight="1">
      <c r="A48" s="1328" t="s">
        <v>3606</v>
      </c>
      <c r="B48" s="855"/>
      <c r="C48" s="855"/>
      <c r="D48" s="855"/>
      <c r="E48" s="855"/>
      <c r="F48" s="855"/>
      <c r="G48" s="855"/>
    </row>
    <row r="49" spans="1:7" ht="9" customHeight="1">
      <c r="A49" s="1329" t="s">
        <v>245</v>
      </c>
      <c r="B49" s="745"/>
      <c r="C49" s="745"/>
      <c r="D49" s="745"/>
      <c r="E49" s="745"/>
      <c r="F49" s="745"/>
      <c r="G49" s="745"/>
    </row>
    <row r="50" spans="1:7" ht="12.75">
      <c r="A50" s="1259" t="s">
        <v>366</v>
      </c>
      <c r="B50" s="1259"/>
      <c r="C50" s="1259"/>
      <c r="D50" s="1259"/>
      <c r="E50" s="1259"/>
      <c r="F50" s="1259"/>
      <c r="G50" s="1259"/>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pans="1:7" ht="12.75">
      <c r="A65" s="84"/>
      <c r="B65" s="84"/>
      <c r="C65" s="84"/>
      <c r="D65" s="84"/>
      <c r="E65" s="84"/>
      <c r="F65" s="84"/>
      <c r="G65" s="84"/>
    </row>
    <row r="66" spans="1:7" ht="12.75">
      <c r="A66" s="84"/>
      <c r="B66" s="84"/>
      <c r="C66" s="84"/>
      <c r="D66" s="84"/>
      <c r="E66" s="84"/>
      <c r="F66" s="84"/>
      <c r="G66" s="84"/>
    </row>
    <row r="67" spans="1:7" ht="12.75">
      <c r="A67" s="84"/>
      <c r="B67" s="84"/>
      <c r="C67" s="84"/>
      <c r="D67" s="84"/>
      <c r="E67" s="84"/>
      <c r="F67" s="84"/>
      <c r="G67" s="84"/>
    </row>
    <row r="68" spans="1:7" ht="12.75">
      <c r="A68" s="84"/>
      <c r="B68" s="84"/>
      <c r="C68" s="84"/>
      <c r="D68" s="84"/>
      <c r="E68" s="84"/>
      <c r="F68" s="84"/>
      <c r="G68" s="84"/>
    </row>
    <row r="69" spans="1:7" ht="12.75">
      <c r="A69" s="84"/>
      <c r="B69" s="84"/>
      <c r="C69" s="84"/>
      <c r="D69" s="84"/>
      <c r="E69" s="84"/>
      <c r="F69" s="84"/>
      <c r="G69" s="84"/>
    </row>
    <row r="70" spans="1:7" ht="12.75">
      <c r="A70" s="84"/>
      <c r="B70" s="84"/>
      <c r="C70" s="84"/>
      <c r="D70" s="84"/>
      <c r="E70" s="84"/>
      <c r="F70" s="84"/>
      <c r="G70" s="84"/>
    </row>
    <row r="71" spans="1:7" ht="12.75">
      <c r="A71" s="84"/>
      <c r="B71" s="84"/>
      <c r="C71" s="84"/>
      <c r="D71" s="84"/>
      <c r="E71" s="84"/>
      <c r="F71" s="84"/>
      <c r="G71" s="84"/>
    </row>
    <row r="72" spans="1:7" ht="12.75">
      <c r="A72" s="84"/>
      <c r="B72" s="84"/>
      <c r="C72" s="84"/>
      <c r="D72" s="84"/>
      <c r="E72" s="84"/>
      <c r="F72" s="84"/>
      <c r="G72" s="84"/>
    </row>
    <row r="73" spans="1:7" ht="12.75">
      <c r="A73" s="84"/>
      <c r="B73" s="84"/>
      <c r="C73" s="84"/>
      <c r="D73" s="84"/>
      <c r="E73" s="84"/>
      <c r="F73" s="84"/>
      <c r="G73" s="84"/>
    </row>
    <row r="74" spans="1:7" ht="12.75">
      <c r="A74" s="84"/>
      <c r="B74" s="84"/>
      <c r="C74" s="84"/>
      <c r="D74" s="84"/>
      <c r="E74" s="84"/>
      <c r="F74" s="84"/>
      <c r="G74" s="84"/>
    </row>
    <row r="75" spans="1:7" ht="12.75">
      <c r="A75" s="84"/>
      <c r="B75" s="84"/>
      <c r="C75" s="84"/>
      <c r="D75" s="84"/>
      <c r="E75" s="84"/>
      <c r="F75" s="84"/>
      <c r="G75" s="84"/>
    </row>
    <row r="76" spans="1:7" ht="12.75">
      <c r="A76" s="84"/>
      <c r="B76" s="84"/>
      <c r="C76" s="84"/>
      <c r="D76" s="84"/>
      <c r="E76" s="84"/>
      <c r="F76" s="84"/>
      <c r="G76" s="84"/>
    </row>
    <row r="77" spans="1:7" ht="12.75">
      <c r="A77" s="84"/>
      <c r="B77" s="84"/>
      <c r="C77" s="84"/>
      <c r="D77" s="84"/>
      <c r="E77" s="84"/>
      <c r="F77" s="84"/>
      <c r="G77" s="84"/>
    </row>
    <row r="78" spans="1:7" ht="12.75">
      <c r="A78" s="84"/>
      <c r="B78" s="84"/>
      <c r="C78" s="84"/>
      <c r="D78" s="84"/>
      <c r="E78" s="84"/>
      <c r="F78" s="84"/>
      <c r="G78" s="84"/>
    </row>
    <row r="79" spans="1:7" ht="12.75">
      <c r="A79" s="84"/>
      <c r="B79" s="84"/>
      <c r="C79" s="84"/>
      <c r="D79" s="84"/>
      <c r="E79" s="84"/>
      <c r="F79" s="84"/>
      <c r="G79" s="84"/>
    </row>
    <row r="80" spans="1:7" ht="12.75">
      <c r="A80" s="84"/>
      <c r="B80" s="84"/>
      <c r="C80" s="84"/>
      <c r="D80" s="84"/>
      <c r="E80" s="84"/>
      <c r="F80" s="84"/>
      <c r="G80" s="84"/>
    </row>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thickBot="1"/>
  </sheetData>
  <sheetProtection algorithmName="SHA-512" hashValue="rMgAavEJJa749OpFE51W1jUrZC3qRsB9t931lbr5yGf+0Oo6hldEM6RiVBMO2sps/KuFyR2r/EJ6WfgtqRQfqw==" saltValue="QMoptNS69zXrTHHeI2AZ8g==" spinCount="100000" sheet="1" objects="1" scenarios="1"/>
  <mergeCells count="66">
    <mergeCell ref="B10:E10"/>
    <mergeCell ref="B21:E21"/>
    <mergeCell ref="F21:G21"/>
    <mergeCell ref="C3:D3"/>
    <mergeCell ref="A3:B3"/>
    <mergeCell ref="A18:G18"/>
    <mergeCell ref="B19:E19"/>
    <mergeCell ref="F19:G19"/>
    <mergeCell ref="B20:E20"/>
    <mergeCell ref="F20:G20"/>
    <mergeCell ref="A1:G1"/>
    <mergeCell ref="A2:B2"/>
    <mergeCell ref="A17:G17"/>
    <mergeCell ref="A4:G4"/>
    <mergeCell ref="C16:D16"/>
    <mergeCell ref="A15:G15"/>
    <mergeCell ref="E16:G16"/>
    <mergeCell ref="B12:E12"/>
    <mergeCell ref="B14:E14"/>
    <mergeCell ref="B7:E7"/>
    <mergeCell ref="B8:E8"/>
    <mergeCell ref="B9:E9"/>
    <mergeCell ref="A6:E6"/>
    <mergeCell ref="A5:G5"/>
    <mergeCell ref="B11:E11"/>
    <mergeCell ref="B13:E13"/>
    <mergeCell ref="B23:E23"/>
    <mergeCell ref="F23:G23"/>
    <mergeCell ref="B25:E25"/>
    <mergeCell ref="F25:G25"/>
    <mergeCell ref="B26:E26"/>
    <mergeCell ref="A24:G24"/>
    <mergeCell ref="F26:G26"/>
    <mergeCell ref="C33:D33"/>
    <mergeCell ref="C32:D32"/>
    <mergeCell ref="B27:E27"/>
    <mergeCell ref="F27:G27"/>
    <mergeCell ref="D40:E40"/>
    <mergeCell ref="C35:D35"/>
    <mergeCell ref="A50:G50"/>
    <mergeCell ref="B22:E22"/>
    <mergeCell ref="F22:G22"/>
    <mergeCell ref="B29:E29"/>
    <mergeCell ref="F29:G29"/>
    <mergeCell ref="B28:E28"/>
    <mergeCell ref="F28:G28"/>
    <mergeCell ref="A30:G30"/>
    <mergeCell ref="A31:G31"/>
    <mergeCell ref="A36:G36"/>
    <mergeCell ref="A37:G37"/>
    <mergeCell ref="B38:C38"/>
    <mergeCell ref="D38:E38"/>
    <mergeCell ref="A48:G48"/>
    <mergeCell ref="A49:G49"/>
    <mergeCell ref="A46:E47"/>
    <mergeCell ref="B44:C44"/>
    <mergeCell ref="D44:E44"/>
    <mergeCell ref="A45:G45"/>
    <mergeCell ref="C34:D34"/>
    <mergeCell ref="B43:C43"/>
    <mergeCell ref="D43:E43"/>
    <mergeCell ref="B39:C39"/>
    <mergeCell ref="D39:E39"/>
    <mergeCell ref="B40:C40"/>
    <mergeCell ref="A42:G42"/>
    <mergeCell ref="A41:G41"/>
  </mergeCells>
  <printOptions horizontalCentered="1" verticalCentered="1"/>
  <pageMargins left="0.393700787401575" right="0.393700787401575" top="0.393700787401575" bottom="0.393700787401575" header="0.511811023622047" footer="0.511811023622047"/>
  <pageSetup orientation="portrait" paperSize="9" scale="97" r:id="rId3"/>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C00-000000000000}">
  <sheetPr codeName="List10">
    <tabColor rgb="FFFFCCFF"/>
    <pageSetUpPr fitToPage="1"/>
  </sheetPr>
  <dimension ref="A1:BG130"/>
  <sheetViews>
    <sheetView workbookViewId="0" topLeftCell="A1">
      <selection pane="topLeft" activeCell="D7" sqref="D7"/>
    </sheetView>
  </sheetViews>
  <sheetFormatPr defaultRowHeight="12.75"/>
  <cols>
    <col min="1" max="1" width="4" customWidth="1"/>
    <col min="2" max="2" width="14.7142857142857" customWidth="1"/>
    <col min="3" max="3" width="18.7142857142857" customWidth="1"/>
    <col min="4" max="5" width="8.28571428571429" customWidth="1"/>
    <col min="6" max="6" width="3.71428571428571" customWidth="1"/>
    <col min="7" max="7" width="12.7142857142857" customWidth="1"/>
    <col min="8" max="8" width="5.71428571428571" customWidth="1"/>
    <col min="9" max="9" width="14.7142857142857" customWidth="1"/>
    <col min="10" max="10" width="5.71428571428571" customWidth="1"/>
    <col min="11" max="59" width="9.14285714285714" style="84"/>
  </cols>
  <sheetData>
    <row r="1" spans="1:10" ht="18" customHeight="1" thickBot="1">
      <c r="A1" s="1219" t="s">
        <v>248</v>
      </c>
      <c r="B1" s="1220"/>
      <c r="C1" s="1220"/>
      <c r="D1" s="1220"/>
      <c r="E1" s="1220"/>
      <c r="F1" s="1220"/>
      <c r="G1" s="1405" t="s">
        <v>42</v>
      </c>
      <c r="H1" s="858"/>
      <c r="I1" s="1201" t="str">
        <f>'DAP1'!A9</f>
        <v/>
      </c>
      <c r="J1" s="1065"/>
    </row>
    <row r="2" spans="1:10" ht="24" customHeight="1">
      <c r="A2" s="1218" t="s">
        <v>3898</v>
      </c>
      <c r="B2" s="1218"/>
      <c r="C2" s="1218"/>
      <c r="D2" s="1218"/>
      <c r="E2" s="1218"/>
      <c r="F2" s="1218"/>
      <c r="G2" s="745"/>
      <c r="H2" s="1346"/>
      <c r="I2" s="1346"/>
      <c r="J2" s="1346"/>
    </row>
    <row r="3" spans="1:10" ht="36" customHeight="1">
      <c r="A3" s="1207" t="s">
        <v>209</v>
      </c>
      <c r="B3" s="1208"/>
      <c r="C3" s="1208"/>
      <c r="D3" s="1208"/>
      <c r="E3" s="1208"/>
      <c r="F3" s="1208"/>
      <c r="G3" s="1208"/>
      <c r="H3" s="1208"/>
      <c r="I3" s="1208"/>
      <c r="J3" s="1208"/>
    </row>
    <row r="4" spans="1:10" ht="30" customHeight="1">
      <c r="A4" s="1406" t="s">
        <v>3607</v>
      </c>
      <c r="B4" s="1407"/>
      <c r="C4" s="1407"/>
      <c r="D4" s="1407"/>
      <c r="E4" s="1407"/>
      <c r="F4" s="1407"/>
      <c r="G4" s="1407"/>
      <c r="H4" s="1407"/>
      <c r="I4" s="1407"/>
      <c r="J4" s="1407"/>
    </row>
    <row r="5" spans="1:10" ht="18" customHeight="1">
      <c r="A5" s="1223" t="s">
        <v>3608</v>
      </c>
      <c r="B5" s="1224"/>
      <c r="C5" s="1224"/>
      <c r="D5" s="1224"/>
      <c r="E5" s="1224"/>
      <c r="F5" s="1224"/>
      <c r="G5" s="1224"/>
      <c r="H5" s="1224"/>
      <c r="I5" s="1224"/>
      <c r="J5" s="1224"/>
    </row>
    <row r="6" spans="1:10" ht="18" customHeight="1" thickBot="1">
      <c r="A6" s="1360" t="s">
        <v>345</v>
      </c>
      <c r="B6" s="1395"/>
      <c r="C6" s="1395"/>
      <c r="D6" s="1395"/>
      <c r="E6" s="1395"/>
      <c r="F6" s="1395"/>
      <c r="G6" s="1395"/>
      <c r="H6" s="1395"/>
      <c r="I6" s="1395"/>
      <c r="J6" s="1395"/>
    </row>
    <row r="7" spans="1:59" s="157" customFormat="1" ht="24" customHeight="1" thickBot="1">
      <c r="A7" s="1398" t="s">
        <v>3609</v>
      </c>
      <c r="B7" s="1399"/>
      <c r="C7" s="1399"/>
      <c r="D7" s="183"/>
      <c r="E7" s="184"/>
      <c r="F7" s="1415" t="s">
        <v>115</v>
      </c>
      <c r="G7" s="1416"/>
      <c r="H7" s="1416"/>
      <c r="I7" s="1416"/>
      <c r="J7" s="183"/>
      <c r="K7" s="158"/>
      <c r="L7" s="158"/>
      <c r="M7" s="158"/>
      <c r="N7" s="158"/>
      <c r="O7" s="158"/>
      <c r="P7" s="158"/>
      <c r="Q7" s="158"/>
      <c r="R7" s="158"/>
      <c r="S7" s="158"/>
      <c r="T7" s="158"/>
      <c r="U7" s="158"/>
      <c r="V7" s="158"/>
      <c r="W7" s="158"/>
      <c r="X7" s="158"/>
      <c r="Y7" s="158"/>
      <c r="Z7" s="158"/>
      <c r="AA7" s="158"/>
      <c r="AB7" s="158"/>
      <c r="AC7" s="158"/>
      <c r="AD7" s="158"/>
      <c r="AE7" s="158"/>
      <c r="AF7" s="158"/>
      <c r="AG7" s="158"/>
      <c r="AH7" s="158"/>
      <c r="AI7" s="158"/>
      <c r="AJ7" s="158"/>
      <c r="AK7" s="158"/>
      <c r="AL7" s="158"/>
      <c r="AM7" s="158"/>
      <c r="AN7" s="158"/>
      <c r="AO7" s="158"/>
      <c r="AP7" s="158"/>
      <c r="AQ7" s="158"/>
      <c r="AR7" s="158"/>
      <c r="AS7" s="158"/>
      <c r="AT7" s="158"/>
      <c r="AU7" s="158"/>
      <c r="AV7" s="158"/>
      <c r="AW7" s="158"/>
      <c r="AX7" s="158"/>
      <c r="AY7" s="158"/>
      <c r="AZ7" s="158"/>
      <c r="BA7" s="158"/>
      <c r="BB7" s="158"/>
      <c r="BC7" s="158"/>
      <c r="BD7" s="158"/>
      <c r="BE7" s="158"/>
      <c r="BF7" s="158"/>
      <c r="BG7" s="158"/>
    </row>
    <row r="8" spans="1:59" s="706" customFormat="1" ht="12" customHeight="1" thickBot="1">
      <c r="A8" s="1360"/>
      <c r="B8" s="1361"/>
      <c r="C8" s="1361"/>
      <c r="D8" s="1361"/>
      <c r="E8" s="1361"/>
      <c r="F8" s="1361"/>
      <c r="G8" s="1361"/>
      <c r="H8" s="1361"/>
      <c r="I8" s="1361"/>
      <c r="J8" s="1362"/>
      <c r="K8" s="158"/>
      <c r="L8" s="158"/>
      <c r="M8" s="158"/>
      <c r="N8" s="158"/>
      <c r="O8" s="158"/>
      <c r="P8" s="158"/>
      <c r="Q8" s="158"/>
      <c r="R8" s="158"/>
      <c r="S8" s="158"/>
      <c r="T8" s="158"/>
      <c r="U8" s="158"/>
      <c r="V8" s="158"/>
      <c r="W8" s="158"/>
      <c r="X8" s="158"/>
      <c r="Y8" s="158"/>
      <c r="Z8" s="158"/>
      <c r="AA8" s="158"/>
      <c r="AB8" s="158"/>
      <c r="AC8" s="158"/>
      <c r="AD8" s="158"/>
      <c r="AE8" s="158"/>
      <c r="AF8" s="158"/>
      <c r="AG8" s="158"/>
      <c r="AH8" s="158"/>
      <c r="AI8" s="158"/>
      <c r="AJ8" s="158"/>
      <c r="AK8" s="158"/>
      <c r="AL8" s="158"/>
      <c r="AM8" s="158"/>
      <c r="AN8" s="158"/>
      <c r="AO8" s="158"/>
      <c r="AP8" s="158"/>
      <c r="AQ8" s="158"/>
      <c r="AR8" s="158"/>
      <c r="AS8" s="158"/>
      <c r="AT8" s="158"/>
      <c r="AU8" s="158"/>
      <c r="AV8" s="158"/>
      <c r="AW8" s="158"/>
      <c r="AX8" s="158"/>
      <c r="AY8" s="158"/>
      <c r="AZ8" s="158"/>
      <c r="BA8" s="158"/>
      <c r="BB8" s="158"/>
      <c r="BC8" s="158"/>
      <c r="BD8" s="158"/>
      <c r="BE8" s="158"/>
      <c r="BF8" s="158"/>
      <c r="BG8" s="158"/>
    </row>
    <row r="9" spans="1:59" s="706" customFormat="1" ht="18" customHeight="1" thickBot="1">
      <c r="A9" s="1197" t="s">
        <v>3896</v>
      </c>
      <c r="B9" s="1156"/>
      <c r="C9" s="1156"/>
      <c r="D9" s="1156"/>
      <c r="E9" s="1156"/>
      <c r="F9" s="1156"/>
      <c r="G9" s="1156"/>
      <c r="H9" s="1156"/>
      <c r="I9" s="1363"/>
      <c r="J9" s="707"/>
      <c r="K9" s="158"/>
      <c r="L9" s="158"/>
      <c r="M9" s="158"/>
      <c r="N9" s="158"/>
      <c r="O9" s="158"/>
      <c r="P9" s="158"/>
      <c r="Q9" s="158"/>
      <c r="R9" s="158"/>
      <c r="S9" s="158"/>
      <c r="T9" s="158"/>
      <c r="U9" s="158"/>
      <c r="V9" s="158"/>
      <c r="W9" s="158"/>
      <c r="X9" s="158"/>
      <c r="Y9" s="158"/>
      <c r="Z9" s="158"/>
      <c r="AA9" s="158"/>
      <c r="AB9" s="158"/>
      <c r="AC9" s="158"/>
      <c r="AD9" s="158"/>
      <c r="AE9" s="158"/>
      <c r="AF9" s="158"/>
      <c r="AG9" s="158"/>
      <c r="AH9" s="158"/>
      <c r="AI9" s="158"/>
      <c r="AJ9" s="158"/>
      <c r="AK9" s="158"/>
      <c r="AL9" s="158"/>
      <c r="AM9" s="158"/>
      <c r="AN9" s="158"/>
      <c r="AO9" s="158"/>
      <c r="AP9" s="158"/>
      <c r="AQ9" s="158"/>
      <c r="AR9" s="158"/>
      <c r="AS9" s="158"/>
      <c r="AT9" s="158"/>
      <c r="AU9" s="158"/>
      <c r="AV9" s="158"/>
      <c r="AW9" s="158"/>
      <c r="AX9" s="158"/>
      <c r="AY9" s="158"/>
      <c r="AZ9" s="158"/>
      <c r="BA9" s="158"/>
      <c r="BB9" s="158"/>
      <c r="BC9" s="158"/>
      <c r="BD9" s="158"/>
      <c r="BE9" s="158"/>
      <c r="BF9" s="158"/>
      <c r="BG9" s="158"/>
    </row>
    <row r="10" spans="1:10" ht="12" customHeight="1" thickBot="1">
      <c r="A10" s="1417"/>
      <c r="B10" s="1362"/>
      <c r="C10" s="1362"/>
      <c r="D10" s="1362"/>
      <c r="E10" s="1362"/>
      <c r="F10" s="1362"/>
      <c r="G10" s="1362"/>
      <c r="H10" s="1362"/>
      <c r="I10" s="1362"/>
      <c r="J10" s="1362"/>
    </row>
    <row r="11" spans="1:10" ht="18" customHeight="1">
      <c r="A11" s="1418"/>
      <c r="B11" s="1419"/>
      <c r="C11" s="1419"/>
      <c r="D11" s="1419"/>
      <c r="E11" s="1419"/>
      <c r="F11" s="1420"/>
      <c r="G11" s="1007" t="s">
        <v>186</v>
      </c>
      <c r="H11" s="1411"/>
      <c r="I11" s="1007" t="s">
        <v>194</v>
      </c>
      <c r="J11" s="1412"/>
    </row>
    <row r="12" spans="1:10" ht="21" customHeight="1">
      <c r="A12" s="21">
        <v>201</v>
      </c>
      <c r="B12" s="942" t="s">
        <v>3899</v>
      </c>
      <c r="C12" s="942"/>
      <c r="D12" s="942"/>
      <c r="E12" s="942"/>
      <c r="F12" s="1071"/>
      <c r="G12" s="955">
        <v>0</v>
      </c>
      <c r="H12" s="1400"/>
      <c r="I12" s="1401"/>
      <c r="J12" s="1402"/>
    </row>
    <row r="13" spans="1:10" ht="21" customHeight="1">
      <c r="A13" s="21" t="s">
        <v>113</v>
      </c>
      <c r="B13" s="942" t="s">
        <v>3610</v>
      </c>
      <c r="C13" s="942"/>
      <c r="D13" s="942"/>
      <c r="E13" s="942"/>
      <c r="F13" s="1071"/>
      <c r="G13" s="955">
        <f>+G12</f>
        <v>0</v>
      </c>
      <c r="H13" s="1400"/>
      <c r="I13" s="1401"/>
      <c r="J13" s="1402"/>
    </row>
    <row r="14" spans="1:10" ht="21" customHeight="1">
      <c r="A14" s="21">
        <v>202</v>
      </c>
      <c r="B14" s="942" t="s">
        <v>320</v>
      </c>
      <c r="C14" s="942"/>
      <c r="D14" s="942"/>
      <c r="E14" s="942"/>
      <c r="F14" s="1071"/>
      <c r="G14" s="955">
        <f>+MIN(600000,ROUND(G12*0.3,0))</f>
        <v>0</v>
      </c>
      <c r="H14" s="1400"/>
      <c r="I14" s="1401"/>
      <c r="J14" s="1402"/>
    </row>
    <row r="15" spans="1:10" ht="27.95" customHeight="1">
      <c r="A15" s="21">
        <v>203</v>
      </c>
      <c r="B15" s="939" t="s">
        <v>116</v>
      </c>
      <c r="C15" s="939"/>
      <c r="D15" s="939"/>
      <c r="E15" s="939"/>
      <c r="F15" s="1005"/>
      <c r="G15" s="957">
        <f>+G12-G14</f>
        <v>0</v>
      </c>
      <c r="H15" s="1403"/>
      <c r="I15" s="1401"/>
      <c r="J15" s="1402"/>
    </row>
    <row r="16" spans="1:11" ht="36" customHeight="1">
      <c r="A16" s="21">
        <v>204</v>
      </c>
      <c r="B16" s="939" t="s">
        <v>3759</v>
      </c>
      <c r="C16" s="939"/>
      <c r="D16" s="939"/>
      <c r="E16" s="939"/>
      <c r="F16" s="1005"/>
      <c r="G16" s="955">
        <v>0</v>
      </c>
      <c r="H16" s="1400"/>
      <c r="I16" s="1401"/>
      <c r="J16" s="1402"/>
      <c r="K16" s="724" t="str">
        <f>+IF(EXACT(G18,"LIMIT"),"Vaše hodnoty překračují limity této bezplatné šablony - viz list UVOD"," ")</f>
        <v xml:space="preserve"> </v>
      </c>
    </row>
    <row r="17" spans="1:11" ht="36" customHeight="1">
      <c r="A17" s="21">
        <v>205</v>
      </c>
      <c r="B17" s="939" t="s">
        <v>3760</v>
      </c>
      <c r="C17" s="939"/>
      <c r="D17" s="939"/>
      <c r="E17" s="939"/>
      <c r="F17" s="1005"/>
      <c r="G17" s="955">
        <v>0</v>
      </c>
      <c r="H17" s="1400"/>
      <c r="I17" s="1401"/>
      <c r="J17" s="1402"/>
      <c r="K17" s="724" t="str">
        <f>+IF(EXACT(G18,"LIMIT"),"Neomezenou verzi této šablony zakoupíte zde:"," ")</f>
        <v xml:space="preserve"> </v>
      </c>
    </row>
    <row r="18" spans="1:11" ht="27.95" customHeight="1" thickBot="1">
      <c r="A18" s="20">
        <v>206</v>
      </c>
      <c r="B18" s="963" t="s">
        <v>149</v>
      </c>
      <c r="C18" s="963"/>
      <c r="D18" s="963"/>
      <c r="E18" s="963"/>
      <c r="F18" s="1404"/>
      <c r="G18" s="982">
        <f>IF(G12&gt;800000,T("LIMIT"),+G15+G16-G17)</f>
        <v>0</v>
      </c>
      <c r="H18" s="1421"/>
      <c r="I18" s="1422"/>
      <c r="J18" s="1423"/>
      <c r="K18" s="725" t="str">
        <f>+IF(EXACT(G18,"LIMIT"),"http://business.center.cz/business/sablony/s3-priznani-k-dani-z-prijmu-fyzickych-osob.aspx"," ")</f>
        <v xml:space="preserve"> </v>
      </c>
    </row>
    <row r="19" spans="1:10" ht="8.1" customHeight="1" thickBot="1">
      <c r="A19" s="1223"/>
      <c r="B19" s="1224"/>
      <c r="C19" s="1224"/>
      <c r="D19" s="1224"/>
      <c r="E19" s="1224"/>
      <c r="F19" s="1224"/>
      <c r="G19" s="1224"/>
      <c r="H19" s="1224"/>
      <c r="I19" s="1224"/>
      <c r="J19" s="1224"/>
    </row>
    <row r="20" spans="1:10" ht="24" customHeight="1" thickBot="1">
      <c r="A20" s="1424" t="s">
        <v>341</v>
      </c>
      <c r="B20" s="1425"/>
      <c r="C20" s="1427">
        <v>0</v>
      </c>
      <c r="D20" s="1428"/>
      <c r="E20" s="1429"/>
      <c r="F20" s="1426" t="s">
        <v>342</v>
      </c>
      <c r="G20" s="1425"/>
      <c r="H20" s="1427">
        <v>0</v>
      </c>
      <c r="I20" s="1428"/>
      <c r="J20" s="1430"/>
    </row>
    <row r="21" spans="1:10" ht="12" customHeight="1">
      <c r="A21" s="1223"/>
      <c r="B21" s="1224"/>
      <c r="C21" s="1224"/>
      <c r="D21" s="1224"/>
      <c r="E21" s="1224"/>
      <c r="F21" s="1224"/>
      <c r="G21" s="1224"/>
      <c r="H21" s="1224"/>
      <c r="I21" s="1224"/>
      <c r="J21" s="1224"/>
    </row>
    <row r="22" spans="1:10" ht="15.95" customHeight="1">
      <c r="A22" s="1223" t="s">
        <v>3611</v>
      </c>
      <c r="B22" s="1224"/>
      <c r="C22" s="1224"/>
      <c r="D22" s="1224"/>
      <c r="E22" s="1224"/>
      <c r="F22" s="1224"/>
      <c r="G22" s="1224"/>
      <c r="H22" s="1224"/>
      <c r="I22" s="1224"/>
      <c r="J22" s="1224"/>
    </row>
    <row r="23" spans="1:10" ht="15.95" customHeight="1" thickBot="1">
      <c r="A23" s="1360" t="s">
        <v>321</v>
      </c>
      <c r="B23" s="1395"/>
      <c r="C23" s="1395"/>
      <c r="D23" s="1395"/>
      <c r="E23" s="1395"/>
      <c r="F23" s="1395"/>
      <c r="G23" s="1395"/>
      <c r="H23" s="1395"/>
      <c r="I23" s="1395"/>
      <c r="J23" s="1395"/>
    </row>
    <row r="24" spans="1:10" ht="24" customHeight="1">
      <c r="A24" s="1364" t="s">
        <v>189</v>
      </c>
      <c r="B24" s="909"/>
      <c r="C24" s="1353"/>
      <c r="D24" s="1366" t="s">
        <v>183</v>
      </c>
      <c r="E24" s="1367"/>
      <c r="F24" s="1366" t="s">
        <v>184</v>
      </c>
      <c r="G24" s="1367"/>
      <c r="H24" s="1396" t="s">
        <v>3612</v>
      </c>
      <c r="I24" s="1052"/>
      <c r="J24" s="132" t="s">
        <v>126</v>
      </c>
    </row>
    <row r="25" spans="1:10" ht="12.75">
      <c r="A25" s="1365">
        <v>1</v>
      </c>
      <c r="B25" s="786"/>
      <c r="C25" s="943"/>
      <c r="D25" s="1368">
        <v>2</v>
      </c>
      <c r="E25" s="1369"/>
      <c r="F25" s="1368">
        <v>3</v>
      </c>
      <c r="G25" s="1369"/>
      <c r="H25" s="1368">
        <v>4</v>
      </c>
      <c r="I25" s="1397"/>
      <c r="J25" s="9">
        <v>5</v>
      </c>
    </row>
    <row r="26" spans="1:10" ht="21" customHeight="1">
      <c r="A26" s="21">
        <v>1</v>
      </c>
      <c r="B26" s="1371"/>
      <c r="C26" s="765"/>
      <c r="D26" s="1379">
        <v>0</v>
      </c>
      <c r="E26" s="1380"/>
      <c r="F26" s="1379">
        <v>0</v>
      </c>
      <c r="G26" s="1380"/>
      <c r="H26" s="1381">
        <f>+MAX(0,D26-F26)</f>
        <v>0</v>
      </c>
      <c r="I26" s="1382"/>
      <c r="J26" s="111"/>
    </row>
    <row r="27" spans="1:10" ht="21" customHeight="1">
      <c r="A27" s="21">
        <v>2</v>
      </c>
      <c r="B27" s="1371"/>
      <c r="C27" s="765"/>
      <c r="D27" s="1379">
        <v>0</v>
      </c>
      <c r="E27" s="1380"/>
      <c r="F27" s="1379">
        <v>0</v>
      </c>
      <c r="G27" s="1380"/>
      <c r="H27" s="1381">
        <f>+MAX(0,D27-F27)</f>
        <v>0</v>
      </c>
      <c r="I27" s="1382"/>
      <c r="J27" s="111"/>
    </row>
    <row r="28" spans="1:10" ht="21" customHeight="1">
      <c r="A28" s="21">
        <v>3</v>
      </c>
      <c r="B28" s="1371"/>
      <c r="C28" s="765"/>
      <c r="D28" s="1379">
        <v>0</v>
      </c>
      <c r="E28" s="1380"/>
      <c r="F28" s="1379">
        <v>0</v>
      </c>
      <c r="G28" s="1380"/>
      <c r="H28" s="1381">
        <f>+MAX(0,D28-F28)</f>
        <v>0</v>
      </c>
      <c r="I28" s="1382"/>
      <c r="J28" s="111"/>
    </row>
    <row r="29" spans="1:10" ht="21" customHeight="1">
      <c r="A29" s="21">
        <v>4</v>
      </c>
      <c r="B29" s="1371"/>
      <c r="C29" s="765"/>
      <c r="D29" s="1379">
        <v>0</v>
      </c>
      <c r="E29" s="1380"/>
      <c r="F29" s="1379">
        <v>0</v>
      </c>
      <c r="G29" s="1380"/>
      <c r="H29" s="1381">
        <f>+MAX(0,D29-F29)</f>
        <v>0</v>
      </c>
      <c r="I29" s="1382"/>
      <c r="J29" s="111"/>
    </row>
    <row r="30" spans="1:10" ht="21" customHeight="1" thickBot="1">
      <c r="A30" s="1370" t="s">
        <v>146</v>
      </c>
      <c r="B30" s="1001"/>
      <c r="C30" s="954"/>
      <c r="D30" s="1383">
        <f>SUM(D26:D29)</f>
        <v>0</v>
      </c>
      <c r="E30" s="1384"/>
      <c r="F30" s="1383">
        <f>SUM(F26:F29)</f>
        <v>0</v>
      </c>
      <c r="G30" s="1384"/>
      <c r="H30" s="1383">
        <f>SUM(H26:H29)</f>
        <v>0</v>
      </c>
      <c r="I30" s="1384"/>
      <c r="J30" s="22" t="s">
        <v>179</v>
      </c>
    </row>
    <row r="31" spans="1:10" ht="5.1" customHeight="1" thickBot="1">
      <c r="A31" s="1372"/>
      <c r="B31" s="855"/>
      <c r="C31" s="855"/>
      <c r="D31" s="855"/>
      <c r="E31" s="855"/>
      <c r="F31" s="855"/>
      <c r="G31" s="855"/>
      <c r="H31" s="855"/>
      <c r="I31" s="855"/>
      <c r="J31" s="855"/>
    </row>
    <row r="32" spans="1:10" ht="24" customHeight="1" thickBot="1">
      <c r="A32" s="1373" t="s">
        <v>114</v>
      </c>
      <c r="B32" s="1374"/>
      <c r="C32" s="1375"/>
      <c r="D32" s="1376"/>
      <c r="E32" s="1377"/>
      <c r="F32" s="1378"/>
      <c r="G32" s="1378"/>
      <c r="H32" s="1378"/>
      <c r="I32" s="1378"/>
      <c r="J32" s="1378"/>
    </row>
    <row r="33" spans="1:10" ht="5.1" customHeight="1" thickBot="1">
      <c r="A33" s="1387"/>
      <c r="B33" s="871"/>
      <c r="C33" s="871"/>
      <c r="D33" s="871"/>
      <c r="E33" s="871"/>
      <c r="F33" s="871"/>
      <c r="G33" s="871"/>
      <c r="H33" s="871"/>
      <c r="I33" s="871"/>
      <c r="J33" s="871"/>
    </row>
    <row r="34" spans="1:10" ht="15.95" customHeight="1">
      <c r="A34" s="1352"/>
      <c r="B34" s="976"/>
      <c r="C34" s="976"/>
      <c r="D34" s="976"/>
      <c r="E34" s="976"/>
      <c r="F34" s="1388"/>
      <c r="G34" s="1392" t="s">
        <v>186</v>
      </c>
      <c r="H34" s="1393"/>
      <c r="I34" s="1392" t="s">
        <v>194</v>
      </c>
      <c r="J34" s="1394"/>
    </row>
    <row r="35" spans="1:11" ht="21" customHeight="1">
      <c r="A35" s="21">
        <v>207</v>
      </c>
      <c r="B35" s="1205" t="s">
        <v>10</v>
      </c>
      <c r="C35" s="1205"/>
      <c r="D35" s="1205"/>
      <c r="E35" s="1205"/>
      <c r="F35" s="1206"/>
      <c r="G35" s="1253">
        <f>+SUM(D26:E29)</f>
        <v>0</v>
      </c>
      <c r="H35" s="959"/>
      <c r="I35" s="1391"/>
      <c r="J35" s="900"/>
      <c r="K35" s="724" t="str">
        <f>+IF(EXACT(G37,"LIMIT"),"Vaše hodnoty překračují limity této bezplatné šablony - viz list UVOD"," ")</f>
        <v xml:space="preserve"> </v>
      </c>
    </row>
    <row r="36" spans="1:11" ht="21" customHeight="1">
      <c r="A36" s="21">
        <v>208</v>
      </c>
      <c r="B36" s="1205" t="s">
        <v>3613</v>
      </c>
      <c r="C36" s="1205"/>
      <c r="D36" s="1205"/>
      <c r="E36" s="1205"/>
      <c r="F36" s="1206"/>
      <c r="G36" s="1253">
        <f>+G35-H30</f>
        <v>0</v>
      </c>
      <c r="H36" s="959"/>
      <c r="I36" s="1391"/>
      <c r="J36" s="900"/>
      <c r="K36" s="724" t="str">
        <f>+IF(EXACT(G37,"LIMIT"),"Neomezenou verzi této šablony zakoupíte zde:"," ")</f>
        <v xml:space="preserve"> </v>
      </c>
    </row>
    <row r="37" spans="1:59" s="98" customFormat="1" ht="21" customHeight="1" thickBot="1">
      <c r="A37" s="20">
        <v>209</v>
      </c>
      <c r="B37" s="1389" t="s">
        <v>150</v>
      </c>
      <c r="C37" s="1389"/>
      <c r="D37" s="1389"/>
      <c r="E37" s="1389"/>
      <c r="F37" s="1390"/>
      <c r="G37" s="1385">
        <f>IF(G35&gt;800000,T("LIMIT"),+G35-G36)</f>
        <v>0</v>
      </c>
      <c r="H37" s="984"/>
      <c r="I37" s="1386"/>
      <c r="J37" s="918"/>
      <c r="K37" s="725" t="str">
        <f>+IF(EXACT(G37,"LIMIT"),"http://business.center.cz/business/sablony/s3-priznani-k-dani-z-prijmu-fyzickych-osob.aspx"," ")</f>
        <v xml:space="preserve"> </v>
      </c>
      <c r="L37" s="99"/>
      <c r="M37" s="99"/>
      <c r="N37" s="99"/>
      <c r="O37" s="99"/>
      <c r="P37" s="99"/>
      <c r="Q37" s="99"/>
      <c r="R37" s="99"/>
      <c r="S37" s="99"/>
      <c r="T37" s="99"/>
      <c r="U37" s="99"/>
      <c r="V37" s="99"/>
      <c r="W37" s="99"/>
      <c r="X37" s="99"/>
      <c r="Y37" s="99"/>
      <c r="Z37" s="99"/>
      <c r="AA37" s="99"/>
      <c r="AB37" s="99"/>
      <c r="AC37" s="99"/>
      <c r="AD37" s="99"/>
      <c r="AE37" s="99"/>
      <c r="AF37" s="99"/>
      <c r="AG37" s="99"/>
      <c r="AH37" s="99"/>
      <c r="AI37" s="99"/>
      <c r="AJ37" s="99"/>
      <c r="AK37" s="99"/>
      <c r="AL37" s="99"/>
      <c r="AM37" s="99"/>
      <c r="AN37" s="99"/>
      <c r="AO37" s="99"/>
      <c r="AP37" s="99"/>
      <c r="AQ37" s="99"/>
      <c r="AR37" s="99"/>
      <c r="AS37" s="99"/>
      <c r="AT37" s="99"/>
      <c r="AU37" s="99"/>
      <c r="AV37" s="99"/>
      <c r="AW37" s="99"/>
      <c r="AX37" s="99"/>
      <c r="AY37" s="99"/>
      <c r="AZ37" s="99"/>
      <c r="BA37" s="99"/>
      <c r="BB37" s="99"/>
      <c r="BC37" s="99"/>
      <c r="BD37" s="99"/>
      <c r="BE37" s="99"/>
      <c r="BF37" s="99"/>
      <c r="BG37" s="99"/>
    </row>
    <row r="38" spans="1:10" ht="10.5" customHeight="1">
      <c r="A38" s="1408" t="s">
        <v>117</v>
      </c>
      <c r="B38" s="1227"/>
      <c r="C38" s="1227"/>
      <c r="D38" s="1227"/>
      <c r="E38" s="1227"/>
      <c r="F38" s="1227"/>
      <c r="G38" s="1227"/>
      <c r="H38" s="1227"/>
      <c r="I38" s="1227"/>
      <c r="J38" s="1227"/>
    </row>
    <row r="39" spans="1:10" ht="30" customHeight="1">
      <c r="A39" s="1409" t="s">
        <v>3614</v>
      </c>
      <c r="B39" s="1410"/>
      <c r="C39" s="1410"/>
      <c r="D39" s="1410"/>
      <c r="E39" s="1410"/>
      <c r="F39" s="1410"/>
      <c r="G39" s="1410"/>
      <c r="H39" s="1410"/>
      <c r="I39" s="1410"/>
      <c r="J39" s="1410"/>
    </row>
    <row r="40" spans="1:10" ht="12.75" customHeight="1">
      <c r="A40" s="1413" t="str">
        <f>+'DAP1'!A46</f>
        <v>Formulář zpracovala ASPEKT HM, daňová, účetní a auditorská kancelář, www.danovapriznani.cz, business.center.cz</v>
      </c>
      <c r="B40" s="1414"/>
      <c r="C40" s="1414"/>
      <c r="D40" s="1414"/>
      <c r="E40" s="1414"/>
      <c r="F40" s="1414"/>
      <c r="G40" s="1414"/>
      <c r="H40" s="1414"/>
      <c r="I40" s="1414"/>
      <c r="J40" s="1414"/>
    </row>
    <row r="41" spans="1:10" ht="12.75" customHeight="1">
      <c r="A41" s="1261" t="s">
        <v>3900</v>
      </c>
      <c r="B41" s="1261"/>
      <c r="C41" s="1261"/>
      <c r="D41" s="1261"/>
      <c r="E41" s="1261"/>
      <c r="F41" s="1261"/>
      <c r="G41" s="1261"/>
      <c r="H41" s="1261"/>
      <c r="I41" s="1261"/>
      <c r="J41" s="1261"/>
    </row>
    <row r="42" spans="1:10" ht="12" customHeight="1">
      <c r="A42" s="1259" t="s">
        <v>365</v>
      </c>
      <c r="B42" s="1259"/>
      <c r="C42" s="1259"/>
      <c r="D42" s="1259"/>
      <c r="E42" s="1259"/>
      <c r="F42" s="1259"/>
      <c r="G42" s="1259"/>
      <c r="H42" s="745"/>
      <c r="I42" s="745"/>
      <c r="J42" s="745"/>
    </row>
    <row r="43" spans="1:10" ht="12.75">
      <c r="A43" s="84"/>
      <c r="B43" s="84"/>
      <c r="C43" s="84"/>
      <c r="D43" s="84"/>
      <c r="E43" s="84"/>
      <c r="F43" s="84"/>
      <c r="G43" s="84"/>
      <c r="H43" s="84"/>
      <c r="I43" s="84"/>
      <c r="J43" s="84"/>
    </row>
    <row r="44" spans="1:10" ht="12.75">
      <c r="A44" s="84"/>
      <c r="B44" s="84"/>
      <c r="C44" s="84"/>
      <c r="D44" s="84"/>
      <c r="E44" s="84"/>
      <c r="F44" s="84"/>
      <c r="G44" s="84"/>
      <c r="H44" s="84"/>
      <c r="I44" s="84"/>
      <c r="J44" s="84"/>
    </row>
    <row r="45" spans="1:10" ht="12.75">
      <c r="A45" s="84"/>
      <c r="B45" s="84"/>
      <c r="C45" s="84"/>
      <c r="D45" s="84"/>
      <c r="E45" s="84"/>
      <c r="F45" s="84"/>
      <c r="G45" s="84"/>
      <c r="H45" s="84"/>
      <c r="I45" s="84"/>
      <c r="J45" s="84"/>
    </row>
    <row r="46" spans="1:10" ht="12.75">
      <c r="A46" s="84"/>
      <c r="B46" s="84"/>
      <c r="C46" s="84"/>
      <c r="D46" s="84"/>
      <c r="E46" s="84"/>
      <c r="F46" s="84"/>
      <c r="G46" s="84"/>
      <c r="H46" s="84"/>
      <c r="I46" s="84"/>
      <c r="J46" s="84"/>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pans="1:10" ht="12.75">
      <c r="A97" s="84"/>
      <c r="B97" s="84"/>
      <c r="C97" s="84"/>
      <c r="D97" s="84"/>
      <c r="E97" s="84"/>
      <c r="F97" s="84"/>
      <c r="G97" s="84"/>
      <c r="H97" s="84"/>
      <c r="I97" s="84"/>
      <c r="J97" s="84"/>
    </row>
    <row r="98" spans="1:10" ht="12.75">
      <c r="A98" s="84"/>
      <c r="B98" s="84"/>
      <c r="C98" s="84"/>
      <c r="D98" s="84"/>
      <c r="E98" s="84"/>
      <c r="F98" s="84"/>
      <c r="G98" s="84"/>
      <c r="H98" s="84"/>
      <c r="I98" s="84"/>
      <c r="J98" s="84"/>
    </row>
    <row r="99" spans="1:10" ht="12.75">
      <c r="A99" s="84"/>
      <c r="B99" s="84"/>
      <c r="C99" s="84"/>
      <c r="D99" s="84"/>
      <c r="E99" s="84"/>
      <c r="F99" s="84"/>
      <c r="G99" s="84"/>
      <c r="H99" s="84"/>
      <c r="I99" s="84"/>
      <c r="J99" s="84"/>
    </row>
    <row r="100" spans="1:10" ht="12.75">
      <c r="A100" s="84"/>
      <c r="B100" s="84"/>
      <c r="C100" s="84"/>
      <c r="D100" s="84"/>
      <c r="E100" s="84"/>
      <c r="F100" s="84"/>
      <c r="G100" s="84"/>
      <c r="H100" s="84"/>
      <c r="I100" s="84"/>
      <c r="J100" s="84"/>
    </row>
    <row r="101" spans="1:10" ht="12.75">
      <c r="A101" s="84"/>
      <c r="B101" s="84"/>
      <c r="C101" s="84"/>
      <c r="D101" s="84"/>
      <c r="E101" s="84"/>
      <c r="F101" s="84"/>
      <c r="G101" s="84"/>
      <c r="H101" s="84"/>
      <c r="I101" s="84"/>
      <c r="J101" s="84"/>
    </row>
    <row r="102" spans="1:10" ht="12.75">
      <c r="A102" s="84"/>
      <c r="B102" s="84"/>
      <c r="C102" s="84"/>
      <c r="D102" s="84"/>
      <c r="E102" s="84"/>
      <c r="F102" s="84"/>
      <c r="G102" s="84"/>
      <c r="H102" s="84"/>
      <c r="I102" s="84"/>
      <c r="J102" s="84"/>
    </row>
    <row r="103" spans="1:10" ht="12.75">
      <c r="A103" s="84"/>
      <c r="B103" s="84"/>
      <c r="C103" s="84"/>
      <c r="D103" s="84"/>
      <c r="E103" s="84"/>
      <c r="F103" s="84"/>
      <c r="G103" s="84"/>
      <c r="H103" s="84"/>
      <c r="I103" s="84"/>
      <c r="J103" s="84"/>
    </row>
    <row r="104" spans="1:10" ht="12.75">
      <c r="A104" s="84"/>
      <c r="B104" s="84"/>
      <c r="C104" s="84"/>
      <c r="D104" s="84"/>
      <c r="E104" s="84"/>
      <c r="F104" s="84"/>
      <c r="G104" s="84"/>
      <c r="H104" s="84"/>
      <c r="I104" s="84"/>
      <c r="J104" s="84"/>
    </row>
    <row r="105" spans="1:10" ht="12.75">
      <c r="A105" s="84"/>
      <c r="B105" s="84"/>
      <c r="C105" s="84"/>
      <c r="D105" s="84"/>
      <c r="E105" s="84"/>
      <c r="F105" s="84"/>
      <c r="G105" s="84"/>
      <c r="H105" s="84"/>
      <c r="I105" s="84"/>
      <c r="J105" s="84"/>
    </row>
    <row r="106" spans="1:10" ht="12.75">
      <c r="A106" s="84"/>
      <c r="B106" s="84"/>
      <c r="C106" s="84"/>
      <c r="D106" s="84"/>
      <c r="E106" s="84"/>
      <c r="F106" s="84"/>
      <c r="G106" s="84"/>
      <c r="H106" s="84"/>
      <c r="I106" s="84"/>
      <c r="J106" s="84"/>
    </row>
    <row r="107" spans="1:10" ht="12.75">
      <c r="A107" s="84"/>
      <c r="B107" s="84"/>
      <c r="C107" s="84"/>
      <c r="D107" s="84"/>
      <c r="E107" s="84"/>
      <c r="F107" s="84"/>
      <c r="G107" s="84"/>
      <c r="H107" s="84"/>
      <c r="I107" s="84"/>
      <c r="J107" s="84"/>
    </row>
    <row r="108" spans="1:10" ht="12.75">
      <c r="A108" s="84"/>
      <c r="B108" s="84"/>
      <c r="C108" s="84"/>
      <c r="D108" s="84"/>
      <c r="E108" s="84"/>
      <c r="F108" s="84"/>
      <c r="G108" s="84"/>
      <c r="H108" s="84"/>
      <c r="I108" s="84"/>
      <c r="J108" s="84"/>
    </row>
    <row r="109" spans="1:10" ht="12.75">
      <c r="A109" s="84"/>
      <c r="B109" s="84"/>
      <c r="C109" s="84"/>
      <c r="D109" s="84"/>
      <c r="E109" s="84"/>
      <c r="F109" s="84"/>
      <c r="G109" s="84"/>
      <c r="H109" s="84"/>
      <c r="I109" s="84"/>
      <c r="J109" s="84"/>
    </row>
    <row r="110" spans="1:10" ht="12.75">
      <c r="A110" s="84"/>
      <c r="B110" s="84"/>
      <c r="C110" s="84"/>
      <c r="D110" s="84"/>
      <c r="E110" s="84"/>
      <c r="F110" s="84"/>
      <c r="G110" s="84"/>
      <c r="H110" s="84"/>
      <c r="I110" s="84"/>
      <c r="J110" s="84"/>
    </row>
    <row r="111" spans="1:10" ht="12.75">
      <c r="A111" s="84"/>
      <c r="B111" s="84"/>
      <c r="C111" s="84"/>
      <c r="D111" s="84"/>
      <c r="E111" s="84"/>
      <c r="F111" s="84"/>
      <c r="G111" s="84"/>
      <c r="H111" s="84"/>
      <c r="I111" s="84"/>
      <c r="J111" s="84"/>
    </row>
    <row r="112" spans="1:10" ht="12.75">
      <c r="A112" s="84"/>
      <c r="B112" s="84"/>
      <c r="C112" s="84"/>
      <c r="D112" s="84"/>
      <c r="E112" s="84"/>
      <c r="F112" s="84"/>
      <c r="G112" s="84"/>
      <c r="H112" s="84"/>
      <c r="I112" s="84"/>
      <c r="J112" s="84"/>
    </row>
    <row r="113" spans="1:10" ht="12.75">
      <c r="A113" s="84"/>
      <c r="B113" s="84"/>
      <c r="C113" s="84"/>
      <c r="D113" s="84"/>
      <c r="E113" s="84"/>
      <c r="F113" s="84"/>
      <c r="G113" s="84"/>
      <c r="H113" s="84"/>
      <c r="I113" s="84"/>
      <c r="J113" s="84"/>
    </row>
    <row r="114" spans="1:10" ht="12.75">
      <c r="A114" s="84"/>
      <c r="B114" s="84"/>
      <c r="C114" s="84"/>
      <c r="D114" s="84"/>
      <c r="E114" s="84"/>
      <c r="F114" s="84"/>
      <c r="G114" s="84"/>
      <c r="H114" s="84"/>
      <c r="I114" s="84"/>
      <c r="J114" s="84"/>
    </row>
    <row r="115" spans="1:10" ht="12.75">
      <c r="A115" s="84"/>
      <c r="B115" s="84"/>
      <c r="C115" s="84"/>
      <c r="D115" s="84"/>
      <c r="E115" s="84"/>
      <c r="F115" s="84"/>
      <c r="G115" s="84"/>
      <c r="H115" s="84"/>
      <c r="I115" s="84"/>
      <c r="J115" s="84"/>
    </row>
    <row r="116" spans="1:10" ht="12.75">
      <c r="A116" s="84"/>
      <c r="B116" s="84"/>
      <c r="C116" s="84"/>
      <c r="D116" s="84"/>
      <c r="E116" s="84"/>
      <c r="F116" s="84"/>
      <c r="G116" s="84"/>
      <c r="H116" s="84"/>
      <c r="I116" s="84"/>
      <c r="J116" s="84"/>
    </row>
    <row r="117" spans="1:10" ht="12.75">
      <c r="A117" s="84"/>
      <c r="B117" s="84"/>
      <c r="C117" s="84"/>
      <c r="D117" s="84"/>
      <c r="E117" s="84"/>
      <c r="F117" s="84"/>
      <c r="G117" s="84"/>
      <c r="H117" s="84"/>
      <c r="I117" s="84"/>
      <c r="J117" s="84"/>
    </row>
    <row r="118" spans="1:10" ht="12.75">
      <c r="A118" s="84"/>
      <c r="B118" s="84"/>
      <c r="C118" s="84"/>
      <c r="D118" s="84"/>
      <c r="E118" s="84"/>
      <c r="F118" s="84"/>
      <c r="G118" s="84"/>
      <c r="H118" s="84"/>
      <c r="I118" s="84"/>
      <c r="J118" s="84"/>
    </row>
    <row r="119" spans="1:10" ht="12.75">
      <c r="A119" s="84"/>
      <c r="B119" s="84"/>
      <c r="C119" s="84"/>
      <c r="D119" s="84"/>
      <c r="E119" s="84"/>
      <c r="F119" s="84"/>
      <c r="G119" s="84"/>
      <c r="H119" s="84"/>
      <c r="I119" s="84"/>
      <c r="J119" s="84"/>
    </row>
    <row r="120" spans="1:10" ht="12.75">
      <c r="A120" s="84"/>
      <c r="B120" s="84"/>
      <c r="C120" s="84"/>
      <c r="D120" s="84"/>
      <c r="E120" s="84"/>
      <c r="F120" s="84"/>
      <c r="G120" s="84"/>
      <c r="H120" s="84"/>
      <c r="I120" s="84"/>
      <c r="J120" s="84"/>
    </row>
    <row r="121" spans="1:10" ht="12.75">
      <c r="A121" s="84"/>
      <c r="B121" s="84"/>
      <c r="C121" s="84"/>
      <c r="D121" s="84"/>
      <c r="E121" s="84"/>
      <c r="F121" s="84"/>
      <c r="G121" s="84"/>
      <c r="H121" s="84"/>
      <c r="I121" s="84"/>
      <c r="J121" s="84"/>
    </row>
    <row r="122" spans="1:10" ht="12.75">
      <c r="A122" s="84"/>
      <c r="B122" s="84"/>
      <c r="C122" s="84"/>
      <c r="D122" s="84"/>
      <c r="E122" s="84"/>
      <c r="F122" s="84"/>
      <c r="G122" s="84"/>
      <c r="H122" s="84"/>
      <c r="I122" s="84"/>
      <c r="J122" s="84"/>
    </row>
    <row r="123" spans="1:10" ht="12.75">
      <c r="A123" s="84"/>
      <c r="B123" s="84"/>
      <c r="C123" s="84"/>
      <c r="D123" s="84"/>
      <c r="E123" s="84"/>
      <c r="F123" s="84"/>
      <c r="G123" s="84"/>
      <c r="H123" s="84"/>
      <c r="I123" s="84"/>
      <c r="J123" s="84"/>
    </row>
    <row r="124" spans="1:10" ht="12.75">
      <c r="A124" s="84"/>
      <c r="B124" s="84"/>
      <c r="C124" s="84"/>
      <c r="D124" s="84"/>
      <c r="E124" s="84"/>
      <c r="F124" s="84"/>
      <c r="G124" s="84"/>
      <c r="H124" s="84"/>
      <c r="I124" s="84"/>
      <c r="J124" s="84"/>
    </row>
    <row r="125" spans="1:10" ht="12.75">
      <c r="A125" s="84"/>
      <c r="B125" s="84"/>
      <c r="C125" s="84"/>
      <c r="D125" s="84"/>
      <c r="E125" s="84"/>
      <c r="F125" s="84"/>
      <c r="G125" s="84"/>
      <c r="H125" s="84"/>
      <c r="I125" s="84"/>
      <c r="J125" s="84"/>
    </row>
    <row r="126" spans="1:10" ht="12.75">
      <c r="A126" s="84"/>
      <c r="B126" s="84"/>
      <c r="C126" s="84"/>
      <c r="D126" s="84"/>
      <c r="E126" s="84"/>
      <c r="F126" s="84"/>
      <c r="G126" s="84"/>
      <c r="H126" s="84"/>
      <c r="I126" s="84"/>
      <c r="J126" s="84"/>
    </row>
    <row r="127" spans="1:10" ht="12.75">
      <c r="A127" s="84"/>
      <c r="B127" s="84"/>
      <c r="C127" s="84"/>
      <c r="D127" s="84"/>
      <c r="E127" s="84"/>
      <c r="F127" s="84"/>
      <c r="G127" s="84"/>
      <c r="H127" s="84"/>
      <c r="I127" s="84"/>
      <c r="J127" s="84"/>
    </row>
    <row r="128" spans="1:10" ht="12.75">
      <c r="A128" s="84"/>
      <c r="B128" s="84"/>
      <c r="C128" s="84"/>
      <c r="D128" s="84"/>
      <c r="E128" s="84"/>
      <c r="F128" s="84"/>
      <c r="G128" s="84"/>
      <c r="H128" s="84"/>
      <c r="I128" s="84"/>
      <c r="J128" s="84"/>
    </row>
    <row r="129" spans="1:10" ht="12.75">
      <c r="A129" s="84"/>
      <c r="B129" s="84"/>
      <c r="C129" s="84"/>
      <c r="D129" s="84"/>
      <c r="E129" s="84"/>
      <c r="F129" s="84"/>
      <c r="G129" s="84"/>
      <c r="H129" s="84"/>
      <c r="I129" s="84"/>
      <c r="J129" s="84"/>
    </row>
    <row r="130" spans="1:10" ht="12.75">
      <c r="A130" s="84"/>
      <c r="B130" s="84"/>
      <c r="C130" s="84"/>
      <c r="D130" s="84"/>
      <c r="E130" s="84"/>
      <c r="F130" s="84"/>
      <c r="G130" s="84"/>
      <c r="H130" s="84"/>
      <c r="I130" s="84"/>
      <c r="J130" s="84"/>
    </row>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sheetData>
  <sheetProtection password="EF65" sheet="1" objects="1" scenarios="1"/>
  <mergeCells count="96">
    <mergeCell ref="I13:J13"/>
    <mergeCell ref="A21:J21"/>
    <mergeCell ref="A20:B20"/>
    <mergeCell ref="F20:G20"/>
    <mergeCell ref="C20:E20"/>
    <mergeCell ref="H20:J20"/>
    <mergeCell ref="B14:F14"/>
    <mergeCell ref="B15:F15"/>
    <mergeCell ref="B16:F16"/>
    <mergeCell ref="B13:F13"/>
    <mergeCell ref="G13:H13"/>
    <mergeCell ref="A42:J42"/>
    <mergeCell ref="A4:J4"/>
    <mergeCell ref="A38:J38"/>
    <mergeCell ref="A39:J39"/>
    <mergeCell ref="G11:H11"/>
    <mergeCell ref="I11:J11"/>
    <mergeCell ref="A40:J40"/>
    <mergeCell ref="F7:I7"/>
    <mergeCell ref="A10:J10"/>
    <mergeCell ref="A11:F11"/>
    <mergeCell ref="B12:F12"/>
    <mergeCell ref="A5:J5"/>
    <mergeCell ref="A6:J6"/>
    <mergeCell ref="G18:H18"/>
    <mergeCell ref="I18:J18"/>
    <mergeCell ref="A22:J22"/>
    <mergeCell ref="I1:J1"/>
    <mergeCell ref="G1:H1"/>
    <mergeCell ref="A1:F1"/>
    <mergeCell ref="A2:G2"/>
    <mergeCell ref="H2:J2"/>
    <mergeCell ref="A3:J3"/>
    <mergeCell ref="I36:J36"/>
    <mergeCell ref="A7:C7"/>
    <mergeCell ref="G12:H12"/>
    <mergeCell ref="I12:J12"/>
    <mergeCell ref="G16:H16"/>
    <mergeCell ref="I16:J16"/>
    <mergeCell ref="G14:H14"/>
    <mergeCell ref="I14:J14"/>
    <mergeCell ref="G15:H15"/>
    <mergeCell ref="I15:J15"/>
    <mergeCell ref="B17:F17"/>
    <mergeCell ref="B18:F18"/>
    <mergeCell ref="A19:J19"/>
    <mergeCell ref="G17:H17"/>
    <mergeCell ref="I17:J17"/>
    <mergeCell ref="A23:J23"/>
    <mergeCell ref="D26:E26"/>
    <mergeCell ref="D27:E27"/>
    <mergeCell ref="F24:G24"/>
    <mergeCell ref="F25:G25"/>
    <mergeCell ref="H26:I26"/>
    <mergeCell ref="H24:I24"/>
    <mergeCell ref="H25:I25"/>
    <mergeCell ref="F26:G26"/>
    <mergeCell ref="F27:G27"/>
    <mergeCell ref="H27:I27"/>
    <mergeCell ref="H30:I30"/>
    <mergeCell ref="F30:G30"/>
    <mergeCell ref="D30:E30"/>
    <mergeCell ref="G37:H37"/>
    <mergeCell ref="I37:J37"/>
    <mergeCell ref="A33:J33"/>
    <mergeCell ref="B35:F35"/>
    <mergeCell ref="A34:F34"/>
    <mergeCell ref="B37:F37"/>
    <mergeCell ref="G35:H35"/>
    <mergeCell ref="I35:J35"/>
    <mergeCell ref="B36:F36"/>
    <mergeCell ref="G36:H36"/>
    <mergeCell ref="G34:H34"/>
    <mergeCell ref="I34:J34"/>
    <mergeCell ref="D28:E28"/>
    <mergeCell ref="D29:E29"/>
    <mergeCell ref="F28:G28"/>
    <mergeCell ref="F29:G29"/>
    <mergeCell ref="H28:I28"/>
    <mergeCell ref="H29:I29"/>
    <mergeCell ref="A8:J8"/>
    <mergeCell ref="A9:I9"/>
    <mergeCell ref="A41:J41"/>
    <mergeCell ref="A24:C24"/>
    <mergeCell ref="A25:C25"/>
    <mergeCell ref="D24:E24"/>
    <mergeCell ref="D25:E25"/>
    <mergeCell ref="A30:C30"/>
    <mergeCell ref="B26:C26"/>
    <mergeCell ref="B27:C27"/>
    <mergeCell ref="B28:C28"/>
    <mergeCell ref="B29:C29"/>
    <mergeCell ref="A31:J31"/>
    <mergeCell ref="A32:B32"/>
    <mergeCell ref="C32:D32"/>
    <mergeCell ref="E32:J32"/>
  </mergeCells>
  <hyperlinks>
    <hyperlink ref="K18" r:id="rId1" display="http://business.center.cz/business/sablony/s3-priznani-k-dani-z-prijmu-fyzickych-osob.aspx"/>
    <hyperlink ref="K37" r:id="rId2"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r:id="rId5"/>
  <headerFooter alignWithMargins="0"/>
  <legacyDrawing r:id="rId4"/>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D00-000000000000}">
  <sheetPr codeName="List15">
    <tabColor rgb="FFFFCCFF"/>
    <pageSetUpPr fitToPage="1"/>
  </sheetPr>
  <dimension ref="A1:BH63"/>
  <sheetViews>
    <sheetView workbookViewId="0" topLeftCell="A1">
      <selection pane="topLeft" activeCell="F10" sqref="F10"/>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7" customFormat="1" ht="16.5" thickBot="1">
      <c r="A1" s="1219" t="s">
        <v>125</v>
      </c>
      <c r="B1" s="745"/>
      <c r="C1" s="745"/>
      <c r="D1" s="1405" t="s">
        <v>42</v>
      </c>
      <c r="E1" s="1444"/>
      <c r="F1" s="1247"/>
      <c r="G1" s="193" t="str">
        <f>+'2Př'!I1</f>
        <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218" t="s">
        <v>3901</v>
      </c>
      <c r="B2" s="1218"/>
      <c r="C2" s="1218"/>
      <c r="D2" s="1218"/>
      <c r="E2" s="1218"/>
      <c r="F2" s="1218"/>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207" t="s">
        <v>209</v>
      </c>
      <c r="B3" s="728"/>
      <c r="C3" s="728"/>
      <c r="D3" s="728"/>
      <c r="E3" s="728"/>
      <c r="F3" s="728"/>
      <c r="G3" s="728"/>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24" customHeight="1">
      <c r="A4" s="1445" t="s">
        <v>3615</v>
      </c>
      <c r="B4" s="1407"/>
      <c r="C4" s="1407"/>
      <c r="D4" s="1407"/>
      <c r="E4" s="1407"/>
      <c r="F4" s="1407"/>
      <c r="G4" s="1407"/>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24" customHeight="1">
      <c r="A5" s="1449" t="s">
        <v>217</v>
      </c>
      <c r="B5" s="1450"/>
      <c r="C5" s="1450"/>
      <c r="D5" s="1450"/>
      <c r="E5" s="1450"/>
      <c r="F5" s="1450"/>
      <c r="G5" s="1450"/>
    </row>
    <row r="6" spans="1:7" ht="36" customHeight="1">
      <c r="A6" s="1440" t="s">
        <v>3616</v>
      </c>
      <c r="B6" s="857"/>
      <c r="C6" s="857"/>
      <c r="D6" s="857"/>
      <c r="E6" s="857"/>
      <c r="F6" s="857"/>
      <c r="G6" s="857"/>
    </row>
    <row r="7" spans="1:7" ht="15" customHeight="1">
      <c r="A7" s="1440" t="s">
        <v>311</v>
      </c>
      <c r="B7" s="1156"/>
      <c r="C7" s="159"/>
      <c r="D7" s="1451"/>
      <c r="E7" s="857"/>
      <c r="F7" s="857"/>
      <c r="G7" s="857"/>
    </row>
    <row r="8" spans="1:7" ht="8.1" customHeight="1" thickBot="1">
      <c r="A8" s="1452"/>
      <c r="B8" s="1453"/>
      <c r="C8" s="1453"/>
      <c r="D8" s="1453"/>
      <c r="E8" s="1453"/>
      <c r="F8" s="1453"/>
      <c r="G8" s="1453"/>
    </row>
    <row r="9" spans="1:7" ht="15" customHeight="1">
      <c r="A9" s="1446"/>
      <c r="B9" s="1447"/>
      <c r="C9" s="1447"/>
      <c r="D9" s="1447"/>
      <c r="E9" s="1448"/>
      <c r="F9" s="86" t="s">
        <v>186</v>
      </c>
      <c r="G9" s="97" t="s">
        <v>194</v>
      </c>
    </row>
    <row r="10" spans="1:7" ht="24" customHeight="1">
      <c r="A10" s="50">
        <v>321</v>
      </c>
      <c r="B10" s="1431" t="s">
        <v>312</v>
      </c>
      <c r="C10" s="1431"/>
      <c r="D10" s="1431"/>
      <c r="E10" s="1432"/>
      <c r="F10" s="121">
        <v>0</v>
      </c>
      <c r="G10" s="75"/>
    </row>
    <row r="11" spans="1:7" ht="24" customHeight="1">
      <c r="A11" s="50">
        <v>322</v>
      </c>
      <c r="B11" s="1431" t="s">
        <v>313</v>
      </c>
      <c r="C11" s="1431"/>
      <c r="D11" s="1431"/>
      <c r="E11" s="1432"/>
      <c r="F11" s="121">
        <v>0</v>
      </c>
      <c r="G11" s="75"/>
    </row>
    <row r="12" spans="1:7" ht="24" customHeight="1">
      <c r="A12" s="50">
        <v>323</v>
      </c>
      <c r="B12" s="1431" t="s">
        <v>145</v>
      </c>
      <c r="C12" s="1431"/>
      <c r="D12" s="1431"/>
      <c r="E12" s="1432"/>
      <c r="F12" s="121">
        <v>0</v>
      </c>
      <c r="G12" s="75"/>
    </row>
    <row r="13" spans="1:7" ht="24" customHeight="1">
      <c r="A13" s="50">
        <v>324</v>
      </c>
      <c r="B13" s="1431" t="s">
        <v>54</v>
      </c>
      <c r="C13" s="1431"/>
      <c r="D13" s="1431"/>
      <c r="E13" s="1432"/>
      <c r="F13" s="301">
        <f>ROUND(+IF(+IF(IF('DAP2'!E18=0,0,(F10-F11)/'DAP2'!E18)&lt;0,0,IF('DAP2'!E18=0,0,(F10-F11)/'DAP2'!E18))&gt;1,1,+IF(IF('DAP2'!E18=0,0,(F10-F11)/'DAP2'!E18)&lt;0,0,IF('DAP2'!E18=0,0,(F10-F11)/'DAP2'!E18))),4)</f>
        <v>0</v>
      </c>
      <c r="G13" s="75"/>
    </row>
    <row r="14" spans="1:7" ht="24" customHeight="1">
      <c r="A14" s="50">
        <v>325</v>
      </c>
      <c r="B14" s="1431" t="s">
        <v>3761</v>
      </c>
      <c r="C14" s="1431"/>
      <c r="D14" s="1431"/>
      <c r="E14" s="1432"/>
      <c r="F14" s="334">
        <f>ROUND((+'DAP2'!F37+'DAP2'!F40)*'3Př'!F13,2)</f>
        <v>0</v>
      </c>
      <c r="G14" s="75"/>
    </row>
    <row r="15" spans="1:7" ht="24" customHeight="1" thickBot="1">
      <c r="A15" s="52">
        <v>326</v>
      </c>
      <c r="B15" s="1435" t="s">
        <v>181</v>
      </c>
      <c r="C15" s="1435"/>
      <c r="D15" s="1435"/>
      <c r="E15" s="1436"/>
      <c r="F15" s="335">
        <f>+MIN(F12,F14)</f>
        <v>0</v>
      </c>
      <c r="G15" s="95"/>
    </row>
    <row r="16" spans="1:7" ht="24" customHeight="1" thickBot="1">
      <c r="A16" s="91">
        <v>327</v>
      </c>
      <c r="B16" s="1442" t="s">
        <v>182</v>
      </c>
      <c r="C16" s="1442"/>
      <c r="D16" s="1442"/>
      <c r="E16" s="1443"/>
      <c r="F16" s="336">
        <f>+F12-F15</f>
        <v>0</v>
      </c>
      <c r="G16" s="96"/>
    </row>
    <row r="17" spans="1:7" ht="24" customHeight="1" thickBot="1">
      <c r="A17" s="91">
        <v>328</v>
      </c>
      <c r="B17" s="1442" t="s">
        <v>3617</v>
      </c>
      <c r="C17" s="1442"/>
      <c r="D17" s="1442"/>
      <c r="E17" s="1443"/>
      <c r="F17" s="337">
        <f>+F15+'3Př_a'!F17</f>
        <v>0</v>
      </c>
      <c r="G17" s="96"/>
    </row>
    <row r="18" spans="1:7" ht="24" customHeight="1" thickBot="1">
      <c r="A18" s="91">
        <v>329</v>
      </c>
      <c r="B18" s="1442" t="s">
        <v>3618</v>
      </c>
      <c r="C18" s="1442"/>
      <c r="D18" s="1442"/>
      <c r="E18" s="1443"/>
      <c r="F18" s="337">
        <f>+F16+'3Př_a'!F18</f>
        <v>0</v>
      </c>
      <c r="G18" s="96"/>
    </row>
    <row r="19" spans="1:7" ht="24" customHeight="1" thickBot="1">
      <c r="A19" s="1440"/>
      <c r="B19" s="857"/>
      <c r="C19" s="857"/>
      <c r="D19" s="857"/>
      <c r="E19" s="857"/>
      <c r="F19" s="857"/>
      <c r="G19" s="857"/>
    </row>
    <row r="20" spans="1:7" ht="24" customHeight="1" thickBot="1">
      <c r="A20" s="91">
        <v>330</v>
      </c>
      <c r="B20" s="1441" t="s">
        <v>3762</v>
      </c>
      <c r="C20" s="1442"/>
      <c r="D20" s="1442"/>
      <c r="E20" s="1443"/>
      <c r="F20" s="336">
        <f>+IF(F10&gt;0,'DAP2'!F37+'DAP2'!F40-F17,0)</f>
        <v>0</v>
      </c>
      <c r="G20" s="96"/>
    </row>
    <row r="21" spans="1:7" ht="300" customHeight="1">
      <c r="A21" s="944"/>
      <c r="B21" s="903"/>
      <c r="C21" s="903"/>
      <c r="D21" s="903"/>
      <c r="E21" s="903"/>
      <c r="F21" s="903"/>
      <c r="G21" s="903"/>
    </row>
    <row r="22" spans="1:7" ht="15.95" customHeight="1">
      <c r="A22" s="1439" t="str">
        <f>+'DAP1'!A46</f>
        <v>Formulář zpracovala ASPEKT HM, daňová, účetní a auditorská kancelář, www.danovapriznani.cz, business.center.cz</v>
      </c>
      <c r="B22" s="1439"/>
      <c r="C22" s="1439"/>
      <c r="D22" s="1439"/>
      <c r="E22" s="1439"/>
      <c r="F22" s="1439"/>
      <c r="G22" s="1439"/>
    </row>
    <row r="23" spans="1:60" s="186" customFormat="1" ht="12" customHeight="1">
      <c r="A23" s="1437" t="s">
        <v>3902</v>
      </c>
      <c r="B23" s="1438"/>
      <c r="C23" s="1438"/>
      <c r="D23" s="1438"/>
      <c r="E23" s="1438"/>
      <c r="F23" s="1438"/>
      <c r="G23" s="1438"/>
      <c r="H23" s="185"/>
      <c r="I23" s="185"/>
      <c r="J23" s="185"/>
      <c r="K23" s="185"/>
      <c r="L23" s="185"/>
      <c r="M23" s="185"/>
      <c r="N23" s="185"/>
      <c r="O23" s="185"/>
      <c r="P23" s="185"/>
      <c r="Q23" s="185"/>
      <c r="R23" s="185"/>
      <c r="S23" s="185"/>
      <c r="T23" s="185"/>
      <c r="U23" s="185"/>
      <c r="V23" s="185"/>
      <c r="W23" s="185"/>
      <c r="X23" s="185"/>
      <c r="Y23" s="185"/>
      <c r="Z23" s="185"/>
      <c r="AA23" s="185"/>
      <c r="AB23" s="185"/>
      <c r="AC23" s="185"/>
      <c r="AD23" s="185"/>
      <c r="AE23" s="185"/>
      <c r="AF23" s="185"/>
      <c r="AG23" s="185"/>
      <c r="AH23" s="185"/>
      <c r="AI23" s="185"/>
      <c r="AJ23" s="185"/>
      <c r="AK23" s="185"/>
      <c r="AL23" s="185"/>
      <c r="AM23" s="185"/>
      <c r="AN23" s="185"/>
      <c r="AO23" s="185"/>
      <c r="AP23" s="185"/>
      <c r="AQ23" s="185"/>
      <c r="AR23" s="185"/>
      <c r="AS23" s="185"/>
      <c r="AT23" s="185"/>
      <c r="AU23" s="185"/>
      <c r="AV23" s="185"/>
      <c r="AW23" s="185"/>
      <c r="AX23" s="185"/>
      <c r="AY23" s="185"/>
      <c r="AZ23" s="185"/>
      <c r="BA23" s="185"/>
      <c r="BB23" s="185"/>
      <c r="BC23" s="185"/>
      <c r="BD23" s="185"/>
      <c r="BE23" s="185"/>
      <c r="BF23" s="185"/>
      <c r="BG23" s="185"/>
      <c r="BH23" s="185"/>
    </row>
    <row r="24" spans="1:7" ht="12.75">
      <c r="A24" s="1433" t="s">
        <v>365</v>
      </c>
      <c r="B24" s="1433"/>
      <c r="C24" s="1433"/>
      <c r="D24" s="1433"/>
      <c r="E24" s="1434"/>
      <c r="F24" s="1434"/>
      <c r="G24" s="143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84" customFormat="1" ht="12.75"/>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thickBot="1"/>
  </sheetData>
  <sheetProtection password="EF65" sheet="1" objects="1" scenarios="1"/>
  <mergeCells count="26">
    <mergeCell ref="A9:E9"/>
    <mergeCell ref="A5:G5"/>
    <mergeCell ref="A6:G6"/>
    <mergeCell ref="A7:B7"/>
    <mergeCell ref="D7:G7"/>
    <mergeCell ref="A8:G8"/>
    <mergeCell ref="A1:C1"/>
    <mergeCell ref="A2:F2"/>
    <mergeCell ref="D1:F1"/>
    <mergeCell ref="A3:G3"/>
    <mergeCell ref="A4:G4"/>
    <mergeCell ref="B10:E10"/>
    <mergeCell ref="A24:G24"/>
    <mergeCell ref="B11:E11"/>
    <mergeCell ref="B12:E12"/>
    <mergeCell ref="B14:E14"/>
    <mergeCell ref="B15:E15"/>
    <mergeCell ref="A23:G23"/>
    <mergeCell ref="B13:E13"/>
    <mergeCell ref="A22:G22"/>
    <mergeCell ref="A21:G21"/>
    <mergeCell ref="A19:G19"/>
    <mergeCell ref="B20:E20"/>
    <mergeCell ref="B16:E16"/>
    <mergeCell ref="B17:E17"/>
    <mergeCell ref="B18:E18"/>
  </mergeCells>
  <printOptions horizontalCentered="1" verticalCentered="1"/>
  <pageMargins left="0.393700787401575" right="0.393700787401575" top="0.393700787401575" bottom="0.393700787401575" header="0.511811023622047" footer="0.511811023622047"/>
  <pageSetup orientation="portrait" paperSize="9" scale="96"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CCFF"/>
    <pageSetUpPr fitToPage="1"/>
  </sheetPr>
  <dimension ref="A1:BH64"/>
  <sheetViews>
    <sheetView workbookViewId="0" topLeftCell="A1">
      <selection pane="topLeft" activeCell="F16" sqref="F16"/>
    </sheetView>
  </sheetViews>
  <sheetFormatPr defaultRowHeight="12.75"/>
  <cols>
    <col min="1" max="1" width="5.71428571428571" customWidth="1"/>
    <col min="2" max="2" width="4.71428571428571" customWidth="1"/>
    <col min="3" max="3" width="11.7142857142857" customWidth="1"/>
    <col min="4" max="4" width="18.7142857142857" customWidth="1"/>
    <col min="5" max="5" width="11.7142857142857" customWidth="1"/>
    <col min="6" max="7" width="21.7142857142857" customWidth="1"/>
    <col min="8" max="60" width="9.14285714285714" style="84"/>
  </cols>
  <sheetData>
    <row r="1" spans="1:58" s="157" customFormat="1" ht="16.5" thickBot="1">
      <c r="A1" s="1219"/>
      <c r="B1" s="745"/>
      <c r="C1" s="745"/>
      <c r="D1" s="1405" t="s">
        <v>232</v>
      </c>
      <c r="E1" s="1444"/>
      <c r="F1" s="1247"/>
      <c r="G1" s="284">
        <v>1</v>
      </c>
      <c r="H1" s="84"/>
      <c r="I1" s="84"/>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c r="AN1" s="158"/>
      <c r="AO1" s="158"/>
      <c r="AP1" s="158"/>
      <c r="AQ1" s="158"/>
      <c r="AR1" s="158"/>
      <c r="AS1" s="158"/>
      <c r="AT1" s="158"/>
      <c r="AU1" s="158"/>
      <c r="AV1" s="158"/>
      <c r="AW1" s="158"/>
      <c r="AX1" s="158"/>
      <c r="AY1" s="158"/>
      <c r="AZ1" s="158"/>
      <c r="BA1" s="158"/>
      <c r="BB1" s="158"/>
      <c r="BC1" s="158"/>
      <c r="BD1" s="158"/>
      <c r="BE1" s="158"/>
      <c r="BF1" s="158"/>
    </row>
    <row r="2" spans="1:60" s="98" customFormat="1" ht="24" customHeight="1">
      <c r="A2" s="1218"/>
      <c r="B2" s="1218"/>
      <c r="C2" s="1218"/>
      <c r="D2" s="1218"/>
      <c r="E2" s="1218"/>
      <c r="F2" s="1218"/>
      <c r="G2" s="128"/>
      <c r="H2" s="84"/>
      <c r="I2" s="84"/>
      <c r="J2" s="99"/>
      <c r="K2" s="99"/>
      <c r="L2" s="99"/>
      <c r="M2" s="99"/>
      <c r="N2" s="99"/>
      <c r="O2" s="99"/>
      <c r="P2" s="99"/>
      <c r="Q2" s="99"/>
      <c r="R2" s="99"/>
      <c r="S2" s="99"/>
      <c r="T2" s="99"/>
      <c r="U2" s="99"/>
      <c r="V2" s="99"/>
      <c r="W2" s="99"/>
      <c r="X2" s="99"/>
      <c r="Y2" s="99"/>
      <c r="Z2" s="99"/>
      <c r="AA2" s="99"/>
      <c r="AB2" s="99"/>
      <c r="AC2" s="99"/>
      <c r="AD2" s="99"/>
      <c r="AE2" s="99"/>
      <c r="AF2" s="99"/>
      <c r="AG2" s="99"/>
      <c r="AH2" s="99"/>
      <c r="AI2" s="99"/>
      <c r="AJ2" s="99"/>
      <c r="AK2" s="99"/>
      <c r="AL2" s="99"/>
      <c r="AM2" s="99"/>
      <c r="AN2" s="99"/>
      <c r="AO2" s="99"/>
      <c r="AP2" s="99"/>
      <c r="AQ2" s="99"/>
      <c r="AR2" s="99"/>
      <c r="AS2" s="99"/>
      <c r="AT2" s="99"/>
      <c r="AU2" s="99"/>
      <c r="AV2" s="99"/>
      <c r="AW2" s="99"/>
      <c r="AX2" s="99"/>
      <c r="AY2" s="99"/>
      <c r="AZ2" s="99"/>
      <c r="BA2" s="99"/>
      <c r="BB2" s="99"/>
      <c r="BC2" s="99"/>
      <c r="BD2" s="99"/>
      <c r="BE2" s="99"/>
      <c r="BF2" s="99"/>
      <c r="BG2" s="99"/>
      <c r="BH2" s="99"/>
    </row>
    <row r="3" spans="1:60" s="98" customFormat="1" ht="36" customHeight="1">
      <c r="A3" s="1466" t="s">
        <v>233</v>
      </c>
      <c r="B3" s="1467"/>
      <c r="C3" s="1467"/>
      <c r="D3" s="1467"/>
      <c r="E3" s="1467"/>
      <c r="F3" s="1467"/>
      <c r="G3" s="1467"/>
      <c r="H3" s="84"/>
      <c r="I3" s="84"/>
      <c r="J3" s="99"/>
      <c r="K3" s="99"/>
      <c r="L3" s="99"/>
      <c r="M3" s="99"/>
      <c r="N3" s="99"/>
      <c r="O3" s="99"/>
      <c r="P3" s="99"/>
      <c r="Q3" s="99"/>
      <c r="R3" s="99"/>
      <c r="S3" s="99"/>
      <c r="T3" s="99"/>
      <c r="U3" s="99"/>
      <c r="V3" s="99"/>
      <c r="W3" s="99"/>
      <c r="X3" s="99"/>
      <c r="Y3" s="99"/>
      <c r="Z3" s="99"/>
      <c r="AA3" s="99"/>
      <c r="AB3" s="99"/>
      <c r="AC3" s="99"/>
      <c r="AD3" s="99"/>
      <c r="AE3" s="99"/>
      <c r="AF3" s="99"/>
      <c r="AG3" s="99"/>
      <c r="AH3" s="99"/>
      <c r="AI3" s="99"/>
      <c r="AJ3" s="99"/>
      <c r="AK3" s="99"/>
      <c r="AL3" s="99"/>
      <c r="AM3" s="99"/>
      <c r="AN3" s="99"/>
      <c r="AO3" s="99"/>
      <c r="AP3" s="99"/>
      <c r="AQ3" s="99"/>
      <c r="AR3" s="99"/>
      <c r="AS3" s="99"/>
      <c r="AT3" s="99"/>
      <c r="AU3" s="99"/>
      <c r="AV3" s="99"/>
      <c r="AW3" s="99"/>
      <c r="AX3" s="99"/>
      <c r="AY3" s="99"/>
      <c r="AZ3" s="99"/>
      <c r="BA3" s="99"/>
      <c r="BB3" s="99"/>
      <c r="BC3" s="99"/>
      <c r="BD3" s="99"/>
      <c r="BE3" s="99"/>
      <c r="BF3" s="99"/>
      <c r="BG3" s="99"/>
      <c r="BH3" s="99"/>
    </row>
    <row r="4" spans="1:60" s="157" customFormat="1" ht="18" customHeight="1">
      <c r="A4" s="1468" t="s">
        <v>235</v>
      </c>
      <c r="B4" s="1469"/>
      <c r="C4" s="1469"/>
      <c r="D4" s="1469"/>
      <c r="E4" s="1469"/>
      <c r="F4" s="1469"/>
      <c r="G4" s="1469"/>
      <c r="H4" s="158"/>
      <c r="I4" s="158"/>
      <c r="J4" s="158"/>
      <c r="K4" s="158"/>
      <c r="L4" s="158"/>
      <c r="M4" s="158"/>
      <c r="N4" s="158"/>
      <c r="O4" s="158"/>
      <c r="P4" s="158"/>
      <c r="Q4" s="158"/>
      <c r="R4" s="158"/>
      <c r="S4" s="158"/>
      <c r="T4" s="158"/>
      <c r="U4" s="158"/>
      <c r="V4" s="158"/>
      <c r="W4" s="158"/>
      <c r="X4" s="158"/>
      <c r="Y4" s="158"/>
      <c r="Z4" s="158"/>
      <c r="AA4" s="158"/>
      <c r="AB4" s="158"/>
      <c r="AC4" s="158"/>
      <c r="AD4" s="158"/>
      <c r="AE4" s="158"/>
      <c r="AF4" s="158"/>
      <c r="AG4" s="158"/>
      <c r="AH4" s="158"/>
      <c r="AI4" s="158"/>
      <c r="AJ4" s="158"/>
      <c r="AK4" s="158"/>
      <c r="AL4" s="158"/>
      <c r="AM4" s="158"/>
      <c r="AN4" s="158"/>
      <c r="AO4" s="158"/>
      <c r="AP4" s="158"/>
      <c r="AQ4" s="158"/>
      <c r="AR4" s="158"/>
      <c r="AS4" s="158"/>
      <c r="AT4" s="158"/>
      <c r="AU4" s="158"/>
      <c r="AV4" s="158"/>
      <c r="AW4" s="158"/>
      <c r="AX4" s="158"/>
      <c r="AY4" s="158"/>
      <c r="AZ4" s="158"/>
      <c r="BA4" s="158"/>
      <c r="BB4" s="158"/>
      <c r="BC4" s="158"/>
      <c r="BD4" s="158"/>
      <c r="BE4" s="158"/>
      <c r="BF4" s="158"/>
      <c r="BG4" s="158"/>
      <c r="BH4" s="158"/>
    </row>
    <row r="5" spans="1:7" ht="18" customHeight="1">
      <c r="A5" s="1470" t="s">
        <v>3813</v>
      </c>
      <c r="B5" s="1471"/>
      <c r="C5" s="1471"/>
      <c r="D5" s="1471"/>
      <c r="E5" s="1471"/>
      <c r="F5" s="1471"/>
      <c r="G5" s="1471"/>
    </row>
    <row r="6" spans="1:7" ht="18" customHeight="1">
      <c r="A6" s="1472" t="s">
        <v>138</v>
      </c>
      <c r="B6" s="1473"/>
      <c r="C6" s="1473"/>
      <c r="D6" s="1473"/>
      <c r="E6" s="1473"/>
      <c r="F6" s="1473"/>
      <c r="G6" s="1473"/>
    </row>
    <row r="7" spans="1:7" ht="18" customHeight="1">
      <c r="A7" s="1454"/>
      <c r="B7" s="1455"/>
      <c r="C7" s="1455"/>
      <c r="D7" s="1455"/>
      <c r="E7" s="1455"/>
      <c r="F7" s="1455"/>
      <c r="G7" s="1455"/>
    </row>
    <row r="8" spans="1:7" ht="24" customHeight="1">
      <c r="A8" s="1440" t="s">
        <v>3812</v>
      </c>
      <c r="B8" s="1156"/>
      <c r="C8" s="159"/>
      <c r="D8" s="1451"/>
      <c r="E8" s="857"/>
      <c r="F8" s="857"/>
      <c r="G8" s="857"/>
    </row>
    <row r="9" spans="1:7" ht="8.1" customHeight="1" thickBot="1">
      <c r="A9" s="1452"/>
      <c r="B9" s="1453"/>
      <c r="C9" s="1453"/>
      <c r="D9" s="1453"/>
      <c r="E9" s="1453"/>
      <c r="F9" s="1453"/>
      <c r="G9" s="1453"/>
    </row>
    <row r="10" spans="1:7" ht="15" customHeight="1">
      <c r="A10" s="1461"/>
      <c r="B10" s="855"/>
      <c r="C10" s="855"/>
      <c r="D10" s="855"/>
      <c r="E10" s="1462"/>
      <c r="F10" s="1464" t="s">
        <v>319</v>
      </c>
      <c r="G10" s="1465"/>
    </row>
    <row r="11" spans="1:7" ht="15" customHeight="1">
      <c r="A11" s="1463"/>
      <c r="B11" s="795"/>
      <c r="C11" s="795"/>
      <c r="D11" s="795"/>
      <c r="E11" s="796"/>
      <c r="F11" s="86" t="s">
        <v>186</v>
      </c>
      <c r="G11" s="97" t="s">
        <v>194</v>
      </c>
    </row>
    <row r="12" spans="1:7" ht="24" customHeight="1">
      <c r="A12" s="281">
        <v>321</v>
      </c>
      <c r="B12" s="1431" t="s">
        <v>312</v>
      </c>
      <c r="C12" s="1431"/>
      <c r="D12" s="1431"/>
      <c r="E12" s="1432"/>
      <c r="F12" s="121">
        <v>0</v>
      </c>
      <c r="G12" s="75"/>
    </row>
    <row r="13" spans="1:7" ht="24" customHeight="1">
      <c r="A13" s="281">
        <v>322</v>
      </c>
      <c r="B13" s="1431" t="s">
        <v>313</v>
      </c>
      <c r="C13" s="1431"/>
      <c r="D13" s="1431"/>
      <c r="E13" s="1432"/>
      <c r="F13" s="121">
        <v>0</v>
      </c>
      <c r="G13" s="75"/>
    </row>
    <row r="14" spans="1:7" ht="24" customHeight="1">
      <c r="A14" s="281">
        <v>323</v>
      </c>
      <c r="B14" s="1431" t="s">
        <v>145</v>
      </c>
      <c r="C14" s="1431"/>
      <c r="D14" s="1431"/>
      <c r="E14" s="1432"/>
      <c r="F14" s="121">
        <v>0</v>
      </c>
      <c r="G14" s="75"/>
    </row>
    <row r="15" spans="1:7" ht="24" customHeight="1">
      <c r="A15" s="281">
        <v>324</v>
      </c>
      <c r="B15" s="1431" t="s">
        <v>54</v>
      </c>
      <c r="C15" s="1431"/>
      <c r="D15" s="1431"/>
      <c r="E15" s="1432"/>
      <c r="F15" s="187">
        <f>ROUND(+IF(+IF(IF('DAP2'!E18=0,0,(F12-F13)/'DAP2'!E18)&lt;0,0,IF('DAP2'!E18=0,0,(F12-F13)/'DAP2'!E18))&gt;1,1,+IF(IF('DAP2'!E18=0,0,(F12-F13)/'DAP2'!E18)&lt;0,0,IF('DAP2'!E18=0,0,(F12-F13)/'DAP2'!E18))),4)</f>
        <v>0</v>
      </c>
      <c r="G15" s="75"/>
    </row>
    <row r="16" spans="1:7" ht="24" customHeight="1">
      <c r="A16" s="281">
        <v>325</v>
      </c>
      <c r="B16" s="1431" t="s">
        <v>3814</v>
      </c>
      <c r="C16" s="1431"/>
      <c r="D16" s="1431"/>
      <c r="E16" s="1432"/>
      <c r="F16" s="334">
        <f>ROUND((+'DAP2'!F37+'DAP2'!F40)*F15,2)</f>
        <v>0</v>
      </c>
      <c r="G16" s="75"/>
    </row>
    <row r="17" spans="1:7" ht="24" customHeight="1" thickBot="1">
      <c r="A17" s="282">
        <v>326</v>
      </c>
      <c r="B17" s="1435" t="s">
        <v>181</v>
      </c>
      <c r="C17" s="1435"/>
      <c r="D17" s="1435"/>
      <c r="E17" s="1436"/>
      <c r="F17" s="335">
        <f>+MIN(F14,F16)</f>
        <v>0</v>
      </c>
      <c r="G17" s="95"/>
    </row>
    <row r="18" spans="1:7" ht="24" customHeight="1" thickBot="1">
      <c r="A18" s="283">
        <v>327</v>
      </c>
      <c r="B18" s="1459" t="s">
        <v>3816</v>
      </c>
      <c r="C18" s="1459"/>
      <c r="D18" s="1459"/>
      <c r="E18" s="1460"/>
      <c r="F18" s="336">
        <f>+F14-F17</f>
        <v>0</v>
      </c>
      <c r="G18" s="96"/>
    </row>
    <row r="19" spans="1:7" ht="24" customHeight="1">
      <c r="A19" s="1456" t="s">
        <v>3619</v>
      </c>
      <c r="B19" s="1457"/>
      <c r="C19" s="1457"/>
      <c r="D19" s="1457"/>
      <c r="E19" s="1457"/>
      <c r="F19" s="1457"/>
      <c r="G19" s="1457"/>
    </row>
    <row r="20" spans="1:7" ht="330" customHeight="1">
      <c r="A20" s="1458"/>
      <c r="B20" s="888"/>
      <c r="C20" s="888"/>
      <c r="D20" s="888"/>
      <c r="E20" s="888"/>
      <c r="F20" s="888"/>
      <c r="G20" s="888"/>
    </row>
    <row r="21" spans="1:7" ht="15.95" customHeight="1">
      <c r="A21" s="1439" t="str">
        <f>+'DAP1'!A46</f>
        <v>Formulář zpracovala ASPEKT HM, daňová, účetní a auditorská kancelář, www.danovapriznani.cz, business.center.cz</v>
      </c>
      <c r="B21" s="1439"/>
      <c r="C21" s="1439"/>
      <c r="D21" s="1439"/>
      <c r="E21" s="1439"/>
      <c r="F21" s="1439"/>
      <c r="G21" s="1439"/>
    </row>
    <row r="22" spans="1:60" s="186" customFormat="1" ht="12" customHeight="1">
      <c r="A22" s="1437" t="s">
        <v>3815</v>
      </c>
      <c r="B22" s="1438"/>
      <c r="C22" s="1438"/>
      <c r="D22" s="1438"/>
      <c r="E22" s="1438"/>
      <c r="F22" s="1438"/>
      <c r="G22" s="1438"/>
      <c r="H22" s="185"/>
      <c r="I22" s="185"/>
      <c r="J22" s="185"/>
      <c r="K22" s="185"/>
      <c r="L22" s="185"/>
      <c r="M22" s="185"/>
      <c r="N22" s="185"/>
      <c r="O22" s="185"/>
      <c r="P22" s="185"/>
      <c r="Q22" s="185"/>
      <c r="R22" s="185"/>
      <c r="S22" s="185"/>
      <c r="T22" s="185"/>
      <c r="U22" s="185"/>
      <c r="V22" s="185"/>
      <c r="W22" s="185"/>
      <c r="X22" s="185"/>
      <c r="Y22" s="185"/>
      <c r="Z22" s="185"/>
      <c r="AA22" s="185"/>
      <c r="AB22" s="185"/>
      <c r="AC22" s="185"/>
      <c r="AD22" s="185"/>
      <c r="AE22" s="185"/>
      <c r="AF22" s="185"/>
      <c r="AG22" s="185"/>
      <c r="AH22" s="185"/>
      <c r="AI22" s="185"/>
      <c r="AJ22" s="185"/>
      <c r="AK22" s="185"/>
      <c r="AL22" s="185"/>
      <c r="AM22" s="185"/>
      <c r="AN22" s="185"/>
      <c r="AO22" s="185"/>
      <c r="AP22" s="185"/>
      <c r="AQ22" s="185"/>
      <c r="AR22" s="185"/>
      <c r="AS22" s="185"/>
      <c r="AT22" s="185"/>
      <c r="AU22" s="185"/>
      <c r="AV22" s="185"/>
      <c r="AW22" s="185"/>
      <c r="AX22" s="185"/>
      <c r="AY22" s="185"/>
      <c r="AZ22" s="185"/>
      <c r="BA22" s="185"/>
      <c r="BB22" s="185"/>
      <c r="BC22" s="185"/>
      <c r="BD22" s="185"/>
      <c r="BE22" s="185"/>
      <c r="BF22" s="185"/>
      <c r="BG22" s="185"/>
      <c r="BH22" s="185"/>
    </row>
    <row r="23" spans="1:7" ht="12.75">
      <c r="A23" s="1433" t="s">
        <v>365</v>
      </c>
      <c r="B23" s="1433"/>
      <c r="C23" s="1433"/>
      <c r="D23" s="1433"/>
      <c r="E23" s="1434"/>
      <c r="F23" s="1434"/>
      <c r="G23" s="1434"/>
    </row>
    <row r="24" spans="1:7" ht="12.75">
      <c r="A24" s="84"/>
      <c r="B24" s="84"/>
      <c r="C24" s="84"/>
      <c r="D24" s="84"/>
      <c r="E24" s="84"/>
      <c r="F24" s="84"/>
      <c r="G24" s="84"/>
    </row>
    <row r="25" spans="1:7" ht="12.75">
      <c r="A25" s="84"/>
      <c r="B25" s="84"/>
      <c r="C25" s="84"/>
      <c r="D25" s="84"/>
      <c r="E25" s="84"/>
      <c r="F25" s="84"/>
      <c r="G25" s="84"/>
    </row>
    <row r="26" spans="1:7" ht="12.75">
      <c r="A26" s="84"/>
      <c r="B26" s="84"/>
      <c r="C26" s="84"/>
      <c r="D26" s="84"/>
      <c r="E26" s="84"/>
      <c r="F26" s="84"/>
      <c r="G26" s="84"/>
    </row>
    <row r="27" spans="1:7" ht="12.75">
      <c r="A27" s="84"/>
      <c r="B27" s="84"/>
      <c r="C27" s="84"/>
      <c r="D27" s="84"/>
      <c r="E27" s="84"/>
      <c r="F27" s="84"/>
      <c r="G27" s="84"/>
    </row>
    <row r="28" spans="1:7" ht="12.75">
      <c r="A28" s="84"/>
      <c r="B28" s="84"/>
      <c r="C28" s="84"/>
      <c r="D28" s="84"/>
      <c r="E28" s="84"/>
      <c r="F28" s="84"/>
      <c r="G28" s="84"/>
    </row>
    <row r="29" spans="1:7" ht="12.75">
      <c r="A29" s="84"/>
      <c r="B29" s="84"/>
      <c r="C29" s="84"/>
      <c r="D29" s="84"/>
      <c r="E29" s="84"/>
      <c r="F29" s="84"/>
      <c r="G29" s="84"/>
    </row>
    <row r="30" spans="1:7" ht="12.75">
      <c r="A30" s="84"/>
      <c r="B30" s="84"/>
      <c r="C30" s="84"/>
      <c r="D30" s="84"/>
      <c r="E30" s="84"/>
      <c r="F30" s="84"/>
      <c r="G30" s="84"/>
    </row>
    <row r="31" spans="1:7" ht="12.75">
      <c r="A31" s="84"/>
      <c r="B31" s="84"/>
      <c r="C31" s="84"/>
      <c r="D31" s="84"/>
      <c r="E31" s="84"/>
      <c r="F31" s="84"/>
      <c r="G31" s="84"/>
    </row>
    <row r="32" spans="1:7" ht="12.75">
      <c r="A32" s="84"/>
      <c r="B32" s="84"/>
      <c r="C32" s="84"/>
      <c r="D32" s="84"/>
      <c r="E32" s="84"/>
      <c r="F32" s="84"/>
      <c r="G32" s="84"/>
    </row>
    <row r="33" spans="1:7" ht="12.75">
      <c r="A33" s="84"/>
      <c r="B33" s="84"/>
      <c r="C33" s="84"/>
      <c r="D33" s="84"/>
      <c r="E33" s="84"/>
      <c r="F33" s="84"/>
      <c r="G33" s="84"/>
    </row>
    <row r="34" spans="1:7" ht="12.75">
      <c r="A34" s="84"/>
      <c r="B34" s="84"/>
      <c r="C34" s="84"/>
      <c r="D34" s="84"/>
      <c r="E34" s="84"/>
      <c r="F34" s="84"/>
      <c r="G34" s="84"/>
    </row>
    <row r="35" spans="1:7" ht="12.75">
      <c r="A35" s="84"/>
      <c r="B35" s="84"/>
      <c r="C35" s="84"/>
      <c r="D35" s="84"/>
      <c r="E35" s="84"/>
      <c r="F35" s="84"/>
      <c r="G35" s="84"/>
    </row>
    <row r="36" spans="1:7" ht="12.75">
      <c r="A36" s="84"/>
      <c r="B36" s="84"/>
      <c r="C36" s="84"/>
      <c r="D36" s="84"/>
      <c r="E36" s="84"/>
      <c r="F36" s="84"/>
      <c r="G36" s="84"/>
    </row>
    <row r="37" spans="1:7" ht="12.75">
      <c r="A37" s="84"/>
      <c r="B37" s="84"/>
      <c r="C37" s="84"/>
      <c r="D37" s="84"/>
      <c r="E37" s="84"/>
      <c r="F37" s="84"/>
      <c r="G37" s="84"/>
    </row>
    <row r="38" spans="1:7" ht="12.75">
      <c r="A38" s="84"/>
      <c r="B38" s="84"/>
      <c r="C38" s="84"/>
      <c r="D38" s="84"/>
      <c r="E38" s="84"/>
      <c r="F38" s="84"/>
      <c r="G38" s="84"/>
    </row>
    <row r="39" spans="1:7" ht="12.75">
      <c r="A39" s="84"/>
      <c r="B39" s="84"/>
      <c r="C39" s="84"/>
      <c r="D39" s="84"/>
      <c r="E39" s="84"/>
      <c r="F39" s="84"/>
      <c r="G39" s="84"/>
    </row>
    <row r="40" spans="1:7" ht="12.75">
      <c r="A40" s="84"/>
      <c r="B40" s="84"/>
      <c r="C40" s="84"/>
      <c r="D40" s="84"/>
      <c r="E40" s="84"/>
      <c r="F40" s="84"/>
      <c r="G40" s="84"/>
    </row>
    <row r="41" spans="1:7" ht="12.75">
      <c r="A41" s="84"/>
      <c r="B41" s="84"/>
      <c r="C41" s="84"/>
      <c r="D41" s="84"/>
      <c r="E41" s="84"/>
      <c r="F41" s="84"/>
      <c r="G41" s="84"/>
    </row>
    <row r="42" spans="1:7" ht="12.75">
      <c r="A42" s="84"/>
      <c r="B42" s="84"/>
      <c r="C42" s="84"/>
      <c r="D42" s="84"/>
      <c r="E42" s="84"/>
      <c r="F42" s="84"/>
      <c r="G42" s="84"/>
    </row>
    <row r="43" spans="1:7" ht="12.75">
      <c r="A43" s="84"/>
      <c r="B43" s="84"/>
      <c r="C43" s="84"/>
      <c r="D43" s="84"/>
      <c r="E43" s="84"/>
      <c r="F43" s="84"/>
      <c r="G43" s="84"/>
    </row>
    <row r="44" spans="1:7" ht="12.75">
      <c r="A44" s="84"/>
      <c r="B44" s="84"/>
      <c r="C44" s="84"/>
      <c r="D44" s="84"/>
      <c r="E44" s="84"/>
      <c r="F44" s="84"/>
      <c r="G44" s="84"/>
    </row>
    <row r="45" spans="1:7" ht="12.75">
      <c r="A45" s="84"/>
      <c r="B45" s="84"/>
      <c r="C45" s="84"/>
      <c r="D45" s="84"/>
      <c r="E45" s="84"/>
      <c r="F45" s="84"/>
      <c r="G45" s="84"/>
    </row>
    <row r="46" spans="1:7" ht="12.75">
      <c r="A46" s="84"/>
      <c r="B46" s="84"/>
      <c r="C46" s="84"/>
      <c r="D46" s="84"/>
      <c r="E46" s="84"/>
      <c r="F46" s="84"/>
      <c r="G46" s="84"/>
    </row>
    <row r="47" spans="1:7" ht="12.75">
      <c r="A47" s="84"/>
      <c r="B47" s="84"/>
      <c r="C47" s="84"/>
      <c r="D47" s="84"/>
      <c r="E47" s="84"/>
      <c r="F47" s="84"/>
      <c r="G47" s="84"/>
    </row>
    <row r="48" spans="1:7" ht="12.75">
      <c r="A48" s="84"/>
      <c r="B48" s="84"/>
      <c r="C48" s="84"/>
      <c r="D48" s="84"/>
      <c r="E48" s="84"/>
      <c r="F48" s="84"/>
      <c r="G48" s="84"/>
    </row>
    <row r="49" spans="1:7" ht="12.75">
      <c r="A49" s="84"/>
      <c r="B49" s="84"/>
      <c r="C49" s="84"/>
      <c r="D49" s="84"/>
      <c r="E49" s="84"/>
      <c r="F49" s="84"/>
      <c r="G49" s="84"/>
    </row>
    <row r="50" spans="1:7" ht="12.75">
      <c r="A50" s="84"/>
      <c r="B50" s="84"/>
      <c r="C50" s="84"/>
      <c r="D50" s="84"/>
      <c r="E50" s="84"/>
      <c r="F50" s="84"/>
      <c r="G50" s="84"/>
    </row>
    <row r="51" spans="1:7" ht="12.75">
      <c r="A51" s="84"/>
      <c r="B51" s="84"/>
      <c r="C51" s="84"/>
      <c r="D51" s="84"/>
      <c r="E51" s="84"/>
      <c r="F51" s="84"/>
      <c r="G51" s="84"/>
    </row>
    <row r="52" spans="1:7" ht="12.75">
      <c r="A52" s="84"/>
      <c r="B52" s="84"/>
      <c r="C52" s="84"/>
      <c r="D52" s="84"/>
      <c r="E52" s="84"/>
      <c r="F52" s="84"/>
      <c r="G52" s="84"/>
    </row>
    <row r="53" spans="1:7" ht="12.75">
      <c r="A53" s="84"/>
      <c r="B53" s="84"/>
      <c r="C53" s="84"/>
      <c r="D53" s="84"/>
      <c r="E53" s="84"/>
      <c r="F53" s="84"/>
      <c r="G53" s="84"/>
    </row>
    <row r="54" spans="1:7" ht="12.75">
      <c r="A54" s="84"/>
      <c r="B54" s="84"/>
      <c r="C54" s="84"/>
      <c r="D54" s="84"/>
      <c r="E54" s="84"/>
      <c r="F54" s="84"/>
      <c r="G54" s="84"/>
    </row>
    <row r="55" spans="1:7" ht="12.75">
      <c r="A55" s="84"/>
      <c r="B55" s="84"/>
      <c r="C55" s="84"/>
      <c r="D55" s="84"/>
      <c r="E55" s="84"/>
      <c r="F55" s="84"/>
      <c r="G55" s="84"/>
    </row>
    <row r="56" spans="1:7" ht="12.75">
      <c r="A56" s="84"/>
      <c r="B56" s="84"/>
      <c r="C56" s="84"/>
      <c r="D56" s="84"/>
      <c r="E56" s="84"/>
      <c r="F56" s="84"/>
      <c r="G56" s="84"/>
    </row>
    <row r="57" spans="1:7" ht="12.75">
      <c r="A57" s="84"/>
      <c r="B57" s="84"/>
      <c r="C57" s="84"/>
      <c r="D57" s="84"/>
      <c r="E57" s="84"/>
      <c r="F57" s="84"/>
      <c r="G57" s="84"/>
    </row>
    <row r="58" spans="1:7" ht="12.75">
      <c r="A58" s="84"/>
      <c r="B58" s="84"/>
      <c r="C58" s="84"/>
      <c r="D58" s="84"/>
      <c r="E58" s="84"/>
      <c r="F58" s="84"/>
      <c r="G58" s="84"/>
    </row>
    <row r="59" spans="1:7" ht="12.75">
      <c r="A59" s="84"/>
      <c r="B59" s="84"/>
      <c r="C59" s="84"/>
      <c r="D59" s="84"/>
      <c r="E59" s="84"/>
      <c r="F59" s="84"/>
      <c r="G59" s="84"/>
    </row>
    <row r="60" spans="1:7" ht="12.75">
      <c r="A60" s="84"/>
      <c r="B60" s="84"/>
      <c r="C60" s="84"/>
      <c r="D60" s="84"/>
      <c r="E60" s="84"/>
      <c r="F60" s="84"/>
      <c r="G60" s="84"/>
    </row>
    <row r="61" spans="1:7" ht="12.75">
      <c r="A61" s="84"/>
      <c r="B61" s="84"/>
      <c r="C61" s="84"/>
      <c r="D61" s="84"/>
      <c r="E61" s="84"/>
      <c r="F61" s="84"/>
      <c r="G61" s="84"/>
    </row>
    <row r="62" spans="1:7" ht="12.75">
      <c r="A62" s="84"/>
      <c r="B62" s="84"/>
      <c r="C62" s="84"/>
      <c r="D62" s="84"/>
      <c r="E62" s="84"/>
      <c r="F62" s="84"/>
      <c r="G62" s="84"/>
    </row>
    <row r="63" spans="1:7" ht="12.75">
      <c r="A63" s="84"/>
      <c r="B63" s="84"/>
      <c r="C63" s="84"/>
      <c r="D63" s="84"/>
      <c r="E63" s="84"/>
      <c r="F63" s="84"/>
      <c r="G63" s="84"/>
    </row>
    <row r="64" spans="1:7" ht="12.75">
      <c r="A64" s="84"/>
      <c r="B64" s="84"/>
      <c r="C64" s="84"/>
      <c r="D64" s="84"/>
      <c r="E64" s="84"/>
      <c r="F64" s="84"/>
      <c r="G64" s="84"/>
    </row>
    <row r="65" s="84" customFormat="1" ht="12.75"/>
    <row r="66" s="84" customFormat="1" ht="12.75"/>
    <row r="67" s="84" customFormat="1" ht="12.75"/>
    <row r="68" s="84" customFormat="1" ht="12.75"/>
    <row r="69" s="84" customFormat="1" ht="12.75"/>
    <row r="70" s="84" customFormat="1" ht="12.75"/>
    <row r="71" s="84" customFormat="1" ht="12.75"/>
    <row r="72" s="84" customFormat="1" ht="12.75"/>
    <row r="73" s="84" customFormat="1" ht="12.75"/>
    <row r="74" s="84" customFormat="1" ht="12.75"/>
    <row r="75" s="84" customFormat="1" ht="12.75"/>
    <row r="76" s="84" customFormat="1" ht="12.75"/>
    <row r="77" s="84" customFormat="1" ht="12.75"/>
    <row r="78" s="84" customFormat="1" ht="12.75"/>
    <row r="79" s="84" customFormat="1" ht="12.75"/>
    <row r="80" s="84" customFormat="1" ht="12.75"/>
    <row r="81" s="84" customFormat="1" ht="12.75"/>
    <row r="82" s="84" customFormat="1" ht="12.75"/>
    <row r="83" s="84" customFormat="1" ht="12.75"/>
    <row r="84" s="84" customFormat="1" ht="12.75"/>
    <row r="85" s="84" customFormat="1" ht="12.75"/>
    <row r="86" s="84" customFormat="1" ht="12.75"/>
    <row r="87" s="84" customFormat="1" ht="12.75"/>
    <row r="88" s="84" customFormat="1" ht="12.75"/>
    <row r="89" s="84" customFormat="1" ht="12.75"/>
    <row r="90" s="84" customFormat="1" ht="12.75"/>
    <row r="91" s="84" customFormat="1" ht="12.75"/>
    <row r="92" s="84" customFormat="1" ht="12.75"/>
    <row r="93" s="84" customFormat="1" ht="12.75"/>
    <row r="94" s="84" customFormat="1" ht="12.75"/>
    <row r="95" s="84" customFormat="1" ht="12.75"/>
    <row r="96" s="84" customFormat="1" ht="12.75"/>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thickBot="1"/>
  </sheetData>
  <sheetProtection password="EF65" sheet="1" objects="1" scenarios="1"/>
  <mergeCells count="25">
    <mergeCell ref="A1:C1"/>
    <mergeCell ref="D1:F1"/>
    <mergeCell ref="A2:F2"/>
    <mergeCell ref="A3:G3"/>
    <mergeCell ref="B15:E15"/>
    <mergeCell ref="A4:G4"/>
    <mergeCell ref="A5:G5"/>
    <mergeCell ref="A6:G6"/>
    <mergeCell ref="A8:B8"/>
    <mergeCell ref="D8:G8"/>
    <mergeCell ref="A22:G22"/>
    <mergeCell ref="A23:G23"/>
    <mergeCell ref="A7:G7"/>
    <mergeCell ref="A19:G19"/>
    <mergeCell ref="A20:G20"/>
    <mergeCell ref="A21:G21"/>
    <mergeCell ref="B17:E17"/>
    <mergeCell ref="B18:E18"/>
    <mergeCell ref="B13:E13"/>
    <mergeCell ref="B14:E14"/>
    <mergeCell ref="B16:E16"/>
    <mergeCell ref="A9:G9"/>
    <mergeCell ref="A10:E11"/>
    <mergeCell ref="F10:G10"/>
    <mergeCell ref="B12:E12"/>
  </mergeCells>
  <printOptions horizontalCentered="1" verticalCentered="1"/>
  <pageMargins left="0.393700787401575" right="0.393700787401575" top="0.393700787401575" bottom="0.393700787401575" header="0.511811023622047" footer="0.511811023622047"/>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CCFF"/>
    <pageSetUpPr fitToPage="1"/>
  </sheetPr>
  <dimension ref="A1:AL48"/>
  <sheetViews>
    <sheetView workbookViewId="0" topLeftCell="A1">
      <selection pane="topLeft" activeCell="B13" sqref="B13"/>
    </sheetView>
  </sheetViews>
  <sheetFormatPr defaultRowHeight="12.75"/>
  <cols>
    <col min="2" max="6" width="18.7142857142857" customWidth="1"/>
    <col min="7" max="38" width="9.14285714285714" style="29"/>
  </cols>
  <sheetData>
    <row r="1" spans="1:6" ht="20.1" customHeight="1" thickBot="1">
      <c r="A1" s="1484"/>
      <c r="B1" s="1484"/>
      <c r="C1" s="1481" t="s">
        <v>42</v>
      </c>
      <c r="D1" s="1482"/>
      <c r="E1" s="1483"/>
      <c r="F1" s="199" t="str">
        <f>+'2Př'!I1</f>
        <v/>
      </c>
    </row>
    <row r="2" spans="1:6" ht="27.95" customHeight="1">
      <c r="A2" s="1484"/>
      <c r="B2" s="1484"/>
      <c r="C2" s="1484"/>
      <c r="D2" s="1484"/>
      <c r="E2" s="1484"/>
      <c r="F2" s="1484"/>
    </row>
    <row r="3" spans="1:6" ht="27.95" customHeight="1">
      <c r="A3" s="1485" t="s">
        <v>230</v>
      </c>
      <c r="B3" s="1485"/>
      <c r="C3" s="1485"/>
      <c r="D3" s="1485"/>
      <c r="E3" s="1485"/>
      <c r="F3" s="1485"/>
    </row>
    <row r="4" spans="1:6" ht="27.95" customHeight="1" thickBot="1">
      <c r="A4" s="1484"/>
      <c r="B4" s="1484"/>
      <c r="C4" s="1484"/>
      <c r="D4" s="1484"/>
      <c r="E4" s="1484"/>
      <c r="F4" s="1484"/>
    </row>
    <row r="5" spans="1:38" s="191" customFormat="1" ht="18.75" thickBot="1">
      <c r="A5" s="1486" t="s">
        <v>162</v>
      </c>
      <c r="B5" s="1486"/>
      <c r="C5" s="1486"/>
      <c r="D5" s="1486"/>
      <c r="E5" s="1487"/>
      <c r="F5" s="192">
        <f>+'DAP1'!F24</f>
        <v>2017</v>
      </c>
      <c r="G5" s="190"/>
      <c r="H5" s="190"/>
      <c r="I5" s="190"/>
      <c r="J5" s="190"/>
      <c r="K5" s="190"/>
      <c r="L5" s="190"/>
      <c r="M5" s="190"/>
      <c r="N5" s="190"/>
      <c r="O5" s="190"/>
      <c r="P5" s="190"/>
      <c r="Q5" s="190"/>
      <c r="R5" s="190"/>
      <c r="S5" s="190"/>
      <c r="T5" s="190"/>
      <c r="U5" s="190"/>
      <c r="V5" s="190"/>
      <c r="W5" s="190"/>
      <c r="X5" s="190"/>
      <c r="Y5" s="190"/>
      <c r="Z5" s="190"/>
      <c r="AA5" s="190"/>
      <c r="AB5" s="190"/>
      <c r="AC5" s="190"/>
      <c r="AD5" s="190"/>
      <c r="AE5" s="190"/>
      <c r="AF5" s="190"/>
      <c r="AG5" s="190"/>
      <c r="AH5" s="190"/>
      <c r="AI5" s="190"/>
      <c r="AJ5" s="190"/>
      <c r="AK5" s="190"/>
      <c r="AL5" s="190"/>
    </row>
    <row r="6" spans="1:6" ht="18">
      <c r="A6" s="1492" t="s">
        <v>231</v>
      </c>
      <c r="B6" s="1492"/>
      <c r="C6" s="1492"/>
      <c r="D6" s="1492"/>
      <c r="E6" s="1492"/>
      <c r="F6" s="1492"/>
    </row>
    <row r="7" spans="1:6" ht="15">
      <c r="A7" s="1493" t="s">
        <v>55</v>
      </c>
      <c r="B7" s="1493"/>
      <c r="C7" s="1493"/>
      <c r="D7" s="1493"/>
      <c r="E7" s="1493"/>
      <c r="F7" s="1493"/>
    </row>
    <row r="8" spans="1:6" ht="13.5" thickBot="1">
      <c r="A8" s="1484"/>
      <c r="B8" s="1484"/>
      <c r="C8" s="1484"/>
      <c r="D8" s="1484"/>
      <c r="E8" s="1484"/>
      <c r="F8" s="1484"/>
    </row>
    <row r="9" spans="1:6" ht="12.75">
      <c r="A9" s="238" t="s">
        <v>224</v>
      </c>
      <c r="B9" s="239" t="s">
        <v>229</v>
      </c>
      <c r="C9" s="239" t="s">
        <v>228</v>
      </c>
      <c r="D9" s="239" t="s">
        <v>227</v>
      </c>
      <c r="E9" s="239" t="s">
        <v>226</v>
      </c>
      <c r="F9" s="240" t="s">
        <v>225</v>
      </c>
    </row>
    <row r="10" spans="1:6" ht="12.75" customHeight="1">
      <c r="A10" s="1494" t="s">
        <v>9</v>
      </c>
      <c r="B10" s="1490" t="s">
        <v>56</v>
      </c>
      <c r="C10" s="1490" t="s">
        <v>3620</v>
      </c>
      <c r="D10" s="1490" t="s">
        <v>221</v>
      </c>
      <c r="E10" s="1490" t="s">
        <v>222</v>
      </c>
      <c r="F10" s="1479" t="s">
        <v>223</v>
      </c>
    </row>
    <row r="11" spans="1:6" ht="45.75" customHeight="1">
      <c r="A11" s="1494"/>
      <c r="B11" s="1490"/>
      <c r="C11" s="1490"/>
      <c r="D11" s="1491"/>
      <c r="E11" s="1491"/>
      <c r="F11" s="1480"/>
    </row>
    <row r="12" spans="1:6" ht="18" customHeight="1">
      <c r="A12" s="200">
        <v>1</v>
      </c>
      <c r="B12" s="241">
        <v>2017</v>
      </c>
      <c r="C12" s="242">
        <v>0</v>
      </c>
      <c r="D12" s="242">
        <v>0</v>
      </c>
      <c r="E12" s="242">
        <v>0</v>
      </c>
      <c r="F12" s="243">
        <f t="shared" si="0" ref="F12:F19">+C12-D12-E12</f>
        <v>0</v>
      </c>
    </row>
    <row r="13" spans="1:6" ht="18" customHeight="1">
      <c r="A13" s="200">
        <v>2</v>
      </c>
      <c r="B13" s="244"/>
      <c r="C13" s="242"/>
      <c r="D13" s="242"/>
      <c r="E13" s="242"/>
      <c r="F13" s="243">
        <f t="shared" si="0"/>
        <v>0</v>
      </c>
    </row>
    <row r="14" spans="1:6" ht="18" customHeight="1">
      <c r="A14" s="200">
        <v>3</v>
      </c>
      <c r="B14" s="244"/>
      <c r="C14" s="242"/>
      <c r="D14" s="242"/>
      <c r="E14" s="242"/>
      <c r="F14" s="243">
        <f t="shared" si="0"/>
        <v>0</v>
      </c>
    </row>
    <row r="15" spans="1:6" ht="18" customHeight="1">
      <c r="A15" s="200">
        <v>4</v>
      </c>
      <c r="B15" s="244"/>
      <c r="C15" s="242"/>
      <c r="D15" s="242"/>
      <c r="E15" s="242"/>
      <c r="F15" s="243">
        <f t="shared" si="0"/>
        <v>0</v>
      </c>
    </row>
    <row r="16" spans="1:6" ht="18" customHeight="1">
      <c r="A16" s="200">
        <v>5</v>
      </c>
      <c r="B16" s="244"/>
      <c r="C16" s="242"/>
      <c r="D16" s="242"/>
      <c r="E16" s="242"/>
      <c r="F16" s="243">
        <f t="shared" si="0"/>
        <v>0</v>
      </c>
    </row>
    <row r="17" spans="1:6" ht="18" customHeight="1">
      <c r="A17" s="200">
        <v>6</v>
      </c>
      <c r="B17" s="244"/>
      <c r="C17" s="242"/>
      <c r="D17" s="242"/>
      <c r="E17" s="242"/>
      <c r="F17" s="243">
        <f t="shared" si="0"/>
        <v>0</v>
      </c>
    </row>
    <row r="18" spans="1:6" ht="18" customHeight="1">
      <c r="A18" s="200">
        <v>7</v>
      </c>
      <c r="B18" s="244"/>
      <c r="C18" s="242"/>
      <c r="D18" s="242"/>
      <c r="E18" s="242"/>
      <c r="F18" s="243">
        <f t="shared" si="0"/>
        <v>0</v>
      </c>
    </row>
    <row r="19" spans="1:6" ht="18" customHeight="1">
      <c r="A19" s="200">
        <v>8</v>
      </c>
      <c r="B19" s="244"/>
      <c r="C19" s="242"/>
      <c r="D19" s="242"/>
      <c r="E19" s="242"/>
      <c r="F19" s="243">
        <f t="shared" si="0"/>
        <v>0</v>
      </c>
    </row>
    <row r="20" spans="1:6" ht="18" customHeight="1" thickBot="1">
      <c r="A20" s="245">
        <v>9</v>
      </c>
      <c r="B20" s="1488" t="s">
        <v>72</v>
      </c>
      <c r="C20" s="1489"/>
      <c r="D20" s="1489"/>
      <c r="E20" s="246">
        <f>SUM(E12:E19)</f>
        <v>0</v>
      </c>
      <c r="F20" s="247">
        <f>SUM(F12:F19)</f>
        <v>0</v>
      </c>
    </row>
    <row r="21" spans="1:6" ht="24" customHeight="1">
      <c r="A21" s="1476"/>
      <c r="B21" s="1476"/>
      <c r="C21" s="1476"/>
      <c r="D21" s="1476"/>
      <c r="E21" s="1476"/>
      <c r="F21" s="1476"/>
    </row>
    <row r="22" spans="1:6" ht="24" customHeight="1">
      <c r="A22" s="1476"/>
      <c r="B22" s="1476"/>
      <c r="C22" s="1476"/>
      <c r="D22" s="1476"/>
      <c r="E22" s="1476"/>
      <c r="F22" s="1476"/>
    </row>
    <row r="23" spans="1:6" ht="24" customHeight="1">
      <c r="A23" s="1476"/>
      <c r="B23" s="1476"/>
      <c r="C23" s="1476"/>
      <c r="D23" s="1476"/>
      <c r="E23" s="1476"/>
      <c r="F23" s="1476"/>
    </row>
    <row r="24" spans="1:6" ht="24" customHeight="1">
      <c r="A24" s="1476"/>
      <c r="B24" s="1476"/>
      <c r="C24" s="1476"/>
      <c r="D24" s="1476"/>
      <c r="E24" s="1476"/>
      <c r="F24" s="1476"/>
    </row>
    <row r="25" spans="1:6" ht="24" customHeight="1">
      <c r="A25" s="1476"/>
      <c r="B25" s="1476"/>
      <c r="C25" s="1476"/>
      <c r="D25" s="1476"/>
      <c r="E25" s="1476"/>
      <c r="F25" s="1476"/>
    </row>
    <row r="26" spans="1:6" ht="24" customHeight="1">
      <c r="A26" s="1476"/>
      <c r="B26" s="1476"/>
      <c r="C26" s="1476"/>
      <c r="D26" s="1476"/>
      <c r="E26" s="1476"/>
      <c r="F26" s="1476"/>
    </row>
    <row r="27" spans="1:6" ht="24" customHeight="1">
      <c r="A27" s="1476"/>
      <c r="B27" s="1476"/>
      <c r="C27" s="1476"/>
      <c r="D27" s="1476"/>
      <c r="E27" s="1476"/>
      <c r="F27" s="1476"/>
    </row>
    <row r="28" spans="1:6" ht="24" customHeight="1">
      <c r="A28" s="1476"/>
      <c r="B28" s="1476"/>
      <c r="C28" s="1476"/>
      <c r="D28" s="1476"/>
      <c r="E28" s="1476"/>
      <c r="F28" s="1476"/>
    </row>
    <row r="29" spans="1:6" ht="24" customHeight="1">
      <c r="A29" s="1476"/>
      <c r="B29" s="1476"/>
      <c r="C29" s="1476"/>
      <c r="D29" s="1476"/>
      <c r="E29" s="1476"/>
      <c r="F29" s="1476"/>
    </row>
    <row r="30" spans="1:6" ht="24" customHeight="1">
      <c r="A30" s="1476"/>
      <c r="B30" s="1476"/>
      <c r="C30" s="1476"/>
      <c r="D30" s="1476"/>
      <c r="E30" s="1476"/>
      <c r="F30" s="1476"/>
    </row>
    <row r="31" spans="1:6" ht="24" customHeight="1">
      <c r="A31" s="1476"/>
      <c r="B31" s="1476"/>
      <c r="C31" s="1476"/>
      <c r="D31" s="1476"/>
      <c r="E31" s="1476"/>
      <c r="F31" s="1476"/>
    </row>
    <row r="32" spans="1:6" ht="24" customHeight="1">
      <c r="A32" s="1476"/>
      <c r="B32" s="1476"/>
      <c r="C32" s="1476"/>
      <c r="D32" s="1476"/>
      <c r="E32" s="1476"/>
      <c r="F32" s="1476"/>
    </row>
    <row r="33" spans="1:6" ht="24" customHeight="1">
      <c r="A33" s="1476"/>
      <c r="B33" s="1476"/>
      <c r="C33" s="1476"/>
      <c r="D33" s="1476"/>
      <c r="E33" s="1476"/>
      <c r="F33" s="1476"/>
    </row>
    <row r="34" spans="1:6" ht="12.75">
      <c r="A34" s="1477" t="str">
        <f>+'DAP1'!A46</f>
        <v>Formulář zpracovala ASPEKT HM, daňová, účetní a auditorská kancelář, www.danovapriznani.cz, business.center.cz</v>
      </c>
      <c r="B34" s="1478"/>
      <c r="C34" s="1478"/>
      <c r="D34" s="1478"/>
      <c r="E34" s="1478"/>
      <c r="F34" s="1478"/>
    </row>
    <row r="35" spans="1:6" ht="12.75">
      <c r="A35" s="1474" t="s">
        <v>57</v>
      </c>
      <c r="B35" s="1474"/>
      <c r="C35" s="1474"/>
      <c r="D35" s="1474"/>
      <c r="E35" s="1474"/>
      <c r="F35" s="1474"/>
    </row>
    <row r="36" spans="1:6" ht="12.75">
      <c r="A36" s="1475" t="s">
        <v>365</v>
      </c>
      <c r="B36" s="1475"/>
      <c r="C36" s="1475"/>
      <c r="D36" s="1475"/>
      <c r="E36" s="1475"/>
      <c r="F36" s="1475"/>
    </row>
    <row r="37" spans="1:6" ht="12.75">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thickBot="1"/>
  </sheetData>
  <sheetProtection algorithmName="SHA-512" hashValue="8SSQUDNMKvLnQdoD1+Wyl6UkOFeirG0K6lPSBTqOzLE4nGpiO9yfZRBtXOBUoofCGzMyhP8pK809Yz3yrvzwrw==" saltValue="moXwUExmOsTh6oUhQH4bog==" spinCount="100000" sheet="1" objects="1" scenarios="1"/>
  <mergeCells count="32">
    <mergeCell ref="B20:D20"/>
    <mergeCell ref="D10:D11"/>
    <mergeCell ref="E10:E11"/>
    <mergeCell ref="A6:F6"/>
    <mergeCell ref="A7:F7"/>
    <mergeCell ref="A8:F8"/>
    <mergeCell ref="A10:A11"/>
    <mergeCell ref="B10:B11"/>
    <mergeCell ref="C10:C11"/>
    <mergeCell ref="A27:F27"/>
    <mergeCell ref="A28:F28"/>
    <mergeCell ref="A33:F33"/>
    <mergeCell ref="F10:F11"/>
    <mergeCell ref="C1:E1"/>
    <mergeCell ref="A1:B1"/>
    <mergeCell ref="A2:F2"/>
    <mergeCell ref="A3:F3"/>
    <mergeCell ref="A4:F4"/>
    <mergeCell ref="A5:E5"/>
    <mergeCell ref="A21:F21"/>
    <mergeCell ref="A22:F22"/>
    <mergeCell ref="A23:F23"/>
    <mergeCell ref="A24:F24"/>
    <mergeCell ref="A25:F25"/>
    <mergeCell ref="A26:F26"/>
    <mergeCell ref="A35:F35"/>
    <mergeCell ref="A36:F36"/>
    <mergeCell ref="A29:F29"/>
    <mergeCell ref="A30:F30"/>
    <mergeCell ref="A31:F31"/>
    <mergeCell ref="A32:F32"/>
    <mergeCell ref="A34:F34"/>
  </mergeCells>
  <printOptions horizontalCentered="1" verticalCentered="1"/>
  <pageMargins left="0.393700787401575" right="0.393700787401575" top="0.393700787401575" bottom="0.393700787401575" header="0.511811023622047" footer="0.511811023622047"/>
  <pageSetup orientation="portrait" paperSize="9" scale="94"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CCFF"/>
    <pageSetUpPr fitToPage="1"/>
  </sheetPr>
  <dimension ref="A1:U48"/>
  <sheetViews>
    <sheetView workbookViewId="0" topLeftCell="A1">
      <selection pane="topLeft" activeCell="B10" sqref="B10"/>
    </sheetView>
  </sheetViews>
  <sheetFormatPr defaultRowHeight="12.75"/>
  <cols>
    <col min="1" max="1" width="7.42857142857143" customWidth="1"/>
    <col min="2" max="2" width="64.7142857142857" customWidth="1"/>
    <col min="3" max="6" width="18.7142857142857" customWidth="1"/>
    <col min="7" max="21" width="9.14285714285714" style="29"/>
  </cols>
  <sheetData>
    <row r="1" spans="1:6" ht="18" customHeight="1">
      <c r="A1" s="1481" t="s">
        <v>42</v>
      </c>
      <c r="B1" s="1476"/>
      <c r="C1" s="1476"/>
      <c r="D1" s="1497"/>
      <c r="E1" s="1495" t="str">
        <f>+'6Př'!F1</f>
        <v/>
      </c>
      <c r="F1" s="1496"/>
    </row>
    <row r="2" spans="1:6" ht="12.75">
      <c r="A2" s="1476"/>
      <c r="B2" s="1476"/>
      <c r="C2" s="1476"/>
      <c r="D2" s="1476"/>
      <c r="E2" s="1476"/>
      <c r="F2" s="1476"/>
    </row>
    <row r="3" spans="1:21" s="157" customFormat="1" ht="27.75">
      <c r="A3" s="1498" t="s">
        <v>151</v>
      </c>
      <c r="B3" s="1498"/>
      <c r="C3" s="1498"/>
      <c r="D3" s="1498"/>
      <c r="E3" s="1498"/>
      <c r="F3" s="1498"/>
      <c r="G3" s="122"/>
      <c r="H3" s="122"/>
      <c r="I3" s="122"/>
      <c r="J3" s="122"/>
      <c r="K3" s="122"/>
      <c r="L3" s="122"/>
      <c r="M3" s="122"/>
      <c r="N3" s="122"/>
      <c r="O3" s="122"/>
      <c r="P3" s="122"/>
      <c r="Q3" s="122"/>
      <c r="R3" s="122"/>
      <c r="S3" s="122"/>
      <c r="T3" s="122"/>
      <c r="U3" s="122"/>
    </row>
    <row r="4" spans="1:21" s="157" customFormat="1" ht="18">
      <c r="A4" s="752" t="s">
        <v>58</v>
      </c>
      <c r="B4" s="752"/>
      <c r="C4" s="752"/>
      <c r="D4" s="752"/>
      <c r="E4" s="752"/>
      <c r="F4" s="752"/>
      <c r="G4" s="122"/>
      <c r="H4" s="122"/>
      <c r="I4" s="122"/>
      <c r="J4" s="122"/>
      <c r="K4" s="122"/>
      <c r="L4" s="122"/>
      <c r="M4" s="122"/>
      <c r="N4" s="122"/>
      <c r="O4" s="122"/>
      <c r="P4" s="122"/>
      <c r="Q4" s="122"/>
      <c r="R4" s="122"/>
      <c r="S4" s="122"/>
      <c r="T4" s="122"/>
      <c r="U4" s="122"/>
    </row>
    <row r="5" spans="1:21" s="157" customFormat="1" ht="18">
      <c r="A5" s="752" t="s">
        <v>3621</v>
      </c>
      <c r="B5" s="752"/>
      <c r="C5" s="752"/>
      <c r="D5" s="752"/>
      <c r="E5" s="752"/>
      <c r="F5" s="752"/>
      <c r="G5" s="122"/>
      <c r="H5" s="122"/>
      <c r="I5" s="122"/>
      <c r="J5" s="122"/>
      <c r="K5" s="122"/>
      <c r="L5" s="122"/>
      <c r="M5" s="122"/>
      <c r="N5" s="122"/>
      <c r="O5" s="122"/>
      <c r="P5" s="122"/>
      <c r="Q5" s="122"/>
      <c r="R5" s="122"/>
      <c r="S5" s="122"/>
      <c r="T5" s="122"/>
      <c r="U5" s="122"/>
    </row>
    <row r="6" spans="1:21" s="157" customFormat="1" ht="18">
      <c r="A6" s="1501" t="s">
        <v>162</v>
      </c>
      <c r="B6" s="1501"/>
      <c r="C6" s="1501"/>
      <c r="D6" s="1502"/>
      <c r="E6" s="194">
        <f>+'DAP1'!F24</f>
        <v>2017</v>
      </c>
      <c r="F6" s="158"/>
      <c r="G6" s="122"/>
      <c r="H6" s="122"/>
      <c r="I6" s="122"/>
      <c r="J6" s="122"/>
      <c r="K6" s="122"/>
      <c r="L6" s="122"/>
      <c r="M6" s="122"/>
      <c r="N6" s="122"/>
      <c r="O6" s="122"/>
      <c r="P6" s="122"/>
      <c r="Q6" s="122"/>
      <c r="R6" s="122"/>
      <c r="S6" s="122"/>
      <c r="T6" s="122"/>
      <c r="U6" s="122"/>
    </row>
    <row r="7" spans="1:6" ht="13.5" thickBot="1">
      <c r="A7" s="1476"/>
      <c r="B7" s="1476"/>
      <c r="C7" s="1476"/>
      <c r="D7" s="1476"/>
      <c r="E7" s="1476"/>
      <c r="F7" s="1476"/>
    </row>
    <row r="8" spans="1:6" ht="18" customHeight="1">
      <c r="A8" s="248" t="s">
        <v>9</v>
      </c>
      <c r="B8" s="249" t="s">
        <v>59</v>
      </c>
      <c r="C8" s="249" t="s">
        <v>60</v>
      </c>
      <c r="D8" s="249" t="s">
        <v>61</v>
      </c>
      <c r="E8" s="249" t="s">
        <v>62</v>
      </c>
      <c r="F8" s="250" t="s">
        <v>63</v>
      </c>
    </row>
    <row r="9" spans="1:6" ht="18" customHeight="1" thickBot="1">
      <c r="A9" s="251" t="s">
        <v>163</v>
      </c>
      <c r="B9" s="252" t="s">
        <v>3622</v>
      </c>
      <c r="C9" s="252" t="s">
        <v>164</v>
      </c>
      <c r="D9" s="252" t="s">
        <v>165</v>
      </c>
      <c r="E9" s="252" t="s">
        <v>166</v>
      </c>
      <c r="F9" s="253" t="s">
        <v>167</v>
      </c>
    </row>
    <row r="10" spans="1:6" ht="18" customHeight="1">
      <c r="A10" s="254">
        <v>1</v>
      </c>
      <c r="B10" s="255"/>
      <c r="C10" s="256"/>
      <c r="D10" s="256"/>
      <c r="E10" s="256"/>
      <c r="F10" s="257"/>
    </row>
    <row r="11" spans="1:6" ht="18" customHeight="1">
      <c r="A11" s="258"/>
      <c r="B11" s="159"/>
      <c r="C11" s="259"/>
      <c r="D11" s="259"/>
      <c r="E11" s="259"/>
      <c r="F11" s="260"/>
    </row>
    <row r="12" spans="1:6" ht="18" customHeight="1">
      <c r="A12" s="258"/>
      <c r="B12" s="159"/>
      <c r="C12" s="259"/>
      <c r="D12" s="259"/>
      <c r="E12" s="259"/>
      <c r="F12" s="260"/>
    </row>
    <row r="13" spans="1:6" ht="18" customHeight="1">
      <c r="A13" s="258"/>
      <c r="B13" s="159"/>
      <c r="C13" s="259"/>
      <c r="D13" s="259"/>
      <c r="E13" s="259"/>
      <c r="F13" s="260"/>
    </row>
    <row r="14" spans="1:6" ht="18" customHeight="1">
      <c r="A14" s="258"/>
      <c r="B14" s="159"/>
      <c r="C14" s="259"/>
      <c r="D14" s="259"/>
      <c r="E14" s="259"/>
      <c r="F14" s="260"/>
    </row>
    <row r="15" spans="1:6" ht="18" customHeight="1">
      <c r="A15" s="258"/>
      <c r="B15" s="159"/>
      <c r="C15" s="259"/>
      <c r="D15" s="259"/>
      <c r="E15" s="259"/>
      <c r="F15" s="260"/>
    </row>
    <row r="16" spans="1:6" ht="18" customHeight="1">
      <c r="A16" s="258"/>
      <c r="B16" s="159"/>
      <c r="C16" s="259"/>
      <c r="D16" s="259"/>
      <c r="E16" s="259"/>
      <c r="F16" s="260"/>
    </row>
    <row r="17" spans="1:6" ht="18" customHeight="1">
      <c r="A17" s="258"/>
      <c r="B17" s="159"/>
      <c r="C17" s="259"/>
      <c r="D17" s="259"/>
      <c r="E17" s="259"/>
      <c r="F17" s="260"/>
    </row>
    <row r="18" spans="1:6" ht="18" customHeight="1">
      <c r="A18" s="258"/>
      <c r="B18" s="159"/>
      <c r="C18" s="259"/>
      <c r="D18" s="259"/>
      <c r="E18" s="259"/>
      <c r="F18" s="260"/>
    </row>
    <row r="19" spans="1:6" ht="18" customHeight="1">
      <c r="A19" s="258"/>
      <c r="B19" s="159"/>
      <c r="C19" s="259"/>
      <c r="D19" s="259"/>
      <c r="E19" s="259"/>
      <c r="F19" s="260"/>
    </row>
    <row r="20" spans="1:6" ht="18" customHeight="1">
      <c r="A20" s="258"/>
      <c r="B20" s="159"/>
      <c r="C20" s="259"/>
      <c r="D20" s="259"/>
      <c r="E20" s="259"/>
      <c r="F20" s="260"/>
    </row>
    <row r="21" spans="1:6" ht="18" customHeight="1">
      <c r="A21" s="258"/>
      <c r="B21" s="159"/>
      <c r="C21" s="259"/>
      <c r="D21" s="259"/>
      <c r="E21" s="259"/>
      <c r="F21" s="260"/>
    </row>
    <row r="22" spans="1:6" ht="18" customHeight="1">
      <c r="A22" s="258"/>
      <c r="B22" s="159"/>
      <c r="C22" s="259"/>
      <c r="D22" s="259"/>
      <c r="E22" s="259"/>
      <c r="F22" s="260"/>
    </row>
    <row r="23" spans="1:6" ht="18" customHeight="1">
      <c r="A23" s="258"/>
      <c r="B23" s="159"/>
      <c r="C23" s="259"/>
      <c r="D23" s="259"/>
      <c r="E23" s="259"/>
      <c r="F23" s="260"/>
    </row>
    <row r="24" spans="1:6" ht="18" customHeight="1">
      <c r="A24" s="258"/>
      <c r="B24" s="159"/>
      <c r="C24" s="259"/>
      <c r="D24" s="259"/>
      <c r="E24" s="259"/>
      <c r="F24" s="260"/>
    </row>
    <row r="25" spans="1:6" ht="18" customHeight="1" thickBot="1">
      <c r="A25" s="261"/>
      <c r="B25" s="262"/>
      <c r="C25" s="263"/>
      <c r="D25" s="263"/>
      <c r="E25" s="263"/>
      <c r="F25" s="264"/>
    </row>
    <row r="26" spans="1:6" ht="12.75">
      <c r="A26" s="1503"/>
      <c r="B26" s="1503"/>
      <c r="C26" s="1503"/>
      <c r="D26" s="1503"/>
      <c r="E26" s="1503"/>
      <c r="F26" s="1503"/>
    </row>
    <row r="27" spans="1:21" s="157" customFormat="1" ht="12.75">
      <c r="A27" s="1504" t="s">
        <v>3660</v>
      </c>
      <c r="B27" s="1247"/>
      <c r="C27" s="1247"/>
      <c r="D27" s="1247"/>
      <c r="E27" s="1247"/>
      <c r="F27" s="1247"/>
      <c r="G27" s="122"/>
      <c r="H27" s="122"/>
      <c r="I27" s="122"/>
      <c r="J27" s="122"/>
      <c r="K27" s="122"/>
      <c r="L27" s="122"/>
      <c r="M27" s="122"/>
      <c r="N27" s="122"/>
      <c r="O27" s="122"/>
      <c r="P27" s="122"/>
      <c r="Q27" s="122"/>
      <c r="R27" s="122"/>
      <c r="S27" s="122"/>
      <c r="T27" s="122"/>
      <c r="U27" s="122"/>
    </row>
    <row r="28" spans="1:21" s="157" customFormat="1" ht="24" customHeight="1">
      <c r="A28" s="1505" t="s">
        <v>3623</v>
      </c>
      <c r="B28" s="728"/>
      <c r="C28" s="728"/>
      <c r="D28" s="728"/>
      <c r="E28" s="728"/>
      <c r="F28" s="728"/>
      <c r="G28" s="122"/>
      <c r="H28" s="122"/>
      <c r="I28" s="122"/>
      <c r="J28" s="122"/>
      <c r="K28" s="122"/>
      <c r="L28" s="122"/>
      <c r="M28" s="122"/>
      <c r="N28" s="122"/>
      <c r="O28" s="122"/>
      <c r="P28" s="122"/>
      <c r="Q28" s="122"/>
      <c r="R28" s="122"/>
      <c r="S28" s="122"/>
      <c r="T28" s="122"/>
      <c r="U28" s="122"/>
    </row>
    <row r="29" spans="1:21" s="157" customFormat="1" ht="12.75">
      <c r="A29" s="1504" t="s">
        <v>168</v>
      </c>
      <c r="B29" s="1247"/>
      <c r="C29" s="1247"/>
      <c r="D29" s="1247"/>
      <c r="E29" s="1247"/>
      <c r="F29" s="1247"/>
      <c r="G29" s="122"/>
      <c r="H29" s="122"/>
      <c r="I29" s="122"/>
      <c r="J29" s="122"/>
      <c r="K29" s="122"/>
      <c r="L29" s="122"/>
      <c r="M29" s="122"/>
      <c r="N29" s="122"/>
      <c r="O29" s="122"/>
      <c r="P29" s="122"/>
      <c r="Q29" s="122"/>
      <c r="R29" s="122"/>
      <c r="S29" s="122"/>
      <c r="T29" s="122"/>
      <c r="U29" s="122"/>
    </row>
    <row r="30" spans="1:21" s="157" customFormat="1" ht="12.75">
      <c r="A30" s="1504" t="s">
        <v>169</v>
      </c>
      <c r="B30" s="1247"/>
      <c r="C30" s="1247"/>
      <c r="D30" s="1247"/>
      <c r="E30" s="1247"/>
      <c r="F30" s="1247"/>
      <c r="G30" s="122"/>
      <c r="H30" s="122"/>
      <c r="I30" s="122"/>
      <c r="J30" s="122"/>
      <c r="K30" s="122"/>
      <c r="L30" s="122"/>
      <c r="M30" s="122"/>
      <c r="N30" s="122"/>
      <c r="O30" s="122"/>
      <c r="P30" s="122"/>
      <c r="Q30" s="122"/>
      <c r="R30" s="122"/>
      <c r="S30" s="122"/>
      <c r="T30" s="122"/>
      <c r="U30" s="122"/>
    </row>
    <row r="31" spans="1:21" s="157" customFormat="1" ht="24" customHeight="1">
      <c r="A31" s="1505" t="s">
        <v>170</v>
      </c>
      <c r="B31" s="728"/>
      <c r="C31" s="728"/>
      <c r="D31" s="728"/>
      <c r="E31" s="728"/>
      <c r="F31" s="728"/>
      <c r="G31" s="122"/>
      <c r="H31" s="122"/>
      <c r="I31" s="122"/>
      <c r="J31" s="122"/>
      <c r="K31" s="122"/>
      <c r="L31" s="122"/>
      <c r="M31" s="122"/>
      <c r="N31" s="122"/>
      <c r="O31" s="122"/>
      <c r="P31" s="122"/>
      <c r="Q31" s="122"/>
      <c r="R31" s="122"/>
      <c r="S31" s="122"/>
      <c r="T31" s="122"/>
      <c r="U31" s="122"/>
    </row>
    <row r="32" spans="1:21" s="157" customFormat="1" ht="24" customHeight="1">
      <c r="A32" s="1505" t="s">
        <v>64</v>
      </c>
      <c r="B32" s="728"/>
      <c r="C32" s="728"/>
      <c r="D32" s="728"/>
      <c r="E32" s="728"/>
      <c r="F32" s="728"/>
      <c r="G32" s="122"/>
      <c r="H32" s="122"/>
      <c r="I32" s="122"/>
      <c r="J32" s="122"/>
      <c r="K32" s="122"/>
      <c r="L32" s="122"/>
      <c r="M32" s="122"/>
      <c r="N32" s="122"/>
      <c r="O32" s="122"/>
      <c r="P32" s="122"/>
      <c r="Q32" s="122"/>
      <c r="R32" s="122"/>
      <c r="S32" s="122"/>
      <c r="T32" s="122"/>
      <c r="U32" s="122"/>
    </row>
    <row r="33" spans="1:6" ht="12.75">
      <c r="A33" s="84"/>
      <c r="B33" s="84"/>
      <c r="C33" s="84"/>
      <c r="D33" s="84"/>
      <c r="E33" s="84"/>
      <c r="F33" s="84"/>
    </row>
    <row r="34" spans="1:6" ht="12.75">
      <c r="A34" s="1477" t="str">
        <f>+'DAP1'!A46</f>
        <v>Formulář zpracovala ASPEKT HM, daňová, účetní a auditorská kancelář, www.danovapriznani.cz, business.center.cz</v>
      </c>
      <c r="B34" s="1499"/>
      <c r="C34" s="1499"/>
      <c r="D34" s="1499"/>
      <c r="E34" s="1499"/>
      <c r="F34" s="1499"/>
    </row>
    <row r="35" spans="1:6" ht="12.75">
      <c r="A35" s="1500" t="s">
        <v>355</v>
      </c>
      <c r="B35" s="1500"/>
      <c r="C35" s="1500"/>
      <c r="D35" s="1500"/>
      <c r="E35" s="1500"/>
      <c r="F35" s="1500"/>
    </row>
    <row r="36" spans="1:6" ht="12.75">
      <c r="A36" s="1475" t="s">
        <v>365</v>
      </c>
      <c r="B36" s="1475"/>
      <c r="C36" s="1475"/>
      <c r="D36" s="1475"/>
      <c r="E36" s="1475"/>
      <c r="F36" s="1475"/>
    </row>
    <row r="37" spans="1:6" ht="13.5" customHeight="1">
      <c r="A37" s="29"/>
      <c r="B37" s="29"/>
      <c r="C37" s="29"/>
      <c r="D37" s="29"/>
      <c r="E37" s="29"/>
      <c r="F37" s="29"/>
    </row>
    <row r="38" spans="1:6" ht="12.75">
      <c r="A38" s="29"/>
      <c r="B38" s="29"/>
      <c r="C38" s="29"/>
      <c r="D38" s="29"/>
      <c r="E38" s="29"/>
      <c r="F38" s="29"/>
    </row>
    <row r="39" spans="1:6" ht="12.75">
      <c r="A39" s="29"/>
      <c r="B39" s="29"/>
      <c r="C39" s="29"/>
      <c r="D39" s="29"/>
      <c r="E39" s="29"/>
      <c r="F39" s="29"/>
    </row>
    <row r="40" spans="1:6" ht="12.75">
      <c r="A40" s="29"/>
      <c r="B40" s="29"/>
      <c r="C40" s="29"/>
      <c r="D40" s="29"/>
      <c r="E40" s="29"/>
      <c r="F40" s="29"/>
    </row>
    <row r="41" spans="1:6" ht="12.75">
      <c r="A41" s="29"/>
      <c r="B41" s="29"/>
      <c r="C41" s="29"/>
      <c r="D41" s="29"/>
      <c r="E41" s="29"/>
      <c r="F41" s="29"/>
    </row>
    <row r="42" spans="1:6" ht="12.75">
      <c r="A42" s="29"/>
      <c r="B42" s="29"/>
      <c r="C42" s="29"/>
      <c r="D42" s="29"/>
      <c r="E42" s="29"/>
      <c r="F42" s="29"/>
    </row>
    <row r="43" spans="1:6" ht="12.75">
      <c r="A43" s="29"/>
      <c r="B43" s="29"/>
      <c r="C43" s="29"/>
      <c r="D43" s="29"/>
      <c r="E43" s="29"/>
      <c r="F43" s="29"/>
    </row>
    <row r="44" spans="1:6" ht="12.75">
      <c r="A44" s="29"/>
      <c r="B44" s="29"/>
      <c r="C44" s="29"/>
      <c r="D44" s="29"/>
      <c r="E44" s="29"/>
      <c r="F44" s="29"/>
    </row>
    <row r="45" spans="1:6" ht="12.75">
      <c r="A45" s="29"/>
      <c r="B45" s="29"/>
      <c r="C45" s="29"/>
      <c r="D45" s="29"/>
      <c r="E45" s="29"/>
      <c r="F45" s="29"/>
    </row>
    <row r="46" spans="1:6" ht="12.75">
      <c r="A46" s="29"/>
      <c r="B46" s="29"/>
      <c r="C46" s="29"/>
      <c r="D46" s="29"/>
      <c r="E46" s="29"/>
      <c r="F46" s="29"/>
    </row>
    <row r="47" spans="1:6" ht="12.75">
      <c r="A47" s="29"/>
      <c r="B47" s="29"/>
      <c r="C47" s="29"/>
      <c r="D47" s="29"/>
      <c r="E47" s="29"/>
      <c r="F47" s="29"/>
    </row>
    <row r="48" spans="1:6" ht="12.75">
      <c r="A48" s="29"/>
      <c r="B48" s="29"/>
      <c r="C48" s="29"/>
      <c r="D48" s="29"/>
      <c r="E48" s="29"/>
      <c r="F48" s="29"/>
    </row>
    <row r="49" s="29" customFormat="1" ht="12.75"/>
    <row r="50" s="29" customFormat="1" ht="12.75"/>
    <row r="51" s="29" customFormat="1" ht="12.75"/>
    <row r="52" s="29" customFormat="1" ht="12.75"/>
    <row r="53" s="29" customFormat="1" ht="12.75"/>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thickBot="1"/>
  </sheetData>
  <sheetProtection algorithmName="SHA-512" hashValue="LV6uctF1Nw8kOkEkenXHzfhQkH6yswZEo9f8jBk+TwFg+u+Ux3whnsSBYUK/6llJ4weomd9kvugVOa9G1ULpAw==" saltValue="5L4vOSwnnE3Z+pWWNIEOow==" spinCount="100000" sheet="1" objects="1" scenarios="1"/>
  <mergeCells count="18">
    <mergeCell ref="A34:F34"/>
    <mergeCell ref="A35:F35"/>
    <mergeCell ref="A6:D6"/>
    <mergeCell ref="A36:F36"/>
    <mergeCell ref="A26:F26"/>
    <mergeCell ref="A27:F27"/>
    <mergeCell ref="A28:F28"/>
    <mergeCell ref="A29:F29"/>
    <mergeCell ref="A30:F30"/>
    <mergeCell ref="A31:F31"/>
    <mergeCell ref="A32:F32"/>
    <mergeCell ref="A7:F7"/>
    <mergeCell ref="A5:F5"/>
    <mergeCell ref="E1:F1"/>
    <mergeCell ref="A1:D1"/>
    <mergeCell ref="A2:F2"/>
    <mergeCell ref="A3:F3"/>
    <mergeCell ref="A4:F4"/>
  </mergeCells>
  <dataValidations count="1">
    <dataValidation type="list" allowBlank="1" showInputMessage="1" showErrorMessage="1" errorTitle="Stát není v seznamu" sqref="C10:C25">
      <formula1>staty</formula1>
    </dataValidation>
  </dataValidations>
  <printOptions horizontalCentered="1" verticalCentered="1"/>
  <pageMargins left="0.393700787401575" right="0.393700787401575" top="0.393700787401575" bottom="0.393700787401575" header="0.511811023622047" footer="0.511811023622047"/>
  <pageSetup orientation="landscape" paperSize="9" scale="8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pageSetUpPr fitToPage="1"/>
  </sheetPr>
  <dimension ref="A1:L119"/>
  <sheetViews>
    <sheetView workbookViewId="0" topLeftCell="A1">
      <selection pane="topLeft" activeCell="B30" sqref="B30"/>
    </sheetView>
  </sheetViews>
  <sheetFormatPr defaultColWidth="8.85428571428571" defaultRowHeight="12"/>
  <cols>
    <col min="1" max="1" width="6.14285714285714" style="581" customWidth="1"/>
    <col min="2" max="4" width="16.7142857142857" style="581" customWidth="1"/>
    <col min="5" max="7" width="17.7142857142857" style="581" customWidth="1"/>
    <col min="8" max="16384" width="8.85714285714286" style="581"/>
  </cols>
  <sheetData>
    <row r="1" spans="1:7" ht="15" customHeight="1">
      <c r="A1" s="1547"/>
      <c r="B1" s="1547"/>
      <c r="C1" s="1547"/>
      <c r="D1" s="1547"/>
      <c r="E1" s="1547"/>
      <c r="F1" s="1547"/>
      <c r="G1" s="1547"/>
    </row>
    <row r="2" spans="1:7" ht="26.45" customHeight="1">
      <c r="A2" s="1548" t="s">
        <v>3721</v>
      </c>
      <c r="B2" s="1548"/>
      <c r="C2" s="1548"/>
      <c r="D2" s="1548"/>
      <c r="E2" s="1548"/>
      <c r="F2" s="1548"/>
      <c r="G2" s="1548"/>
    </row>
    <row r="3" spans="1:7" ht="15" customHeight="1">
      <c r="A3" s="1549" t="s">
        <v>3722</v>
      </c>
      <c r="B3" s="1549"/>
      <c r="C3" s="1549"/>
      <c r="D3" s="1549"/>
      <c r="E3" s="1549"/>
      <c r="F3" s="1549"/>
      <c r="G3" s="1549"/>
    </row>
    <row r="4" spans="1:7" ht="15" customHeight="1">
      <c r="A4" s="1549" t="s">
        <v>3845</v>
      </c>
      <c r="B4" s="1549"/>
      <c r="C4" s="1549"/>
      <c r="D4" s="1549"/>
      <c r="E4" s="1549"/>
      <c r="F4" s="1549"/>
      <c r="G4" s="1549"/>
    </row>
    <row r="5" spans="1:7" ht="15" customHeight="1">
      <c r="A5" s="1550" t="s">
        <v>3723</v>
      </c>
      <c r="B5" s="1550"/>
      <c r="C5" s="1550"/>
      <c r="D5" s="1550"/>
      <c r="E5" s="1550"/>
      <c r="F5" s="1550"/>
      <c r="G5" s="1550"/>
    </row>
    <row r="6" spans="1:7" ht="15" customHeight="1" thickBot="1">
      <c r="A6" s="1551"/>
      <c r="B6" s="1551"/>
      <c r="C6" s="1551"/>
      <c r="D6" s="1551"/>
      <c r="E6" s="1551"/>
      <c r="F6" s="1551"/>
      <c r="G6" s="1551"/>
    </row>
    <row r="7" spans="1:7" ht="15" customHeight="1">
      <c r="A7" s="1527" t="s">
        <v>3724</v>
      </c>
      <c r="B7" s="1528"/>
      <c r="C7" s="1528"/>
      <c r="D7" s="1528"/>
      <c r="E7" s="945"/>
      <c r="F7" s="945"/>
      <c r="G7" s="1558"/>
    </row>
    <row r="8" spans="1:7" ht="18" customHeight="1">
      <c r="A8" s="1555" t="s">
        <v>220</v>
      </c>
      <c r="B8" s="1556"/>
      <c r="C8" s="1556"/>
      <c r="D8" s="1556"/>
      <c r="E8" s="1556"/>
      <c r="F8" s="1556"/>
      <c r="G8" s="1557"/>
    </row>
    <row r="9" spans="1:7" ht="15" customHeight="1">
      <c r="A9" s="1552" t="s">
        <v>3725</v>
      </c>
      <c r="B9" s="1543"/>
      <c r="C9" s="1543"/>
      <c r="D9" s="1543"/>
      <c r="E9" s="1543"/>
      <c r="F9" s="1543"/>
      <c r="G9" s="1553"/>
    </row>
    <row r="10" spans="1:7" ht="18" customHeight="1">
      <c r="A10" s="1517"/>
      <c r="B10" s="1518"/>
      <c r="C10" s="1518"/>
      <c r="D10" s="1518"/>
      <c r="E10" s="1518"/>
      <c r="F10" s="1518"/>
      <c r="G10" s="1519"/>
    </row>
    <row r="11" spans="1:7" ht="15" customHeight="1">
      <c r="A11" s="1552" t="s">
        <v>3726</v>
      </c>
      <c r="B11" s="1543"/>
      <c r="C11" s="1543"/>
      <c r="D11" s="1543"/>
      <c r="E11" s="1543"/>
      <c r="F11" s="1543"/>
      <c r="G11" s="1553"/>
    </row>
    <row r="12" spans="1:7" ht="18" customHeight="1">
      <c r="A12" s="1517"/>
      <c r="B12" s="1518"/>
      <c r="C12" s="1518"/>
      <c r="D12" s="1518"/>
      <c r="E12" s="1518"/>
      <c r="F12" s="1518"/>
      <c r="G12" s="1519"/>
    </row>
    <row r="13" spans="1:7" ht="5.1" customHeight="1" thickBot="1">
      <c r="A13" s="1532"/>
      <c r="B13" s="1533"/>
      <c r="C13" s="1533"/>
      <c r="D13" s="1534"/>
      <c r="E13" s="1534"/>
      <c r="F13" s="1534"/>
      <c r="G13" s="1535"/>
    </row>
    <row r="14" spans="1:7" ht="5.1" customHeight="1">
      <c r="A14" s="1554"/>
      <c r="B14" s="1554"/>
      <c r="C14" s="1554"/>
      <c r="D14" s="1554"/>
      <c r="E14" s="1554"/>
      <c r="F14" s="1554"/>
      <c r="G14" s="1554"/>
    </row>
    <row r="15" spans="1:7" ht="18" customHeight="1">
      <c r="A15" s="1516" t="s">
        <v>3846</v>
      </c>
      <c r="B15" s="1516"/>
      <c r="C15" s="1520"/>
      <c r="D15" s="1520"/>
      <c r="E15" s="1520"/>
      <c r="F15" s="671">
        <f>+'DAP1'!F24</f>
        <v>2017</v>
      </c>
      <c r="G15" s="663" t="s">
        <v>3847</v>
      </c>
    </row>
    <row r="16" spans="1:7" ht="5.1" customHeight="1" thickBot="1">
      <c r="A16" s="1521"/>
      <c r="B16" s="1521"/>
      <c r="C16" s="1522"/>
      <c r="D16" s="1522"/>
      <c r="E16" s="1522"/>
      <c r="F16" s="1522"/>
      <c r="G16" s="1522"/>
    </row>
    <row r="17" spans="1:7" ht="15" customHeight="1">
      <c r="A17" s="1527" t="s">
        <v>128</v>
      </c>
      <c r="B17" s="1528"/>
      <c r="C17" s="1529"/>
      <c r="D17" s="1529"/>
      <c r="E17" s="945"/>
      <c r="F17" s="1536" t="s">
        <v>127</v>
      </c>
      <c r="G17" s="1537"/>
    </row>
    <row r="18" spans="1:7" ht="18" customHeight="1">
      <c r="A18" s="1523" t="str">
        <f>+IF(EXACT(MID('DAP3'!C2,1,1)," ")," ",+MID('DAP3'!C2,1,+FIND(" ",'DAP3'!C2)))</f>
        <v xml:space="preserve"> </v>
      </c>
      <c r="B18" s="1524"/>
      <c r="C18" s="1525"/>
      <c r="D18" s="1526"/>
      <c r="E18" s="640"/>
      <c r="F18" s="1530" t="str">
        <f>+IF(EXACT(MID('DAP3'!C2,1,1)," ")," ",+MID('DAP3'!C2,+FIND(" ",'DAP3'!C2)+1,20))</f>
        <v xml:space="preserve"> </v>
      </c>
      <c r="G18" s="1531"/>
    </row>
    <row r="19" spans="1:7" ht="15" customHeight="1">
      <c r="A19" s="1506" t="s">
        <v>185</v>
      </c>
      <c r="B19" s="1541"/>
      <c r="C19" s="1542"/>
      <c r="D19" s="1542"/>
      <c r="E19" s="1543" t="s">
        <v>3727</v>
      </c>
      <c r="F19" s="1247"/>
      <c r="G19" s="1363"/>
    </row>
    <row r="20" spans="1:7" ht="18" customHeight="1">
      <c r="A20" s="1538" t="str">
        <f>+CONCATENATE('DAP3'!H2)</f>
        <v/>
      </c>
      <c r="B20" s="1539"/>
      <c r="C20" s="1540"/>
      <c r="D20" s="664"/>
      <c r="E20" s="1544" t="str">
        <f>+CONCATENATE(ZAKL_DATA!B16," ",ZAKL_DATA!B17,", ",ZAKL_DATA!B18)</f>
        <v xml:space="preserve"> , </v>
      </c>
      <c r="F20" s="1545"/>
      <c r="G20" s="1546"/>
    </row>
    <row r="21" spans="1:7" ht="15" customHeight="1">
      <c r="A21" s="1559"/>
      <c r="B21" s="1560"/>
      <c r="C21" s="1561"/>
      <c r="D21" s="1561"/>
      <c r="E21" s="1561"/>
      <c r="F21" s="1561"/>
      <c r="G21" s="1562"/>
    </row>
    <row r="22" spans="1:7" ht="18" customHeight="1">
      <c r="A22" s="1508"/>
      <c r="B22" s="1509"/>
      <c r="C22" s="1509"/>
      <c r="D22" s="1545"/>
      <c r="E22" s="1545"/>
      <c r="F22" s="1545"/>
      <c r="G22" s="1546"/>
    </row>
    <row r="23" spans="1:7" ht="15" customHeight="1">
      <c r="A23" s="1506"/>
      <c r="B23" s="1507"/>
      <c r="C23" s="1507"/>
      <c r="D23" s="1507"/>
      <c r="E23" s="1507"/>
      <c r="F23" s="1507"/>
      <c r="G23" s="672" t="s">
        <v>51</v>
      </c>
    </row>
    <row r="24" spans="1:7" ht="18" customHeight="1">
      <c r="A24" s="1508"/>
      <c r="B24" s="1509"/>
      <c r="C24" s="1510"/>
      <c r="D24" s="1510"/>
      <c r="E24" s="1511"/>
      <c r="F24" s="642"/>
      <c r="G24" s="670" t="str">
        <f>+CONCATENATE(ZAKL_DATA!B19)</f>
        <v/>
      </c>
    </row>
    <row r="25" spans="1:7" ht="9" customHeight="1" thickBot="1">
      <c r="A25" s="1512"/>
      <c r="B25" s="1513"/>
      <c r="C25" s="1513"/>
      <c r="D25" s="1513"/>
      <c r="E25" s="1514"/>
      <c r="F25" s="1514"/>
      <c r="G25" s="1515"/>
    </row>
    <row r="26" spans="1:7" ht="10.9" customHeight="1">
      <c r="A26" s="1563"/>
      <c r="B26" s="1563"/>
      <c r="C26" s="1563"/>
      <c r="D26" s="1563"/>
      <c r="E26" s="1563"/>
      <c r="F26" s="1563"/>
      <c r="G26" s="1563"/>
    </row>
    <row r="27" spans="1:7" ht="15" customHeight="1">
      <c r="A27" s="673" t="s">
        <v>3848</v>
      </c>
      <c r="B27" s="671">
        <f>+F15</f>
        <v>2017</v>
      </c>
      <c r="C27" s="665" t="s">
        <v>3851</v>
      </c>
      <c r="D27" s="1516" t="s">
        <v>3849</v>
      </c>
      <c r="E27" s="728"/>
      <c r="F27" s="728"/>
      <c r="G27" s="728"/>
    </row>
    <row r="28" spans="1:11" ht="15" customHeight="1" thickBot="1">
      <c r="A28" s="1521" t="s">
        <v>3850</v>
      </c>
      <c r="B28" s="1521"/>
      <c r="C28" s="1522"/>
      <c r="D28" s="1522"/>
      <c r="E28" s="1522"/>
      <c r="F28" s="1522"/>
      <c r="G28" s="1522"/>
      <c r="H28" s="582"/>
      <c r="I28" s="582"/>
      <c r="J28" s="582"/>
      <c r="K28" s="582"/>
    </row>
    <row r="29" spans="1:8" ht="25.9" customHeight="1">
      <c r="A29" s="583"/>
      <c r="B29" s="584" t="s">
        <v>128</v>
      </c>
      <c r="C29" s="584" t="s">
        <v>127</v>
      </c>
      <c r="D29" s="584" t="s">
        <v>185</v>
      </c>
      <c r="E29" s="641" t="s">
        <v>3566</v>
      </c>
      <c r="F29" s="641" t="s">
        <v>3567</v>
      </c>
      <c r="G29" s="585" t="s">
        <v>3852</v>
      </c>
      <c r="H29" s="586"/>
    </row>
    <row r="30" spans="1:7" ht="18" customHeight="1">
      <c r="A30" s="674">
        <v>1</v>
      </c>
      <c r="B30" s="666" t="str">
        <f>+IF(EXACT(MID('DAP3'!B20,1,1),"x")," ",(MID('DAP3'!B20,1,+FIND(" ",'DAP3'!B20))))</f>
        <v xml:space="preserve"> </v>
      </c>
      <c r="C30" s="587" t="str">
        <f>+IF(EXACT(MID('DAP3'!B20,1,1),"x")," ",(MID('DAP3'!B20,+FIND(" ",'DAP3'!B20)+1,20)))</f>
        <v xml:space="preserve"> </v>
      </c>
      <c r="D30" s="587" t="str">
        <f>+IF(EXACT(MID('DAP3'!C20,1,1),"X")," ",CONCATENATE('DAP3'!D20))</f>
        <v/>
      </c>
      <c r="E30" s="669"/>
      <c r="F30" s="669"/>
      <c r="G30" s="588"/>
    </row>
    <row r="31" spans="1:7" ht="18" customHeight="1">
      <c r="A31" s="674">
        <v>2</v>
      </c>
      <c r="B31" s="666" t="str">
        <f>+IF(EXACT(MID('DAP3'!B21,1,1),"x")," ",(MID('DAP3'!B21,1,+FIND(" ",'DAP3'!B21))))</f>
        <v xml:space="preserve"> </v>
      </c>
      <c r="C31" s="587" t="str">
        <f>+IF(EXACT(MID('DAP3'!B21,1,1),"x")," ",(MID('DAP3'!B21,+FIND(" ",'DAP3'!B21)+1,20)))</f>
        <v xml:space="preserve"> </v>
      </c>
      <c r="D31" s="587" t="str">
        <f>+IF(EXACT(MID('DAP3'!C21,1,1),"X")," ",CONCATENATE('DAP3'!D21))</f>
        <v/>
      </c>
      <c r="E31" s="669"/>
      <c r="F31" s="669"/>
      <c r="G31" s="588"/>
    </row>
    <row r="32" spans="1:7" ht="18" customHeight="1">
      <c r="A32" s="674">
        <v>3</v>
      </c>
      <c r="B32" s="666" t="str">
        <f>+IF(EXACT(MID('DAP3'!B22,1,1),"x")," ",(MID('DAP3'!B22,1,+FIND(" ",'DAP3'!B22))))</f>
        <v xml:space="preserve"> </v>
      </c>
      <c r="C32" s="587" t="str">
        <f>+IF(EXACT(MID('DAP3'!B22,1,1),"x")," ",(MID('DAP3'!B22,+FIND(" ",'DAP3'!B22)+1,20)))</f>
        <v xml:space="preserve"> </v>
      </c>
      <c r="D32" s="587" t="str">
        <f>+IF(EXACT(MID('DAP3'!C22,1,1),"X")," ",CONCATENATE('DAP3'!D22))</f>
        <v/>
      </c>
      <c r="E32" s="669"/>
      <c r="F32" s="669"/>
      <c r="G32" s="588"/>
    </row>
    <row r="33" spans="1:7" ht="18" customHeight="1">
      <c r="A33" s="674">
        <v>4</v>
      </c>
      <c r="B33" s="666" t="str">
        <f>+IF(EXACT(MID('DAP3'!B23,1,1),"x")," ",(MID('DAP3'!B23,1,+FIND(" ",'DAP3'!B23))))</f>
        <v xml:space="preserve"> </v>
      </c>
      <c r="C33" s="587" t="str">
        <f>+IF(EXACT(MID('DAP3'!B23,1,1),"x")," ",(MID('DAP3'!B23,+FIND(" ",'DAP3'!B23)+1,20)))</f>
        <v xml:space="preserve"> </v>
      </c>
      <c r="D33" s="587" t="str">
        <f>+IF(EXACT(MID('DAP3'!C23,1,1),"X")," ",CONCATENATE('DAP3'!D23))</f>
        <v/>
      </c>
      <c r="E33" s="669"/>
      <c r="F33" s="669"/>
      <c r="G33" s="588"/>
    </row>
    <row r="34" spans="1:7" ht="18" customHeight="1">
      <c r="A34" s="675" t="s">
        <v>3853</v>
      </c>
      <c r="B34" s="667"/>
      <c r="C34" s="589"/>
      <c r="D34" s="590"/>
      <c r="E34" s="590"/>
      <c r="F34" s="590"/>
      <c r="G34" s="588"/>
    </row>
    <row r="35" spans="1:7" ht="18" customHeight="1">
      <c r="A35" s="675" t="s">
        <v>3854</v>
      </c>
      <c r="B35" s="667"/>
      <c r="C35" s="589"/>
      <c r="D35" s="590"/>
      <c r="E35" s="590"/>
      <c r="F35" s="590"/>
      <c r="G35" s="588"/>
    </row>
    <row r="36" spans="1:7" ht="18" customHeight="1" thickBot="1">
      <c r="A36" s="676"/>
      <c r="B36" s="668"/>
      <c r="C36" s="591"/>
      <c r="D36" s="592"/>
      <c r="E36" s="592"/>
      <c r="F36" s="592"/>
      <c r="G36" s="593"/>
    </row>
    <row r="37" spans="1:7" ht="15" customHeight="1">
      <c r="A37" s="1569"/>
      <c r="B37" s="1569"/>
      <c r="C37" s="1569"/>
      <c r="D37" s="1569"/>
      <c r="E37" s="1569"/>
      <c r="F37" s="1569"/>
      <c r="G37" s="1569"/>
    </row>
    <row r="38" spans="1:7" ht="15" customHeight="1">
      <c r="A38" s="1547"/>
      <c r="B38" s="1547"/>
      <c r="C38" s="1547"/>
      <c r="D38" s="1547"/>
      <c r="E38" s="1547"/>
      <c r="F38" s="1547"/>
      <c r="G38" s="1547"/>
    </row>
    <row r="39" spans="1:7" ht="15" customHeight="1">
      <c r="A39" s="1547"/>
      <c r="B39" s="1547"/>
      <c r="C39" s="1547"/>
      <c r="D39" s="1547"/>
      <c r="E39" s="1547"/>
      <c r="F39" s="1547"/>
      <c r="G39" s="1547"/>
    </row>
    <row r="40" spans="1:7" ht="15" customHeight="1">
      <c r="A40" s="1570" t="s">
        <v>3728</v>
      </c>
      <c r="B40" s="1570"/>
      <c r="C40" s="1570"/>
      <c r="D40" s="1570"/>
      <c r="E40" s="1570"/>
      <c r="F40" s="1570"/>
      <c r="G40" s="1570"/>
    </row>
    <row r="41" spans="1:7" ht="15" customHeight="1">
      <c r="A41" s="594" t="s">
        <v>3729</v>
      </c>
      <c r="B41" s="594"/>
      <c r="C41" s="1571"/>
      <c r="D41" s="1572"/>
      <c r="E41" s="595" t="s">
        <v>3730</v>
      </c>
      <c r="F41" s="1573"/>
      <c r="G41" s="1574"/>
    </row>
    <row r="42" spans="1:7" ht="15" customHeight="1">
      <c r="A42" s="1575"/>
      <c r="B42" s="1575"/>
      <c r="C42" s="1575"/>
      <c r="D42" s="1575"/>
      <c r="E42" s="1575"/>
      <c r="F42" s="1575"/>
      <c r="G42" s="1575"/>
    </row>
    <row r="43" spans="1:7" ht="15" customHeight="1">
      <c r="A43" s="1576" t="s">
        <v>3731</v>
      </c>
      <c r="B43" s="1577"/>
      <c r="C43" s="1576"/>
      <c r="D43" s="1576"/>
      <c r="E43" s="595" t="s">
        <v>3855</v>
      </c>
      <c r="F43" s="1578"/>
      <c r="G43" s="1579"/>
    </row>
    <row r="44" spans="1:7" ht="15" customHeight="1">
      <c r="A44" s="1580"/>
      <c r="B44" s="1581"/>
      <c r="C44" s="1581"/>
      <c r="D44" s="1582"/>
      <c r="E44" s="1583"/>
      <c r="F44" s="1575"/>
      <c r="G44" s="1575"/>
    </row>
    <row r="45" spans="1:7" ht="15" customHeight="1">
      <c r="A45" s="1564"/>
      <c r="B45" s="1565"/>
      <c r="C45" s="1565"/>
      <c r="D45" s="1566"/>
      <c r="E45" s="595" t="s">
        <v>3732</v>
      </c>
      <c r="F45" s="1567">
        <f ca="1">TODAY()</f>
        <v>43231</v>
      </c>
      <c r="G45" s="1568"/>
    </row>
    <row r="46" spans="1:7" ht="15" customHeight="1">
      <c r="A46" s="1564"/>
      <c r="B46" s="1565"/>
      <c r="C46" s="1565"/>
      <c r="D46" s="1566"/>
      <c r="E46" s="595"/>
      <c r="F46" s="596"/>
      <c r="G46" s="596"/>
    </row>
    <row r="47" spans="1:7" ht="15" customHeight="1">
      <c r="A47" s="1584"/>
      <c r="B47" s="1585"/>
      <c r="C47" s="1586"/>
      <c r="D47" s="1587"/>
      <c r="E47" s="1583"/>
      <c r="F47" s="1575"/>
      <c r="G47" s="1575"/>
    </row>
    <row r="48" spans="1:7" ht="15" customHeight="1">
      <c r="A48" s="1588" t="s">
        <v>3733</v>
      </c>
      <c r="B48" s="1588"/>
      <c r="C48" s="1588"/>
      <c r="D48" s="1588"/>
      <c r="E48" s="1588"/>
      <c r="F48" s="1588"/>
      <c r="G48" s="1588"/>
    </row>
    <row r="49" spans="1:7" ht="15" customHeight="1">
      <c r="A49" s="1573" t="s">
        <v>220</v>
      </c>
      <c r="B49" s="1589"/>
      <c r="C49" s="1574"/>
      <c r="D49" s="597"/>
      <c r="E49" s="1590" t="s">
        <v>3734</v>
      </c>
      <c r="F49" s="1591"/>
      <c r="G49" s="1592"/>
    </row>
    <row r="50" spans="1:7" ht="12">
      <c r="A50" s="1602"/>
      <c r="B50" s="1603"/>
      <c r="C50" s="1603"/>
      <c r="D50" s="639"/>
      <c r="E50" s="1593"/>
      <c r="F50" s="1594"/>
      <c r="G50" s="1595"/>
    </row>
    <row r="51" spans="1:7" ht="12">
      <c r="A51" s="834"/>
      <c r="B51" s="834"/>
      <c r="C51" s="834"/>
      <c r="D51" s="639"/>
      <c r="E51" s="1593"/>
      <c r="F51" s="1594"/>
      <c r="G51" s="1595"/>
    </row>
    <row r="52" spans="1:7" ht="12">
      <c r="A52" s="834"/>
      <c r="B52" s="834"/>
      <c r="C52" s="834"/>
      <c r="D52" s="639" t="s">
        <v>3586</v>
      </c>
      <c r="E52" s="1596"/>
      <c r="F52" s="1597"/>
      <c r="G52" s="1598"/>
    </row>
    <row r="53" spans="1:7" ht="12">
      <c r="A53" s="639"/>
      <c r="B53" s="639"/>
      <c r="C53" s="639"/>
      <c r="D53" s="639"/>
      <c r="E53" s="1601"/>
      <c r="F53" s="1601"/>
      <c r="G53" s="1601"/>
    </row>
    <row r="54" spans="1:7" ht="12">
      <c r="A54" s="1604" t="s">
        <v>3856</v>
      </c>
      <c r="B54" s="1604"/>
      <c r="C54" s="1604"/>
      <c r="D54" s="1604"/>
      <c r="E54" s="1604"/>
      <c r="F54" s="1604"/>
      <c r="G54" s="1604"/>
    </row>
    <row r="55" spans="1:7" ht="12">
      <c r="A55" s="1547"/>
      <c r="B55" s="1547"/>
      <c r="C55" s="1547"/>
      <c r="D55" s="1547"/>
      <c r="E55" s="1547"/>
      <c r="F55" s="1547"/>
      <c r="G55" s="1547"/>
    </row>
    <row r="56" spans="1:7" ht="12">
      <c r="A56" s="1547"/>
      <c r="B56" s="1547"/>
      <c r="C56" s="1547"/>
      <c r="D56" s="1547"/>
      <c r="E56" s="1547"/>
      <c r="F56" s="1547"/>
      <c r="G56" s="1547"/>
    </row>
    <row r="57" spans="1:12" ht="12.75">
      <c r="A57" s="1599" t="s">
        <v>3735</v>
      </c>
      <c r="B57" s="1599"/>
      <c r="C57" s="1599"/>
      <c r="D57" s="1599"/>
      <c r="E57" s="1599"/>
      <c r="F57" s="1599"/>
      <c r="G57" s="1599"/>
      <c r="H57" s="598"/>
      <c r="I57" s="598"/>
      <c r="J57" s="598"/>
      <c r="K57" s="598"/>
      <c r="L57" s="598"/>
    </row>
    <row r="58" spans="1:12" ht="66.75" customHeight="1">
      <c r="A58" s="1600" t="s">
        <v>3857</v>
      </c>
      <c r="B58" s="1600"/>
      <c r="C58" s="1600"/>
      <c r="D58" s="1600"/>
      <c r="E58" s="1600"/>
      <c r="F58" s="1600"/>
      <c r="G58" s="1600"/>
      <c r="H58" s="599"/>
      <c r="I58" s="599"/>
      <c r="J58" s="599"/>
      <c r="K58" s="599"/>
      <c r="L58" s="599"/>
    </row>
    <row r="59" spans="1:7" ht="12">
      <c r="A59" s="600"/>
      <c r="B59" s="600"/>
      <c r="C59" s="600"/>
      <c r="D59" s="600"/>
      <c r="E59" s="600"/>
      <c r="F59" s="600"/>
      <c r="G59" s="600"/>
    </row>
    <row r="60" spans="1:7" ht="12">
      <c r="A60" s="601"/>
      <c r="B60" s="601"/>
      <c r="C60" s="601"/>
      <c r="D60" s="601"/>
      <c r="E60" s="601"/>
      <c r="F60" s="601"/>
      <c r="G60" s="601"/>
    </row>
    <row r="61" spans="1:7" ht="12">
      <c r="A61" s="601"/>
      <c r="B61" s="601"/>
      <c r="C61" s="601"/>
      <c r="D61" s="601"/>
      <c r="E61" s="601"/>
      <c r="F61" s="601"/>
      <c r="G61" s="601"/>
    </row>
    <row r="62" spans="1:7" ht="12">
      <c r="A62" s="601"/>
      <c r="B62" s="601"/>
      <c r="C62" s="601"/>
      <c r="D62" s="601"/>
      <c r="E62" s="601"/>
      <c r="F62" s="601"/>
      <c r="G62" s="601"/>
    </row>
    <row r="63" spans="1:7" ht="12">
      <c r="A63" s="601"/>
      <c r="B63" s="601"/>
      <c r="C63" s="601"/>
      <c r="D63" s="601"/>
      <c r="E63" s="601"/>
      <c r="F63" s="601"/>
      <c r="G63" s="601"/>
    </row>
    <row r="64" spans="1:7" ht="12">
      <c r="A64" s="601"/>
      <c r="B64" s="601"/>
      <c r="C64" s="601"/>
      <c r="D64" s="601"/>
      <c r="E64" s="601"/>
      <c r="F64" s="601"/>
      <c r="G64" s="601"/>
    </row>
    <row r="65" spans="1:7" ht="12">
      <c r="A65" s="601"/>
      <c r="B65" s="601"/>
      <c r="C65" s="601"/>
      <c r="D65" s="601"/>
      <c r="E65" s="601"/>
      <c r="F65" s="601"/>
      <c r="G65" s="601"/>
    </row>
    <row r="66" spans="1:7" ht="12">
      <c r="A66" s="601"/>
      <c r="B66" s="601"/>
      <c r="C66" s="601"/>
      <c r="D66" s="601"/>
      <c r="E66" s="601"/>
      <c r="F66" s="601"/>
      <c r="G66" s="601"/>
    </row>
    <row r="67" spans="1:7" ht="12">
      <c r="A67" s="601"/>
      <c r="B67" s="601"/>
      <c r="C67" s="601"/>
      <c r="D67" s="601"/>
      <c r="E67" s="601"/>
      <c r="F67" s="601"/>
      <c r="G67" s="601"/>
    </row>
    <row r="68" spans="1:7" ht="12">
      <c r="A68" s="601"/>
      <c r="B68" s="601"/>
      <c r="C68" s="601"/>
      <c r="D68" s="601"/>
      <c r="E68" s="601"/>
      <c r="F68" s="601"/>
      <c r="G68" s="601"/>
    </row>
    <row r="69" spans="1:7" ht="12">
      <c r="A69" s="601"/>
      <c r="B69" s="601"/>
      <c r="C69" s="601"/>
      <c r="D69" s="601"/>
      <c r="E69" s="601"/>
      <c r="F69" s="601"/>
      <c r="G69" s="601"/>
    </row>
    <row r="70" spans="1:7" ht="12">
      <c r="A70" s="601"/>
      <c r="B70" s="601"/>
      <c r="C70" s="601"/>
      <c r="D70" s="601"/>
      <c r="E70" s="601"/>
      <c r="F70" s="601"/>
      <c r="G70" s="601"/>
    </row>
    <row r="71" spans="1:7" ht="12">
      <c r="A71" s="601"/>
      <c r="B71" s="601"/>
      <c r="C71" s="601"/>
      <c r="D71" s="601"/>
      <c r="E71" s="601"/>
      <c r="F71" s="601"/>
      <c r="G71" s="601"/>
    </row>
    <row r="72" spans="1:7" ht="12">
      <c r="A72" s="601"/>
      <c r="B72" s="601"/>
      <c r="C72" s="601"/>
      <c r="D72" s="601"/>
      <c r="E72" s="601"/>
      <c r="F72" s="601"/>
      <c r="G72" s="601"/>
    </row>
    <row r="73" spans="1:7" ht="12">
      <c r="A73" s="601"/>
      <c r="B73" s="601"/>
      <c r="C73" s="601"/>
      <c r="D73" s="601"/>
      <c r="E73" s="601"/>
      <c r="F73" s="601"/>
      <c r="G73" s="601"/>
    </row>
    <row r="74" spans="1:7" ht="12">
      <c r="A74" s="601"/>
      <c r="B74" s="601"/>
      <c r="C74" s="601"/>
      <c r="D74" s="601"/>
      <c r="E74" s="601"/>
      <c r="F74" s="601"/>
      <c r="G74" s="601"/>
    </row>
    <row r="75" spans="1:7" ht="12">
      <c r="A75" s="601"/>
      <c r="B75" s="601"/>
      <c r="C75" s="601"/>
      <c r="D75" s="601"/>
      <c r="E75" s="601"/>
      <c r="F75" s="601"/>
      <c r="G75" s="601"/>
    </row>
    <row r="76" spans="1:7" ht="12">
      <c r="A76" s="601"/>
      <c r="B76" s="601"/>
      <c r="C76" s="601"/>
      <c r="D76" s="601"/>
      <c r="E76" s="601"/>
      <c r="F76" s="601"/>
      <c r="G76" s="601"/>
    </row>
    <row r="77" spans="1:7" ht="12">
      <c r="A77" s="601"/>
      <c r="B77" s="601"/>
      <c r="C77" s="601"/>
      <c r="D77" s="601"/>
      <c r="E77" s="601"/>
      <c r="F77" s="601"/>
      <c r="G77" s="601"/>
    </row>
    <row r="78" spans="1:7" ht="12">
      <c r="A78" s="601"/>
      <c r="B78" s="601"/>
      <c r="C78" s="601"/>
      <c r="D78" s="601"/>
      <c r="E78" s="601"/>
      <c r="F78" s="601"/>
      <c r="G78" s="601"/>
    </row>
    <row r="79" spans="1:7" ht="12">
      <c r="A79" s="601"/>
      <c r="B79" s="601"/>
      <c r="C79" s="601"/>
      <c r="D79" s="601"/>
      <c r="E79" s="601"/>
      <c r="F79" s="601"/>
      <c r="G79" s="601"/>
    </row>
    <row r="80" spans="1:7" ht="12">
      <c r="A80" s="601"/>
      <c r="B80" s="601"/>
      <c r="C80" s="601"/>
      <c r="D80" s="601"/>
      <c r="E80" s="601"/>
      <c r="F80" s="601"/>
      <c r="G80" s="601"/>
    </row>
    <row r="81" spans="1:7" ht="12">
      <c r="A81" s="601"/>
      <c r="B81" s="601"/>
      <c r="C81" s="601"/>
      <c r="D81" s="601"/>
      <c r="E81" s="601"/>
      <c r="F81" s="601"/>
      <c r="G81" s="601"/>
    </row>
    <row r="82" spans="1:7" ht="12">
      <c r="A82" s="601"/>
      <c r="B82" s="601"/>
      <c r="C82" s="601"/>
      <c r="D82" s="601"/>
      <c r="E82" s="601"/>
      <c r="F82" s="601"/>
      <c r="G82" s="601"/>
    </row>
    <row r="83" spans="1:7" ht="12">
      <c r="A83" s="601"/>
      <c r="B83" s="601"/>
      <c r="C83" s="601"/>
      <c r="D83" s="601"/>
      <c r="E83" s="601"/>
      <c r="F83" s="601"/>
      <c r="G83" s="601"/>
    </row>
    <row r="84" spans="1:7" ht="12">
      <c r="A84" s="601"/>
      <c r="B84" s="601"/>
      <c r="C84" s="601"/>
      <c r="D84" s="601"/>
      <c r="E84" s="601"/>
      <c r="F84" s="601"/>
      <c r="G84" s="601"/>
    </row>
    <row r="85" spans="1:7" ht="12">
      <c r="A85" s="601"/>
      <c r="B85" s="601"/>
      <c r="C85" s="601"/>
      <c r="D85" s="601"/>
      <c r="E85" s="601"/>
      <c r="F85" s="601"/>
      <c r="G85" s="601"/>
    </row>
    <row r="86" spans="1:7" ht="12">
      <c r="A86" s="601"/>
      <c r="B86" s="601"/>
      <c r="C86" s="601"/>
      <c r="D86" s="601"/>
      <c r="E86" s="601"/>
      <c r="F86" s="601"/>
      <c r="G86" s="601"/>
    </row>
    <row r="87" spans="1:7" ht="12">
      <c r="A87" s="601"/>
      <c r="B87" s="601"/>
      <c r="C87" s="601"/>
      <c r="D87" s="601"/>
      <c r="E87" s="601"/>
      <c r="F87" s="601"/>
      <c r="G87" s="601"/>
    </row>
    <row r="88" spans="1:7" ht="12">
      <c r="A88" s="601"/>
      <c r="B88" s="601"/>
      <c r="C88" s="601"/>
      <c r="D88" s="601"/>
      <c r="E88" s="601"/>
      <c r="F88" s="601"/>
      <c r="G88" s="601"/>
    </row>
    <row r="89" spans="1:7" ht="12">
      <c r="A89" s="601"/>
      <c r="B89" s="601"/>
      <c r="C89" s="601"/>
      <c r="D89" s="601"/>
      <c r="E89" s="601"/>
      <c r="F89" s="601"/>
      <c r="G89" s="601"/>
    </row>
    <row r="90" spans="1:7" ht="12">
      <c r="A90" s="601"/>
      <c r="B90" s="601"/>
      <c r="C90" s="601"/>
      <c r="D90" s="601"/>
      <c r="E90" s="601"/>
      <c r="F90" s="601"/>
      <c r="G90" s="601"/>
    </row>
    <row r="91" spans="1:7" ht="12">
      <c r="A91" s="601"/>
      <c r="B91" s="601"/>
      <c r="C91" s="601"/>
      <c r="D91" s="601"/>
      <c r="E91" s="601"/>
      <c r="F91" s="601"/>
      <c r="G91" s="601"/>
    </row>
    <row r="92" spans="1:7" ht="12">
      <c r="A92" s="601"/>
      <c r="B92" s="601"/>
      <c r="C92" s="601"/>
      <c r="D92" s="601"/>
      <c r="E92" s="601"/>
      <c r="F92" s="601"/>
      <c r="G92" s="601"/>
    </row>
    <row r="93" spans="1:7" ht="12">
      <c r="A93" s="601"/>
      <c r="B93" s="601"/>
      <c r="C93" s="601"/>
      <c r="D93" s="601"/>
      <c r="E93" s="601"/>
      <c r="F93" s="601"/>
      <c r="G93" s="601"/>
    </row>
    <row r="94" spans="1:7" ht="12">
      <c r="A94" s="601"/>
      <c r="B94" s="601"/>
      <c r="C94" s="601"/>
      <c r="D94" s="601"/>
      <c r="E94" s="601"/>
      <c r="F94" s="601"/>
      <c r="G94" s="601"/>
    </row>
    <row r="95" spans="1:7" ht="12">
      <c r="A95" s="601"/>
      <c r="B95" s="601"/>
      <c r="C95" s="601"/>
      <c r="D95" s="601"/>
      <c r="E95" s="601"/>
      <c r="F95" s="601"/>
      <c r="G95" s="601"/>
    </row>
    <row r="96" spans="1:7" ht="12">
      <c r="A96" s="601"/>
      <c r="B96" s="601"/>
      <c r="C96" s="601"/>
      <c r="D96" s="601"/>
      <c r="E96" s="601"/>
      <c r="F96" s="601"/>
      <c r="G96" s="601"/>
    </row>
    <row r="97" spans="1:7" ht="12">
      <c r="A97" s="601"/>
      <c r="B97" s="601"/>
      <c r="C97" s="601"/>
      <c r="D97" s="601"/>
      <c r="E97" s="601"/>
      <c r="F97" s="601"/>
      <c r="G97" s="601"/>
    </row>
    <row r="98" spans="1:7" ht="12">
      <c r="A98" s="601"/>
      <c r="B98" s="601"/>
      <c r="C98" s="601"/>
      <c r="D98" s="601"/>
      <c r="E98" s="601"/>
      <c r="F98" s="601"/>
      <c r="G98" s="601"/>
    </row>
    <row r="99" spans="1:7" ht="12">
      <c r="A99" s="601"/>
      <c r="B99" s="601"/>
      <c r="C99" s="601"/>
      <c r="D99" s="601"/>
      <c r="E99" s="601"/>
      <c r="F99" s="601"/>
      <c r="G99" s="601"/>
    </row>
    <row r="100" spans="1:7" ht="12">
      <c r="A100" s="601"/>
      <c r="B100" s="601"/>
      <c r="C100" s="601"/>
      <c r="D100" s="601"/>
      <c r="E100" s="601"/>
      <c r="F100" s="601"/>
      <c r="G100" s="601"/>
    </row>
    <row r="101" spans="1:7" ht="12">
      <c r="A101" s="601"/>
      <c r="B101" s="601"/>
      <c r="C101" s="601"/>
      <c r="D101" s="601"/>
      <c r="E101" s="601"/>
      <c r="F101" s="601"/>
      <c r="G101" s="601"/>
    </row>
    <row r="102" spans="1:7" ht="12">
      <c r="A102" s="601"/>
      <c r="B102" s="601"/>
      <c r="C102" s="601"/>
      <c r="D102" s="601"/>
      <c r="E102" s="601"/>
      <c r="F102" s="601"/>
      <c r="G102" s="601"/>
    </row>
    <row r="103" spans="1:7" ht="12">
      <c r="A103" s="601"/>
      <c r="B103" s="601"/>
      <c r="C103" s="601"/>
      <c r="D103" s="601"/>
      <c r="E103" s="601"/>
      <c r="F103" s="601"/>
      <c r="G103" s="601"/>
    </row>
    <row r="104" spans="1:7" ht="12">
      <c r="A104" s="601"/>
      <c r="B104" s="601"/>
      <c r="C104" s="601"/>
      <c r="D104" s="601"/>
      <c r="E104" s="601"/>
      <c r="F104" s="601"/>
      <c r="G104" s="601"/>
    </row>
    <row r="105" spans="1:7" ht="12">
      <c r="A105" s="601"/>
      <c r="B105" s="601"/>
      <c r="C105" s="601"/>
      <c r="D105" s="601"/>
      <c r="E105" s="601"/>
      <c r="F105" s="601"/>
      <c r="G105" s="601"/>
    </row>
    <row r="106" spans="1:7" ht="12">
      <c r="A106" s="601"/>
      <c r="B106" s="601"/>
      <c r="C106" s="601"/>
      <c r="D106" s="601"/>
      <c r="E106" s="601"/>
      <c r="F106" s="601"/>
      <c r="G106" s="601"/>
    </row>
    <row r="107" spans="1:7" ht="12">
      <c r="A107" s="601"/>
      <c r="B107" s="601"/>
      <c r="C107" s="601"/>
      <c r="D107" s="601"/>
      <c r="E107" s="601"/>
      <c r="F107" s="601"/>
      <c r="G107" s="601"/>
    </row>
    <row r="108" spans="1:7" ht="12">
      <c r="A108" s="601"/>
      <c r="B108" s="601"/>
      <c r="C108" s="601"/>
      <c r="D108" s="601"/>
      <c r="E108" s="601"/>
      <c r="F108" s="601"/>
      <c r="G108" s="601"/>
    </row>
    <row r="109" spans="1:7" ht="12">
      <c r="A109" s="601"/>
      <c r="B109" s="601"/>
      <c r="C109" s="601"/>
      <c r="D109" s="601"/>
      <c r="E109" s="601"/>
      <c r="F109" s="601"/>
      <c r="G109" s="601"/>
    </row>
    <row r="110" spans="1:7" ht="12">
      <c r="A110" s="601"/>
      <c r="B110" s="601"/>
      <c r="C110" s="601"/>
      <c r="D110" s="601"/>
      <c r="E110" s="601"/>
      <c r="F110" s="601"/>
      <c r="G110" s="601"/>
    </row>
    <row r="111" spans="1:7" ht="12">
      <c r="A111" s="601"/>
      <c r="B111" s="601"/>
      <c r="C111" s="601"/>
      <c r="D111" s="601"/>
      <c r="E111" s="601"/>
      <c r="F111" s="601"/>
      <c r="G111" s="601"/>
    </row>
    <row r="112" spans="1:7" ht="12">
      <c r="A112" s="601"/>
      <c r="B112" s="601"/>
      <c r="C112" s="601"/>
      <c r="D112" s="601"/>
      <c r="E112" s="601"/>
      <c r="F112" s="601"/>
      <c r="G112" s="601"/>
    </row>
    <row r="113" spans="1:7" ht="12">
      <c r="A113" s="601"/>
      <c r="B113" s="601"/>
      <c r="C113" s="601"/>
      <c r="D113" s="601"/>
      <c r="E113" s="601"/>
      <c r="F113" s="601"/>
      <c r="G113" s="601"/>
    </row>
    <row r="114" spans="1:7" ht="12">
      <c r="A114" s="601"/>
      <c r="B114" s="601"/>
      <c r="C114" s="601"/>
      <c r="D114" s="601"/>
      <c r="E114" s="601"/>
      <c r="F114" s="601"/>
      <c r="G114" s="601"/>
    </row>
    <row r="115" spans="1:7" ht="12">
      <c r="A115" s="601"/>
      <c r="B115" s="601"/>
      <c r="C115" s="601"/>
      <c r="D115" s="601"/>
      <c r="E115" s="601"/>
      <c r="F115" s="601"/>
      <c r="G115" s="601"/>
    </row>
    <row r="116" spans="1:7" ht="12">
      <c r="A116" s="601"/>
      <c r="B116" s="601"/>
      <c r="C116" s="601"/>
      <c r="D116" s="601"/>
      <c r="E116" s="601"/>
      <c r="F116" s="601"/>
      <c r="G116" s="601"/>
    </row>
    <row r="117" spans="1:7" ht="12">
      <c r="A117" s="601"/>
      <c r="B117" s="601"/>
      <c r="C117" s="601"/>
      <c r="D117" s="601"/>
      <c r="E117" s="601"/>
      <c r="F117" s="601"/>
      <c r="G117" s="601"/>
    </row>
    <row r="118" spans="1:7" ht="12">
      <c r="A118" s="601"/>
      <c r="B118" s="601"/>
      <c r="C118" s="601"/>
      <c r="D118" s="601"/>
      <c r="E118" s="601"/>
      <c r="F118" s="601"/>
      <c r="G118" s="601"/>
    </row>
    <row r="119" spans="1:7" ht="12">
      <c r="A119" s="601"/>
      <c r="B119" s="601"/>
      <c r="C119" s="601"/>
      <c r="D119" s="601"/>
      <c r="E119" s="601"/>
      <c r="F119" s="601"/>
      <c r="G119" s="601"/>
    </row>
  </sheetData>
  <sheetProtection password="EF65" sheet="1" objects="1" scenarios="1"/>
  <mergeCells count="56">
    <mergeCell ref="A57:G57"/>
    <mergeCell ref="A58:G58"/>
    <mergeCell ref="E53:G53"/>
    <mergeCell ref="A50:C52"/>
    <mergeCell ref="A54:G54"/>
    <mergeCell ref="A55:G55"/>
    <mergeCell ref="A56:G56"/>
    <mergeCell ref="A46:D46"/>
    <mergeCell ref="A47:D47"/>
    <mergeCell ref="E47:G47"/>
    <mergeCell ref="A48:G48"/>
    <mergeCell ref="A49:C49"/>
    <mergeCell ref="E49:G52"/>
    <mergeCell ref="A21:G21"/>
    <mergeCell ref="A22:G22"/>
    <mergeCell ref="A26:G26"/>
    <mergeCell ref="A28:G28"/>
    <mergeCell ref="A45:D45"/>
    <mergeCell ref="F45:G45"/>
    <mergeCell ref="A37:G37"/>
    <mergeCell ref="A38:G39"/>
    <mergeCell ref="A40:G40"/>
    <mergeCell ref="C41:D41"/>
    <mergeCell ref="F41:G41"/>
    <mergeCell ref="A42:G42"/>
    <mergeCell ref="A43:D43"/>
    <mergeCell ref="F43:G43"/>
    <mergeCell ref="A44:D44"/>
    <mergeCell ref="E44:G44"/>
    <mergeCell ref="A10:G10"/>
    <mergeCell ref="A14:G14"/>
    <mergeCell ref="A4:G4"/>
    <mergeCell ref="A8:G8"/>
    <mergeCell ref="A7:G7"/>
    <mergeCell ref="A11:G11"/>
    <mergeCell ref="A1:G1"/>
    <mergeCell ref="A2:G2"/>
    <mergeCell ref="A3:G3"/>
    <mergeCell ref="A5:G6"/>
    <mergeCell ref="A9:G9"/>
    <mergeCell ref="A23:F23"/>
    <mergeCell ref="A24:E24"/>
    <mergeCell ref="A25:G25"/>
    <mergeCell ref="D27:G27"/>
    <mergeCell ref="A12:G12"/>
    <mergeCell ref="A15:E15"/>
    <mergeCell ref="A16:G16"/>
    <mergeCell ref="A18:D18"/>
    <mergeCell ref="A17:E17"/>
    <mergeCell ref="F18:G18"/>
    <mergeCell ref="A13:G13"/>
    <mergeCell ref="F17:G17"/>
    <mergeCell ref="A20:C20"/>
    <mergeCell ref="A19:D19"/>
    <mergeCell ref="E19:G19"/>
    <mergeCell ref="E20:G20"/>
  </mergeCells>
  <pageMargins left="0.196850393700787" right="0.196850393700787" top="0.393700787401575" bottom="0.393700787401575" header="0.31496062992126" footer="0.31496062992126"/>
  <pageSetup orientation="portrait" paperSize="9" scale="93"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sheetPr>
  <dimension ref="A1:F43"/>
  <sheetViews>
    <sheetView workbookViewId="0" topLeftCell="A1">
      <selection pane="topLeft" activeCell="B5" sqref="B5:C5"/>
    </sheetView>
  </sheetViews>
  <sheetFormatPr defaultColWidth="8.85428571428571" defaultRowHeight="15"/>
  <cols>
    <col min="1" max="1" width="9.57142857142857" style="602" customWidth="1"/>
    <col min="2" max="2" width="17.2857142857143" style="602" customWidth="1"/>
    <col min="3" max="3" width="17.8571428571429" style="602" customWidth="1"/>
    <col min="4" max="4" width="16.2857142857143" style="602" customWidth="1"/>
    <col min="5" max="5" width="21.5714285714286" style="602" customWidth="1"/>
    <col min="6" max="6" width="16.7142857142857" style="602" customWidth="1"/>
    <col min="7" max="16384" width="8.85714285714286" style="602"/>
  </cols>
  <sheetData>
    <row r="1" spans="1:5" ht="18" customHeight="1">
      <c r="A1" s="1606"/>
      <c r="B1" s="1606"/>
      <c r="C1" s="1606"/>
      <c r="D1" s="1606"/>
      <c r="E1" s="1606"/>
    </row>
    <row r="2" spans="1:6" ht="27.6" customHeight="1">
      <c r="A2" s="1548" t="s">
        <v>3736</v>
      </c>
      <c r="B2" s="1548"/>
      <c r="C2" s="1548"/>
      <c r="D2" s="1548"/>
      <c r="E2" s="1548"/>
      <c r="F2" s="603"/>
    </row>
    <row r="3" spans="1:5" ht="18" customHeight="1">
      <c r="A3" s="1606"/>
      <c r="B3" s="1606"/>
      <c r="C3" s="1606"/>
      <c r="D3" s="1606"/>
      <c r="E3" s="1606"/>
    </row>
    <row r="4" spans="1:5" ht="18" customHeight="1">
      <c r="A4" s="1606"/>
      <c r="B4" s="1606"/>
      <c r="C4" s="1606"/>
      <c r="D4" s="1606"/>
      <c r="E4" s="1606"/>
    </row>
    <row r="5" spans="1:5" ht="18" customHeight="1">
      <c r="A5" s="604" t="s">
        <v>3737</v>
      </c>
      <c r="B5" s="1605" t="str">
        <f>+CONCATENATE('DAP3'!C2)</f>
        <v xml:space="preserve"> </v>
      </c>
      <c r="C5" s="1605"/>
      <c r="D5" s="604" t="s">
        <v>42</v>
      </c>
      <c r="E5" s="605" t="str">
        <f>+CONCATENATE('DAP3'!H2)</f>
        <v/>
      </c>
    </row>
    <row r="6" spans="1:5" ht="18" customHeight="1">
      <c r="A6" s="1607"/>
      <c r="B6" s="1607"/>
      <c r="C6" s="1607"/>
      <c r="D6" s="1607"/>
      <c r="E6" s="1607"/>
    </row>
    <row r="7" spans="1:5" ht="18" customHeight="1">
      <c r="A7" s="604" t="s">
        <v>3738</v>
      </c>
      <c r="B7" s="1605" t="str">
        <f>+CONCATENATE(ZAKL_DATA!B16," ",ZAKL_DATA!B17,", ",ZAKL_DATA!B18,", PSČ ",ZAKL_DATA!B19)</f>
        <v xml:space="preserve"> , , PSČ </v>
      </c>
      <c r="C7" s="1605"/>
      <c r="D7" s="1605"/>
      <c r="E7" s="1605"/>
    </row>
    <row r="8" spans="1:5" ht="18" customHeight="1">
      <c r="A8" s="604"/>
      <c r="B8" s="604"/>
      <c r="C8" s="604"/>
      <c r="D8" s="604"/>
      <c r="E8" s="604"/>
    </row>
    <row r="9" spans="1:5" ht="18" customHeight="1">
      <c r="A9" s="1608" t="s">
        <v>3903</v>
      </c>
      <c r="B9" s="1608"/>
      <c r="C9" s="1608"/>
      <c r="D9" s="1608"/>
      <c r="E9" s="1608"/>
    </row>
    <row r="10" spans="1:5" ht="18" customHeight="1">
      <c r="A10" s="606"/>
      <c r="B10" s="607" t="s">
        <v>127</v>
      </c>
      <c r="C10" s="607" t="s">
        <v>128</v>
      </c>
      <c r="D10" s="607" t="s">
        <v>185</v>
      </c>
      <c r="E10" s="608"/>
    </row>
    <row r="11" spans="1:5" ht="18" customHeight="1">
      <c r="A11" s="606" t="s">
        <v>173</v>
      </c>
      <c r="B11" s="609" t="str">
        <f>+Potvr_ZAM!C30</f>
        <v xml:space="preserve"> </v>
      </c>
      <c r="C11" s="609" t="str">
        <f>+Potvr_ZAM!B30</f>
        <v xml:space="preserve"> </v>
      </c>
      <c r="D11" s="609" t="str">
        <f>+CONCATENATE(Potvr_ZAM!D30)</f>
        <v/>
      </c>
      <c r="E11" s="610"/>
    </row>
    <row r="12" spans="1:5" ht="18" customHeight="1">
      <c r="A12" s="606" t="s">
        <v>174</v>
      </c>
      <c r="B12" s="609" t="str">
        <f>+Potvr_ZAM!C31</f>
        <v xml:space="preserve"> </v>
      </c>
      <c r="C12" s="609" t="str">
        <f>+Potvr_ZAM!B31</f>
        <v xml:space="preserve"> </v>
      </c>
      <c r="D12" s="609" t="str">
        <f>+CONCATENATE(Potvr_ZAM!D31)</f>
        <v/>
      </c>
      <c r="E12" s="610"/>
    </row>
    <row r="13" spans="1:5" ht="18" customHeight="1">
      <c r="A13" s="606" t="s">
        <v>175</v>
      </c>
      <c r="B13" s="609" t="str">
        <f>+Potvr_ZAM!C32</f>
        <v xml:space="preserve"> </v>
      </c>
      <c r="C13" s="609" t="str">
        <f>+Potvr_ZAM!B32</f>
        <v xml:space="preserve"> </v>
      </c>
      <c r="D13" s="609" t="str">
        <f>+CONCATENATE(Potvr_ZAM!D32)</f>
        <v/>
      </c>
      <c r="E13" s="610"/>
    </row>
    <row r="14" spans="1:5" ht="18" customHeight="1">
      <c r="A14" s="606" t="s">
        <v>388</v>
      </c>
      <c r="B14" s="609" t="str">
        <f>+Potvr_ZAM!C33</f>
        <v xml:space="preserve"> </v>
      </c>
      <c r="C14" s="609" t="str">
        <f>+Potvr_ZAM!B33</f>
        <v xml:space="preserve"> </v>
      </c>
      <c r="D14" s="609" t="str">
        <f>+CONCATENATE(Potvr_ZAM!D33)</f>
        <v/>
      </c>
      <c r="E14" s="610"/>
    </row>
    <row r="15" spans="1:5" ht="18" customHeight="1">
      <c r="A15" s="606" t="s">
        <v>133</v>
      </c>
      <c r="B15" s="609" t="str">
        <f>+CONCATENATE(Potvr_ZAM!C34)</f>
        <v/>
      </c>
      <c r="C15" s="609" t="str">
        <f>+CONCATENATE(Potvr_ZAM!B34)</f>
        <v/>
      </c>
      <c r="D15" s="609" t="str">
        <f>+CONCATENATE(Potvr_ZAM!D34)</f>
        <v/>
      </c>
      <c r="E15" s="610"/>
    </row>
    <row r="16" spans="1:5" ht="18" customHeight="1">
      <c r="A16" s="606" t="s">
        <v>387</v>
      </c>
      <c r="B16" s="609" t="str">
        <f>+CONCATENATE(Potvr_ZAM!C35)</f>
        <v/>
      </c>
      <c r="C16" s="609" t="str">
        <f>+CONCATENATE(Potvr_ZAM!B35)</f>
        <v/>
      </c>
      <c r="D16" s="609" t="str">
        <f>+CONCATENATE(Potvr_ZAM!D35)</f>
        <v/>
      </c>
      <c r="E16" s="610"/>
    </row>
    <row r="17" spans="1:5" ht="18" customHeight="1">
      <c r="A17" s="606" t="s">
        <v>386</v>
      </c>
      <c r="B17" s="609" t="str">
        <f>+CONCATENATE(Potvr_ZAM!C36)</f>
        <v/>
      </c>
      <c r="C17" s="609" t="str">
        <f>+CONCATENATE(Potvr_ZAM!B36)</f>
        <v/>
      </c>
      <c r="D17" s="609" t="str">
        <f>+CONCATENATE(Potvr_ZAM!D36)</f>
        <v/>
      </c>
      <c r="E17" s="610"/>
    </row>
    <row r="18" spans="1:5" ht="18" customHeight="1">
      <c r="A18" s="1607"/>
      <c r="B18" s="1607"/>
      <c r="C18" s="1607"/>
      <c r="D18" s="1607"/>
      <c r="E18" s="1607"/>
    </row>
    <row r="19" spans="1:5" ht="18" customHeight="1">
      <c r="A19" s="1607"/>
      <c r="B19" s="1607"/>
      <c r="C19" s="1607"/>
      <c r="D19" s="1607"/>
      <c r="E19" s="1607"/>
    </row>
    <row r="20" spans="1:5" ht="18" customHeight="1">
      <c r="A20" s="604" t="s">
        <v>3544</v>
      </c>
      <c r="B20" s="611">
        <f ca="1">TODAY()</f>
        <v>43231</v>
      </c>
      <c r="C20" s="1607"/>
      <c r="D20" s="1607"/>
      <c r="E20" s="1607"/>
    </row>
    <row r="21" spans="1:5" ht="18" customHeight="1">
      <c r="A21" s="1607"/>
      <c r="B21" s="1607"/>
      <c r="C21" s="1607"/>
      <c r="D21" s="1609"/>
      <c r="E21" s="1609"/>
    </row>
    <row r="22" spans="1:5" ht="18" customHeight="1">
      <c r="A22" s="1607"/>
      <c r="B22" s="1607"/>
      <c r="C22" s="1607"/>
      <c r="D22" s="1572"/>
      <c r="E22" s="1572"/>
    </row>
    <row r="23" spans="1:5" ht="18" customHeight="1">
      <c r="A23" s="1607"/>
      <c r="B23" s="1607"/>
      <c r="C23" s="1607"/>
      <c r="D23" s="1610" t="s">
        <v>3739</v>
      </c>
      <c r="E23" s="1610"/>
    </row>
    <row r="24" spans="1:5" ht="18" customHeight="1">
      <c r="A24" s="612"/>
      <c r="B24" s="612"/>
      <c r="C24" s="612"/>
      <c r="D24" s="612"/>
      <c r="E24" s="612"/>
    </row>
    <row r="25" spans="1:5" ht="15">
      <c r="A25" s="612"/>
      <c r="B25" s="612"/>
      <c r="C25" s="612"/>
      <c r="D25" s="612"/>
      <c r="E25" s="612"/>
    </row>
    <row r="26" spans="1:5" ht="15">
      <c r="A26" s="612"/>
      <c r="B26" s="612"/>
      <c r="C26" s="612"/>
      <c r="D26" s="612"/>
      <c r="E26" s="612"/>
    </row>
    <row r="27" spans="1:5" ht="15">
      <c r="A27" s="612"/>
      <c r="B27" s="612"/>
      <c r="C27" s="612"/>
      <c r="D27" s="612"/>
      <c r="E27" s="612"/>
    </row>
    <row r="28" spans="1:5" ht="15">
      <c r="A28" s="612"/>
      <c r="B28" s="612"/>
      <c r="C28" s="612"/>
      <c r="D28" s="612"/>
      <c r="E28" s="612"/>
    </row>
    <row r="29" spans="1:5" ht="15">
      <c r="A29" s="612"/>
      <c r="B29" s="612"/>
      <c r="C29" s="612"/>
      <c r="D29" s="612"/>
      <c r="E29" s="612"/>
    </row>
    <row r="30" spans="1:5" ht="15">
      <c r="A30" s="612"/>
      <c r="B30" s="612"/>
      <c r="C30" s="612"/>
      <c r="D30" s="612"/>
      <c r="E30" s="612"/>
    </row>
    <row r="31" spans="1:5" ht="15">
      <c r="A31" s="612"/>
      <c r="B31" s="612"/>
      <c r="C31" s="612"/>
      <c r="D31" s="612"/>
      <c r="E31" s="612"/>
    </row>
    <row r="32" spans="1:5" ht="15">
      <c r="A32" s="612"/>
      <c r="B32" s="612"/>
      <c r="C32" s="612"/>
      <c r="D32" s="612"/>
      <c r="E32" s="612"/>
    </row>
    <row r="33" spans="1:5" ht="15">
      <c r="A33" s="612"/>
      <c r="B33" s="612"/>
      <c r="C33" s="612"/>
      <c r="D33" s="612"/>
      <c r="E33" s="612"/>
    </row>
    <row r="34" spans="1:5" ht="15">
      <c r="A34" s="612"/>
      <c r="B34" s="612"/>
      <c r="C34" s="612"/>
      <c r="D34" s="612"/>
      <c r="E34" s="612"/>
    </row>
    <row r="35" spans="1:5" ht="15">
      <c r="A35" s="612"/>
      <c r="B35" s="612"/>
      <c r="C35" s="612"/>
      <c r="D35" s="612"/>
      <c r="E35" s="612"/>
    </row>
    <row r="36" spans="1:5" ht="15">
      <c r="A36" s="612"/>
      <c r="B36" s="612"/>
      <c r="C36" s="612"/>
      <c r="D36" s="612"/>
      <c r="E36" s="612"/>
    </row>
    <row r="37" spans="1:5" ht="15">
      <c r="A37" s="612"/>
      <c r="B37" s="612"/>
      <c r="C37" s="612"/>
      <c r="D37" s="612"/>
      <c r="E37" s="612"/>
    </row>
    <row r="38" spans="1:5" ht="15">
      <c r="A38" s="612"/>
      <c r="B38" s="612"/>
      <c r="C38" s="612"/>
      <c r="D38" s="612"/>
      <c r="E38" s="612"/>
    </row>
    <row r="39" spans="1:5" ht="15">
      <c r="A39" s="612"/>
      <c r="B39" s="612"/>
      <c r="C39" s="612"/>
      <c r="D39" s="612"/>
      <c r="E39" s="612"/>
    </row>
    <row r="40" spans="1:5" ht="15">
      <c r="A40" s="612"/>
      <c r="B40" s="612"/>
      <c r="C40" s="612"/>
      <c r="D40" s="612"/>
      <c r="E40" s="612"/>
    </row>
    <row r="41" spans="1:5" ht="15">
      <c r="A41" s="612"/>
      <c r="B41" s="612"/>
      <c r="C41" s="612"/>
      <c r="D41" s="612"/>
      <c r="E41" s="612"/>
    </row>
    <row r="42" spans="1:5" ht="15">
      <c r="A42" s="612"/>
      <c r="B42" s="612"/>
      <c r="C42" s="612"/>
      <c r="D42" s="612"/>
      <c r="E42" s="612"/>
    </row>
    <row r="43" spans="1:5" ht="15">
      <c r="A43" s="612"/>
      <c r="B43" s="612"/>
      <c r="C43" s="612"/>
      <c r="D43" s="612"/>
      <c r="E43" s="612"/>
    </row>
  </sheetData>
  <sheetProtection password="EF65" sheet="1" objects="1" scenarios="1"/>
  <mergeCells count="12">
    <mergeCell ref="A9:E9"/>
    <mergeCell ref="A18:E19"/>
    <mergeCell ref="C20:E20"/>
    <mergeCell ref="A21:C23"/>
    <mergeCell ref="D21:E22"/>
    <mergeCell ref="D23:E23"/>
    <mergeCell ref="B7:E7"/>
    <mergeCell ref="A1:E1"/>
    <mergeCell ref="A2:E2"/>
    <mergeCell ref="A3:E4"/>
    <mergeCell ref="B5:C5"/>
    <mergeCell ref="A6:E6"/>
  </mergeCells>
  <pageMargins left="0.590551181102362" right="0.393700787401575" top="0.393700787401575" bottom="0.393700787401575" header="0.31496062992126" footer="0.31496062992126"/>
  <pageSetup orientation="portrait" paperSize="9"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100-000000000000}">
  <dimension ref="A1:Z992"/>
  <sheetViews>
    <sheetView workbookViewId="0" topLeftCell="A1">
      <selection pane="topLeft" activeCell="Z994" sqref="Z994"/>
    </sheetView>
  </sheetViews>
  <sheetFormatPr defaultRowHeight="12.75"/>
  <cols>
    <col min="2" max="2" width="27.4285714285714" customWidth="1"/>
    <col min="5" max="5" width="22.2857142857143" customWidth="1"/>
    <col min="8" max="8" width="26.1428571428571" customWidth="1"/>
    <col min="10" max="10" width="37.2857142857143" customWidth="1"/>
    <col min="14" max="14" width="44.8571428571429" customWidth="1"/>
  </cols>
  <sheetData>
    <row r="1" spans="1:15" ht="13.5" thickBot="1">
      <c r="A1" s="395"/>
      <c r="B1" s="395"/>
      <c r="C1" s="395"/>
      <c r="D1" s="396"/>
      <c r="E1" s="395"/>
      <c r="F1" s="395"/>
      <c r="G1" s="395"/>
      <c r="H1" s="395"/>
      <c r="I1" s="395"/>
      <c r="O1" s="397"/>
    </row>
    <row r="2" spans="1:17" ht="12.75" customHeight="1" thickBot="1">
      <c r="A2" s="395"/>
      <c r="B2" s="398" t="s">
        <v>824</v>
      </c>
      <c r="C2" s="399"/>
      <c r="D2" s="400"/>
      <c r="E2" s="401" t="s">
        <v>825</v>
      </c>
      <c r="F2" s="402"/>
      <c r="G2" s="401">
        <f>COUNTIF(H3:H210,"?*")</f>
        <v>202</v>
      </c>
      <c r="H2" s="403"/>
      <c r="I2" s="395"/>
      <c r="J2" s="404" t="s">
        <v>826</v>
      </c>
      <c r="M2" s="405" t="s">
        <v>827</v>
      </c>
      <c r="N2" s="406" t="s">
        <v>828</v>
      </c>
      <c r="O2" s="407" t="s">
        <v>829</v>
      </c>
      <c r="P2" s="408"/>
      <c r="Q2" s="404"/>
    </row>
    <row r="3" spans="1:26" ht="12.75" customHeight="1">
      <c r="A3" s="395"/>
      <c r="B3" s="409" t="s">
        <v>830</v>
      </c>
      <c r="C3" s="410">
        <v>451</v>
      </c>
      <c r="D3" s="411">
        <f>IF(ISNUMBER(SEARCH(ZAKL_DATA!$B$14,E3)),MAX($D$2:D2)+1,0)</f>
        <v>1</v>
      </c>
      <c r="E3" s="412" t="s">
        <v>831</v>
      </c>
      <c r="F3" s="413">
        <v>2001</v>
      </c>
      <c r="G3" s="414"/>
      <c r="H3" s="415" t="str">
        <f>IFERROR(VLOOKUP(ROWS($H$3:H3),$D$3:$E$204,2,0),"")</f>
        <v>PRAHA 1</v>
      </c>
      <c r="I3" s="395"/>
      <c r="J3" s="416" t="s">
        <v>832</v>
      </c>
      <c r="K3" s="417" t="s">
        <v>220</v>
      </c>
      <c r="M3" s="418">
        <f>IF(ISNUMBER(SEARCH(ZAKL_DATA!$B$29,N3)),MAX($M$2:M2)+1,0)</f>
        <v>1</v>
      </c>
      <c r="N3" s="419" t="s">
        <v>833</v>
      </c>
      <c r="O3" s="420" t="s">
        <v>834</v>
      </c>
      <c r="P3" s="421"/>
      <c r="Q3" s="422" t="str">
        <f>IFERROR(VLOOKUP(ROWS($Q$3:Q3),$M$3:$N$992,2,0),"")</f>
        <v>Rostlinná a živočišná výroba, myslivost a související činnosti</v>
      </c>
      <c r="R3">
        <f>IF(ISNUMBER(SEARCH('1Př1'!$A$35,N3)),MAX($M$2:M2)+1,0)</f>
        <v>1</v>
      </c>
      <c r="S3" s="419" t="s">
        <v>833</v>
      </c>
      <c r="T3" t="str">
        <f>IFERROR(VLOOKUP(ROWS($T$3:T3),$R$3:$S$992,2,0),"")</f>
        <v>Rostlinná a živočišná výroba, myslivost a související činnosti</v>
      </c>
      <c r="U3">
        <f>IF(ISNUMBER(SEARCH('1Př1'!$A$36,N3)),MAX($M$2:M2)+1,0)</f>
        <v>1</v>
      </c>
      <c r="V3" s="419" t="s">
        <v>833</v>
      </c>
      <c r="W3" t="str">
        <f>IFERROR(VLOOKUP(ROWS($W$3:W3),$U$3:$V$992,2,0),"")</f>
        <v>Rostlinná a živočišná výroba, myslivost a související činnosti</v>
      </c>
      <c r="X3">
        <f>IF(ISNUMBER(SEARCH('1Př1'!$A$37,N3)),MAX($M$2:M2)+1,0)</f>
        <v>1</v>
      </c>
      <c r="Y3" s="419" t="s">
        <v>833</v>
      </c>
      <c r="Z3" t="str">
        <f>IFERROR(VLOOKUP(ROWS($Z$3:Z3),$X$3:$Y$992,2,0),"")</f>
        <v>Rostlinná a živočišná výroba, myslivost a související činnosti</v>
      </c>
    </row>
    <row r="4" spans="1:26" ht="12.75" customHeight="1">
      <c r="A4" s="395"/>
      <c r="B4" s="423" t="s">
        <v>835</v>
      </c>
      <c r="C4" s="424">
        <v>452</v>
      </c>
      <c r="D4" s="411">
        <f>IF(ISNUMBER(SEARCH(ZAKL_DATA!$B$14,E4)),MAX($D$2:D3)+1,0)</f>
        <v>2</v>
      </c>
      <c r="E4" s="425" t="s">
        <v>836</v>
      </c>
      <c r="F4" s="426">
        <v>2002</v>
      </c>
      <c r="G4" s="427"/>
      <c r="H4" s="428" t="str">
        <f>IFERROR(VLOOKUP(ROWS($H$3:H4),$D$3:$E$204,2,0),"")</f>
        <v>PRAHA 2</v>
      </c>
      <c r="I4" s="395"/>
      <c r="J4" s="429" t="s">
        <v>837</v>
      </c>
      <c r="K4" s="417" t="s">
        <v>838</v>
      </c>
      <c r="M4" s="418">
        <f>IF(ISNUMBER(SEARCH(ZAKL_DATA!$B$29,N4)),MAX($M$2:M3)+1,0)</f>
        <v>2</v>
      </c>
      <c r="N4" s="419" t="s">
        <v>839</v>
      </c>
      <c r="O4" s="420" t="s">
        <v>840</v>
      </c>
      <c r="P4" s="421"/>
      <c r="Q4" s="422" t="str">
        <f>IFERROR(VLOOKUP(ROWS($Q$3:Q4),$M$3:$N$992,2,0),"")</f>
        <v>Lesnictví a těžba dřeva</v>
      </c>
      <c r="R4">
        <f>IF(ISNUMBER(SEARCH('1Př1'!$A$35,N4)),MAX($M$2:M3)+1,0)</f>
        <v>2</v>
      </c>
      <c r="S4" s="419" t="s">
        <v>839</v>
      </c>
      <c r="T4" t="str">
        <f>IFERROR(VLOOKUP(ROWS($T$3:T4),$R$3:$S$992,2,0),"")</f>
        <v>Lesnictví a těžba dřeva</v>
      </c>
      <c r="U4">
        <f>IF(ISNUMBER(SEARCH('1Př1'!$A$36,N4)),MAX($M$2:M3)+1,0)</f>
        <v>2</v>
      </c>
      <c r="V4" s="419" t="s">
        <v>839</v>
      </c>
      <c r="W4" t="str">
        <f>IFERROR(VLOOKUP(ROWS($W$3:W4),$U$3:$V$992,2,0),"")</f>
        <v>Lesnictví a těžba dřeva</v>
      </c>
      <c r="X4">
        <f>IF(ISNUMBER(SEARCH('1Př1'!$A$37,N4)),MAX($M$2:M3)+1,0)</f>
        <v>2</v>
      </c>
      <c r="Y4" s="419" t="s">
        <v>839</v>
      </c>
      <c r="Z4" t="str">
        <f>IFERROR(VLOOKUP(ROWS($Z$3:Z4),$X$3:$Y$992,2,0),"")</f>
        <v>Lesnictví a těžba dřeva</v>
      </c>
    </row>
    <row r="5" spans="1:26" ht="12.75" customHeight="1">
      <c r="A5" s="395"/>
      <c r="B5" s="423" t="s">
        <v>841</v>
      </c>
      <c r="C5" s="424">
        <v>453</v>
      </c>
      <c r="D5" s="411">
        <f>IF(ISNUMBER(SEARCH(ZAKL_DATA!$B$14,E5)),MAX($D$2:D4)+1,0)</f>
        <v>3</v>
      </c>
      <c r="E5" s="425" t="s">
        <v>842</v>
      </c>
      <c r="F5" s="426">
        <v>2003</v>
      </c>
      <c r="G5" s="427"/>
      <c r="H5" s="428" t="str">
        <f>IFERROR(VLOOKUP(ROWS($H$3:H5),$D$3:$E$204,2,0),"")</f>
        <v>PRAHA 3</v>
      </c>
      <c r="I5" s="395"/>
      <c r="J5" s="429" t="s">
        <v>843</v>
      </c>
      <c r="K5" s="417" t="s">
        <v>844</v>
      </c>
      <c r="M5" s="418">
        <f>IF(ISNUMBER(SEARCH(ZAKL_DATA!$B$29,N5)),MAX($M$2:M4)+1,0)</f>
        <v>3</v>
      </c>
      <c r="N5" s="419" t="s">
        <v>845</v>
      </c>
      <c r="O5" s="420" t="s">
        <v>846</v>
      </c>
      <c r="P5" s="421"/>
      <c r="Q5" s="422" t="str">
        <f>IFERROR(VLOOKUP(ROWS($Q$3:Q5),$M$3:$N$992,2,0),"")</f>
        <v>Rybolov a akvakultura</v>
      </c>
      <c r="R5">
        <f>IF(ISNUMBER(SEARCH('1Př1'!$A$35,N5)),MAX($M$2:M4)+1,0)</f>
        <v>3</v>
      </c>
      <c r="S5" s="419" t="s">
        <v>845</v>
      </c>
      <c r="T5" t="str">
        <f>IFERROR(VLOOKUP(ROWS($T$3:T5),$R$3:$S$992,2,0),"")</f>
        <v>Rybolov a akvakultura</v>
      </c>
      <c r="U5">
        <f>IF(ISNUMBER(SEARCH('1Př1'!$A$36,N5)),MAX($M$2:M4)+1,0)</f>
        <v>3</v>
      </c>
      <c r="V5" s="419" t="s">
        <v>845</v>
      </c>
      <c r="W5" t="str">
        <f>IFERROR(VLOOKUP(ROWS($W$3:W5),$U$3:$V$992,2,0),"")</f>
        <v>Rybolov a akvakultura</v>
      </c>
      <c r="X5">
        <f>IF(ISNUMBER(SEARCH('1Př1'!$A$37,N5)),MAX($M$2:M4)+1,0)</f>
        <v>3</v>
      </c>
      <c r="Y5" s="419" t="s">
        <v>845</v>
      </c>
      <c r="Z5" t="str">
        <f>IFERROR(VLOOKUP(ROWS($Z$3:Z5),$X$3:$Y$992,2,0),"")</f>
        <v>Rybolov a akvakultura</v>
      </c>
    </row>
    <row r="6" spans="1:26" ht="12.75" customHeight="1">
      <c r="A6" s="395"/>
      <c r="B6" s="423" t="s">
        <v>847</v>
      </c>
      <c r="C6" s="424">
        <v>454</v>
      </c>
      <c r="D6" s="411">
        <f>IF(ISNUMBER(SEARCH(ZAKL_DATA!$B$14,E6)),MAX($D$2:D5)+1,0)</f>
        <v>4</v>
      </c>
      <c r="E6" s="425" t="s">
        <v>848</v>
      </c>
      <c r="F6" s="426">
        <v>2004</v>
      </c>
      <c r="G6" s="427"/>
      <c r="H6" s="428" t="str">
        <f>IFERROR(VLOOKUP(ROWS($H$3:H6),$D$3:$E$204,2,0),"")</f>
        <v>PRAHA 4</v>
      </c>
      <c r="I6" s="395"/>
      <c r="J6" s="430" t="s">
        <v>849</v>
      </c>
      <c r="K6" s="417" t="s">
        <v>850</v>
      </c>
      <c r="M6" s="418">
        <f>IF(ISNUMBER(SEARCH(ZAKL_DATA!$B$29,N6)),MAX($M$2:M5)+1,0)</f>
        <v>4</v>
      </c>
      <c r="N6" s="419" t="s">
        <v>851</v>
      </c>
      <c r="O6" s="420" t="s">
        <v>852</v>
      </c>
      <c r="P6" s="421"/>
      <c r="Q6" s="422" t="str">
        <f>IFERROR(VLOOKUP(ROWS($Q$3:Q6),$M$3:$N$992,2,0),"")</f>
        <v>Těžba a úprava černého a hnědého uhlí</v>
      </c>
      <c r="R6">
        <f>IF(ISNUMBER(SEARCH('1Př1'!$A$35,N6)),MAX($M$2:M5)+1,0)</f>
        <v>4</v>
      </c>
      <c r="S6" s="419" t="s">
        <v>851</v>
      </c>
      <c r="T6" t="str">
        <f>IFERROR(VLOOKUP(ROWS($T$3:T6),$R$3:$S$992,2,0),"")</f>
        <v>Těžba a úprava černého a hnědého uhlí</v>
      </c>
      <c r="U6">
        <f>IF(ISNUMBER(SEARCH('1Př1'!$A$36,N6)),MAX($M$2:M5)+1,0)</f>
        <v>4</v>
      </c>
      <c r="V6" s="419" t="s">
        <v>851</v>
      </c>
      <c r="W6" t="str">
        <f>IFERROR(VLOOKUP(ROWS($W$3:W6),$U$3:$V$992,2,0),"")</f>
        <v>Těžba a úprava černého a hnědého uhlí</v>
      </c>
      <c r="X6">
        <f>IF(ISNUMBER(SEARCH('1Př1'!$A$37,N6)),MAX($M$2:M5)+1,0)</f>
        <v>4</v>
      </c>
      <c r="Y6" s="419" t="s">
        <v>851</v>
      </c>
      <c r="Z6" t="str">
        <f>IFERROR(VLOOKUP(ROWS($Z$3:Z6),$X$3:$Y$992,2,0),"")</f>
        <v>Těžba a úprava černého a hnědého uhlí</v>
      </c>
    </row>
    <row r="7" spans="1:26" ht="12.75" customHeight="1">
      <c r="A7" s="395"/>
      <c r="B7" s="423" t="s">
        <v>853</v>
      </c>
      <c r="C7" s="424">
        <v>455</v>
      </c>
      <c r="D7" s="411">
        <f>IF(ISNUMBER(SEARCH(ZAKL_DATA!$B$14,E7)),MAX($D$2:D6)+1,0)</f>
        <v>5</v>
      </c>
      <c r="E7" s="425" t="s">
        <v>854</v>
      </c>
      <c r="F7" s="426">
        <v>2005</v>
      </c>
      <c r="G7" s="427"/>
      <c r="H7" s="428" t="str">
        <f>IFERROR(VLOOKUP(ROWS($H$3:H7),$D$3:$E$204,2,0),"")</f>
        <v>PRAHA 5</v>
      </c>
      <c r="I7" s="395"/>
      <c r="J7" s="430" t="s">
        <v>855</v>
      </c>
      <c r="K7" s="417" t="s">
        <v>856</v>
      </c>
      <c r="M7" s="418">
        <f>IF(ISNUMBER(SEARCH(ZAKL_DATA!$B$29,N7)),MAX($M$2:M6)+1,0)</f>
        <v>5</v>
      </c>
      <c r="N7" s="419" t="s">
        <v>857</v>
      </c>
      <c r="O7" s="420" t="s">
        <v>858</v>
      </c>
      <c r="P7" s="421"/>
      <c r="Q7" s="422" t="str">
        <f>IFERROR(VLOOKUP(ROWS($Q$3:Q7),$M$3:$N$992,2,0),"")</f>
        <v>Těžba ropy a zemního plynu</v>
      </c>
      <c r="R7">
        <f>IF(ISNUMBER(SEARCH('1Př1'!$A$35,N7)),MAX($M$2:M6)+1,0)</f>
        <v>5</v>
      </c>
      <c r="S7" s="419" t="s">
        <v>857</v>
      </c>
      <c r="T7" t="str">
        <f>IFERROR(VLOOKUP(ROWS($T$3:T7),$R$3:$S$992,2,0),"")</f>
        <v>Těžba ropy a zemního plynu</v>
      </c>
      <c r="U7">
        <f>IF(ISNUMBER(SEARCH('1Př1'!$A$36,N7)),MAX($M$2:M6)+1,0)</f>
        <v>5</v>
      </c>
      <c r="V7" s="419" t="s">
        <v>857</v>
      </c>
      <c r="W7" t="str">
        <f>IFERROR(VLOOKUP(ROWS($W$3:W7),$U$3:$V$992,2,0),"")</f>
        <v>Těžba ropy a zemního plynu</v>
      </c>
      <c r="X7">
        <f>IF(ISNUMBER(SEARCH('1Př1'!$A$37,N7)),MAX($M$2:M6)+1,0)</f>
        <v>5</v>
      </c>
      <c r="Y7" s="419" t="s">
        <v>857</v>
      </c>
      <c r="Z7" t="str">
        <f>IFERROR(VLOOKUP(ROWS($Z$3:Z7),$X$3:$Y$992,2,0),"")</f>
        <v>Těžba ropy a zemního plynu</v>
      </c>
    </row>
    <row r="8" spans="1:26" ht="12.75" customHeight="1">
      <c r="A8" s="395"/>
      <c r="B8" s="423" t="s">
        <v>859</v>
      </c>
      <c r="C8" s="424">
        <v>456</v>
      </c>
      <c r="D8" s="411">
        <f>IF(ISNUMBER(SEARCH(ZAKL_DATA!$B$14,E8)),MAX($D$2:D7)+1,0)</f>
        <v>6</v>
      </c>
      <c r="E8" s="425" t="s">
        <v>860</v>
      </c>
      <c r="F8" s="426">
        <v>2006</v>
      </c>
      <c r="G8" s="427"/>
      <c r="H8" s="428" t="str">
        <f>IFERROR(VLOOKUP(ROWS($H$3:H8),$D$3:$E$204,2,0),"")</f>
        <v>PRAHA 6</v>
      </c>
      <c r="I8" s="395"/>
      <c r="J8" s="430" t="s">
        <v>861</v>
      </c>
      <c r="K8" s="417" t="s">
        <v>862</v>
      </c>
      <c r="M8" s="418">
        <f>IF(ISNUMBER(SEARCH(ZAKL_DATA!$B$29,N8)),MAX($M$2:M7)+1,0)</f>
        <v>6</v>
      </c>
      <c r="N8" s="419" t="s">
        <v>863</v>
      </c>
      <c r="O8" s="420" t="s">
        <v>864</v>
      </c>
      <c r="P8" s="421"/>
      <c r="Q8" s="422" t="str">
        <f>IFERROR(VLOOKUP(ROWS($Q$3:Q8),$M$3:$N$992,2,0),"")</f>
        <v>Těžba a úprava rud</v>
      </c>
      <c r="R8">
        <f>IF(ISNUMBER(SEARCH('1Př1'!$A$35,N8)),MAX($M$2:M7)+1,0)</f>
        <v>6</v>
      </c>
      <c r="S8" s="419" t="s">
        <v>863</v>
      </c>
      <c r="T8" t="str">
        <f>IFERROR(VLOOKUP(ROWS($T$3:T8),$R$3:$S$992,2,0),"")</f>
        <v>Těžba a úprava rud</v>
      </c>
      <c r="U8">
        <f>IF(ISNUMBER(SEARCH('1Př1'!$A$36,N8)),MAX($M$2:M7)+1,0)</f>
        <v>6</v>
      </c>
      <c r="V8" s="419" t="s">
        <v>863</v>
      </c>
      <c r="W8" t="str">
        <f>IFERROR(VLOOKUP(ROWS($W$3:W8),$U$3:$V$992,2,0),"")</f>
        <v>Těžba a úprava rud</v>
      </c>
      <c r="X8">
        <f>IF(ISNUMBER(SEARCH('1Př1'!$A$37,N8)),MAX($M$2:M7)+1,0)</f>
        <v>6</v>
      </c>
      <c r="Y8" s="419" t="s">
        <v>863</v>
      </c>
      <c r="Z8" t="str">
        <f>IFERROR(VLOOKUP(ROWS($Z$3:Z8),$X$3:$Y$992,2,0),"")</f>
        <v>Těžba a úprava rud</v>
      </c>
    </row>
    <row r="9" spans="1:26" ht="12.75" customHeight="1">
      <c r="A9" s="395"/>
      <c r="B9" s="423" t="s">
        <v>865</v>
      </c>
      <c r="C9" s="424">
        <v>457</v>
      </c>
      <c r="D9" s="411">
        <f>IF(ISNUMBER(SEARCH(ZAKL_DATA!$B$14,E9)),MAX($D$2:D8)+1,0)</f>
        <v>7</v>
      </c>
      <c r="E9" s="425" t="s">
        <v>866</v>
      </c>
      <c r="F9" s="426">
        <v>2007</v>
      </c>
      <c r="G9" s="427"/>
      <c r="H9" s="428" t="str">
        <f>IFERROR(VLOOKUP(ROWS($H$3:H9),$D$3:$E$204,2,0),"")</f>
        <v>PRAHA 7</v>
      </c>
      <c r="I9" s="395"/>
      <c r="J9" s="430" t="s">
        <v>867</v>
      </c>
      <c r="K9" s="417" t="s">
        <v>868</v>
      </c>
      <c r="M9" s="418">
        <f>IF(ISNUMBER(SEARCH(ZAKL_DATA!$B$29,N9)),MAX($M$2:M8)+1,0)</f>
        <v>7</v>
      </c>
      <c r="N9" s="419" t="s">
        <v>869</v>
      </c>
      <c r="O9" s="420" t="s">
        <v>870</v>
      </c>
      <c r="P9" s="421"/>
      <c r="Q9" s="422" t="str">
        <f>IFERROR(VLOOKUP(ROWS($Q$3:Q9),$M$3:$N$992,2,0),"")</f>
        <v>Ostatní těžba a dobývání</v>
      </c>
      <c r="R9">
        <f>IF(ISNUMBER(SEARCH('1Př1'!$A$35,N9)),MAX($M$2:M8)+1,0)</f>
        <v>7</v>
      </c>
      <c r="S9" s="419" t="s">
        <v>869</v>
      </c>
      <c r="T9" t="str">
        <f>IFERROR(VLOOKUP(ROWS($T$3:T9),$R$3:$S$992,2,0),"")</f>
        <v>Ostatní těžba a dobývání</v>
      </c>
      <c r="U9">
        <f>IF(ISNUMBER(SEARCH('1Př1'!$A$36,N9)),MAX($M$2:M8)+1,0)</f>
        <v>7</v>
      </c>
      <c r="V9" s="419" t="s">
        <v>869</v>
      </c>
      <c r="W9" t="str">
        <f>IFERROR(VLOOKUP(ROWS($W$3:W9),$U$3:$V$992,2,0),"")</f>
        <v>Ostatní těžba a dobývání</v>
      </c>
      <c r="X9">
        <f>IF(ISNUMBER(SEARCH('1Př1'!$A$37,N9)),MAX($M$2:M8)+1,0)</f>
        <v>7</v>
      </c>
      <c r="Y9" s="419" t="s">
        <v>869</v>
      </c>
      <c r="Z9" t="str">
        <f>IFERROR(VLOOKUP(ROWS($Z$3:Z9),$X$3:$Y$992,2,0),"")</f>
        <v>Ostatní těžba a dobývání</v>
      </c>
    </row>
    <row r="10" spans="1:26" ht="12.75" customHeight="1">
      <c r="A10" s="395"/>
      <c r="B10" s="423" t="s">
        <v>871</v>
      </c>
      <c r="C10" s="424">
        <v>458</v>
      </c>
      <c r="D10" s="411">
        <f>IF(ISNUMBER(SEARCH(ZAKL_DATA!$B$14,E10)),MAX($D$2:D9)+1,0)</f>
        <v>8</v>
      </c>
      <c r="E10" s="425" t="s">
        <v>872</v>
      </c>
      <c r="F10" s="426">
        <v>2008</v>
      </c>
      <c r="G10" s="427"/>
      <c r="H10" s="428" t="str">
        <f>IFERROR(VLOOKUP(ROWS($H$3:H10),$D$3:$E$204,2,0),"")</f>
        <v>PRAHA 8</v>
      </c>
      <c r="I10" s="395"/>
      <c r="J10" s="430" t="s">
        <v>873</v>
      </c>
      <c r="K10" s="417" t="s">
        <v>874</v>
      </c>
      <c r="M10" s="418">
        <f>IF(ISNUMBER(SEARCH(ZAKL_DATA!$B$29,N10)),MAX($M$2:M9)+1,0)</f>
        <v>8</v>
      </c>
      <c r="N10" s="419" t="s">
        <v>875</v>
      </c>
      <c r="O10" s="420" t="s">
        <v>876</v>
      </c>
      <c r="P10" s="421"/>
      <c r="Q10" s="422" t="str">
        <f>IFERROR(VLOOKUP(ROWS($Q$3:Q10),$M$3:$N$992,2,0),"")</f>
        <v>Podpůrné činnosti při těžbě</v>
      </c>
      <c r="R10">
        <f>IF(ISNUMBER(SEARCH('1Př1'!$A$35,N10)),MAX($M$2:M9)+1,0)</f>
        <v>8</v>
      </c>
      <c r="S10" s="419" t="s">
        <v>875</v>
      </c>
      <c r="T10" t="str">
        <f>IFERROR(VLOOKUP(ROWS($T$3:T10),$R$3:$S$992,2,0),"")</f>
        <v>Podpůrné činnosti při těžbě</v>
      </c>
      <c r="U10">
        <f>IF(ISNUMBER(SEARCH('1Př1'!$A$36,N10)),MAX($M$2:M9)+1,0)</f>
        <v>8</v>
      </c>
      <c r="V10" s="419" t="s">
        <v>875</v>
      </c>
      <c r="W10" t="str">
        <f>IFERROR(VLOOKUP(ROWS($W$3:W10),$U$3:$V$992,2,0),"")</f>
        <v>Podpůrné činnosti při těžbě</v>
      </c>
      <c r="X10">
        <f>IF(ISNUMBER(SEARCH('1Př1'!$A$37,N10)),MAX($M$2:M9)+1,0)</f>
        <v>8</v>
      </c>
      <c r="Y10" s="419" t="s">
        <v>875</v>
      </c>
      <c r="Z10" t="str">
        <f>IFERROR(VLOOKUP(ROWS($Z$3:Z10),$X$3:$Y$992,2,0),"")</f>
        <v>Podpůrné činnosti při těžbě</v>
      </c>
    </row>
    <row r="11" spans="1:26" ht="12.75" customHeight="1">
      <c r="A11" s="395"/>
      <c r="B11" s="423" t="s">
        <v>877</v>
      </c>
      <c r="C11" s="424">
        <v>459</v>
      </c>
      <c r="D11" s="411">
        <f>IF(ISNUMBER(SEARCH(ZAKL_DATA!$B$14,E11)),MAX($D$2:D10)+1,0)</f>
        <v>9</v>
      </c>
      <c r="E11" s="425" t="s">
        <v>878</v>
      </c>
      <c r="F11" s="426">
        <v>2009</v>
      </c>
      <c r="G11" s="427"/>
      <c r="H11" s="428" t="str">
        <f>IFERROR(VLOOKUP(ROWS($H$3:H11),$D$3:$E$204,2,0),"")</f>
        <v>PRAHA 9</v>
      </c>
      <c r="I11" s="395"/>
      <c r="J11" s="430" t="s">
        <v>879</v>
      </c>
      <c r="K11" s="417" t="s">
        <v>880</v>
      </c>
      <c r="M11" s="418">
        <f>IF(ISNUMBER(SEARCH(ZAKL_DATA!$B$29,N11)),MAX($M$2:M10)+1,0)</f>
        <v>9</v>
      </c>
      <c r="N11" s="419" t="s">
        <v>881</v>
      </c>
      <c r="O11" s="420" t="s">
        <v>882</v>
      </c>
      <c r="P11" s="421"/>
      <c r="Q11" s="422" t="str">
        <f>IFERROR(VLOOKUP(ROWS($Q$3:Q11),$M$3:$N$992,2,0),"")</f>
        <v>Výroba potravinářských výrobků</v>
      </c>
      <c r="R11">
        <f>IF(ISNUMBER(SEARCH('1Př1'!$A$35,N11)),MAX($M$2:M10)+1,0)</f>
        <v>9</v>
      </c>
      <c r="S11" s="419" t="s">
        <v>881</v>
      </c>
      <c r="T11" t="str">
        <f>IFERROR(VLOOKUP(ROWS($T$3:T11),$R$3:$S$992,2,0),"")</f>
        <v>Výroba potravinářských výrobků</v>
      </c>
      <c r="U11">
        <f>IF(ISNUMBER(SEARCH('1Př1'!$A$36,N11)),MAX($M$2:M10)+1,0)</f>
        <v>9</v>
      </c>
      <c r="V11" s="419" t="s">
        <v>881</v>
      </c>
      <c r="W11" t="str">
        <f>IFERROR(VLOOKUP(ROWS($W$3:W11),$U$3:$V$992,2,0),"")</f>
        <v>Výroba potravinářských výrobků</v>
      </c>
      <c r="X11">
        <f>IF(ISNUMBER(SEARCH('1Př1'!$A$37,N11)),MAX($M$2:M10)+1,0)</f>
        <v>9</v>
      </c>
      <c r="Y11" s="419" t="s">
        <v>881</v>
      </c>
      <c r="Z11" t="str">
        <f>IFERROR(VLOOKUP(ROWS($Z$3:Z11),$X$3:$Y$992,2,0),"")</f>
        <v>Výroba potravinářských výrobků</v>
      </c>
    </row>
    <row r="12" spans="1:26" ht="12.75" customHeight="1">
      <c r="A12" s="395"/>
      <c r="B12" s="423" t="s">
        <v>883</v>
      </c>
      <c r="C12" s="431">
        <v>460</v>
      </c>
      <c r="D12" s="411">
        <f>IF(ISNUMBER(SEARCH(ZAKL_DATA!$B$14,E12)),MAX($D$2:D11)+1,0)</f>
        <v>10</v>
      </c>
      <c r="E12" s="425" t="s">
        <v>884</v>
      </c>
      <c r="F12" s="426">
        <v>2010</v>
      </c>
      <c r="G12" s="427"/>
      <c r="H12" s="428" t="str">
        <f>IFERROR(VLOOKUP(ROWS($H$3:H12),$D$3:$E$204,2,0),"")</f>
        <v>PRAHA 10</v>
      </c>
      <c r="I12" s="395"/>
      <c r="J12" s="430" t="s">
        <v>885</v>
      </c>
      <c r="K12" s="417" t="s">
        <v>886</v>
      </c>
      <c r="M12" s="418">
        <f>IF(ISNUMBER(SEARCH(ZAKL_DATA!$B$29,N12)),MAX($M$2:M11)+1,0)</f>
        <v>10</v>
      </c>
      <c r="N12" s="419" t="s">
        <v>887</v>
      </c>
      <c r="O12" s="420" t="s">
        <v>888</v>
      </c>
      <c r="P12" s="421"/>
      <c r="Q12" s="422" t="str">
        <f>IFERROR(VLOOKUP(ROWS($Q$3:Q12),$M$3:$N$992,2,0),"")</f>
        <v>Výroba nápojů</v>
      </c>
      <c r="R12">
        <f>IF(ISNUMBER(SEARCH('1Př1'!$A$35,N12)),MAX($M$2:M11)+1,0)</f>
        <v>10</v>
      </c>
      <c r="S12" s="419" t="s">
        <v>887</v>
      </c>
      <c r="T12" t="str">
        <f>IFERROR(VLOOKUP(ROWS($T$3:T12),$R$3:$S$992,2,0),"")</f>
        <v>Výroba nápojů</v>
      </c>
      <c r="U12">
        <f>IF(ISNUMBER(SEARCH('1Př1'!$A$36,N12)),MAX($M$2:M11)+1,0)</f>
        <v>10</v>
      </c>
      <c r="V12" s="419" t="s">
        <v>887</v>
      </c>
      <c r="W12" t="str">
        <f>IFERROR(VLOOKUP(ROWS($W$3:W12),$U$3:$V$992,2,0),"")</f>
        <v>Výroba nápojů</v>
      </c>
      <c r="X12">
        <f>IF(ISNUMBER(SEARCH('1Př1'!$A$37,N12)),MAX($M$2:M11)+1,0)</f>
        <v>10</v>
      </c>
      <c r="Y12" s="419" t="s">
        <v>887</v>
      </c>
      <c r="Z12" t="str">
        <f>IFERROR(VLOOKUP(ROWS($Z$3:Z12),$X$3:$Y$992,2,0),"")</f>
        <v>Výroba nápojů</v>
      </c>
    </row>
    <row r="13" spans="1:26" ht="12.75" customHeight="1">
      <c r="A13" s="395"/>
      <c r="B13" s="423" t="s">
        <v>889</v>
      </c>
      <c r="C13" s="424">
        <v>461</v>
      </c>
      <c r="D13" s="411">
        <f>IF(ISNUMBER(SEARCH(ZAKL_DATA!$B$14,E13)),MAX($D$2:D12)+1,0)</f>
        <v>11</v>
      </c>
      <c r="E13" s="425" t="s">
        <v>890</v>
      </c>
      <c r="F13" s="426">
        <v>2011</v>
      </c>
      <c r="G13" s="427"/>
      <c r="H13" s="428" t="str">
        <f>IFERROR(VLOOKUP(ROWS($H$3:H13),$D$3:$E$204,2,0),"")</f>
        <v>PRAHA-JIŽNÍ MĚSTO</v>
      </c>
      <c r="I13" s="395"/>
      <c r="J13" s="430" t="s">
        <v>891</v>
      </c>
      <c r="K13" s="417" t="s">
        <v>892</v>
      </c>
      <c r="M13" s="418">
        <f>IF(ISNUMBER(SEARCH(ZAKL_DATA!$B$29,N13)),MAX($M$2:M12)+1,0)</f>
        <v>11</v>
      </c>
      <c r="N13" s="419" t="s">
        <v>893</v>
      </c>
      <c r="O13" s="420" t="s">
        <v>894</v>
      </c>
      <c r="P13" s="421"/>
      <c r="Q13" s="422" t="str">
        <f>IFERROR(VLOOKUP(ROWS($Q$3:Q13),$M$3:$N$992,2,0),"")</f>
        <v>Pěstování plodin jiných než trvalých</v>
      </c>
      <c r="R13">
        <f>IF(ISNUMBER(SEARCH('1Př1'!$A$35,N13)),MAX($M$2:M12)+1,0)</f>
        <v>11</v>
      </c>
      <c r="S13" s="419" t="s">
        <v>893</v>
      </c>
      <c r="T13" t="str">
        <f>IFERROR(VLOOKUP(ROWS($T$3:T13),$R$3:$S$992,2,0),"")</f>
        <v>Pěstování plodin jiných než trvalých</v>
      </c>
      <c r="U13">
        <f>IF(ISNUMBER(SEARCH('1Př1'!$A$36,N13)),MAX($M$2:M12)+1,0)</f>
        <v>11</v>
      </c>
      <c r="V13" s="419" t="s">
        <v>893</v>
      </c>
      <c r="W13" t="str">
        <f>IFERROR(VLOOKUP(ROWS($W$3:W13),$U$3:$V$992,2,0),"")</f>
        <v>Pěstování plodin jiných než trvalých</v>
      </c>
      <c r="X13">
        <f>IF(ISNUMBER(SEARCH('1Př1'!$A$37,N13)),MAX($M$2:M12)+1,0)</f>
        <v>11</v>
      </c>
      <c r="Y13" s="419" t="s">
        <v>893</v>
      </c>
      <c r="Z13" t="str">
        <f>IFERROR(VLOOKUP(ROWS($Z$3:Z13),$X$3:$Y$992,2,0),"")</f>
        <v>Pěstování plodin jiných než trvalých</v>
      </c>
    </row>
    <row r="14" spans="1:26" ht="12.75" customHeight="1">
      <c r="A14" s="395"/>
      <c r="B14" s="423" t="s">
        <v>895</v>
      </c>
      <c r="C14" s="424">
        <v>462</v>
      </c>
      <c r="D14" s="411">
        <f>IF(ISNUMBER(SEARCH(ZAKL_DATA!$B$14,E14)),MAX($D$2:D13)+1,0)</f>
        <v>12</v>
      </c>
      <c r="E14" s="425" t="s">
        <v>896</v>
      </c>
      <c r="F14" s="426">
        <v>2012</v>
      </c>
      <c r="G14" s="427"/>
      <c r="H14" s="428" t="str">
        <f>IFERROR(VLOOKUP(ROWS($H$3:H14),$D$3:$E$204,2,0),"")</f>
        <v>PRAHA-MODŘANY</v>
      </c>
      <c r="I14" s="395"/>
      <c r="J14" s="430" t="s">
        <v>897</v>
      </c>
      <c r="K14" s="417" t="s">
        <v>898</v>
      </c>
      <c r="M14" s="418">
        <f>IF(ISNUMBER(SEARCH(ZAKL_DATA!$B$29,N14)),MAX($M$2:M13)+1,0)</f>
        <v>12</v>
      </c>
      <c r="N14" s="419" t="s">
        <v>899</v>
      </c>
      <c r="O14" s="420" t="s">
        <v>900</v>
      </c>
      <c r="P14" s="421"/>
      <c r="Q14" s="422" t="str">
        <f>IFERROR(VLOOKUP(ROWS($Q$3:Q14),$M$3:$N$992,2,0),"")</f>
        <v>Výroba tabákových výrobků</v>
      </c>
      <c r="R14">
        <f>IF(ISNUMBER(SEARCH('1Př1'!$A$35,N14)),MAX($M$2:M13)+1,0)</f>
        <v>12</v>
      </c>
      <c r="S14" s="419" t="s">
        <v>899</v>
      </c>
      <c r="T14" t="str">
        <f>IFERROR(VLOOKUP(ROWS($T$3:T14),$R$3:$S$992,2,0),"")</f>
        <v>Výroba tabákových výrobků</v>
      </c>
      <c r="U14">
        <f>IF(ISNUMBER(SEARCH('1Př1'!$A$36,N14)),MAX($M$2:M13)+1,0)</f>
        <v>12</v>
      </c>
      <c r="V14" s="419" t="s">
        <v>899</v>
      </c>
      <c r="W14" t="str">
        <f>IFERROR(VLOOKUP(ROWS($W$3:W14),$U$3:$V$992,2,0),"")</f>
        <v>Výroba tabákových výrobků</v>
      </c>
      <c r="X14">
        <f>IF(ISNUMBER(SEARCH('1Př1'!$A$37,N14)),MAX($M$2:M13)+1,0)</f>
        <v>12</v>
      </c>
      <c r="Y14" s="419" t="s">
        <v>899</v>
      </c>
      <c r="Z14" t="str">
        <f>IFERROR(VLOOKUP(ROWS($Z$3:Z14),$X$3:$Y$992,2,0),"")</f>
        <v>Výroba tabákových výrobků</v>
      </c>
    </row>
    <row r="15" spans="1:26" ht="12.75" customHeight="1">
      <c r="A15" s="395"/>
      <c r="B15" s="423" t="s">
        <v>901</v>
      </c>
      <c r="C15" s="424">
        <v>463</v>
      </c>
      <c r="D15" s="411">
        <f>IF(ISNUMBER(SEARCH(ZAKL_DATA!$B$14,E15)),MAX($D$2:D14)+1,0)</f>
        <v>13</v>
      </c>
      <c r="E15" s="425" t="s">
        <v>902</v>
      </c>
      <c r="F15" s="426">
        <v>2101</v>
      </c>
      <c r="G15" s="427"/>
      <c r="H15" s="428" t="str">
        <f>IFERROR(VLOOKUP(ROWS($H$3:H15),$D$3:$E$204,2,0),"")</f>
        <v>PRAHA - VÝCHOD</v>
      </c>
      <c r="I15" s="395"/>
      <c r="J15" s="430" t="s">
        <v>903</v>
      </c>
      <c r="K15" s="417" t="s">
        <v>904</v>
      </c>
      <c r="M15" s="418">
        <f>IF(ISNUMBER(SEARCH(ZAKL_DATA!$B$29,N15)),MAX($M$2:M14)+1,0)</f>
        <v>13</v>
      </c>
      <c r="N15" s="419" t="s">
        <v>905</v>
      </c>
      <c r="O15" s="420" t="s">
        <v>906</v>
      </c>
      <c r="P15" s="421"/>
      <c r="Q15" s="422" t="str">
        <f>IFERROR(VLOOKUP(ROWS($Q$3:Q15),$M$3:$N$992,2,0),"")</f>
        <v>Pěstování trvalých plodin</v>
      </c>
      <c r="R15">
        <f>IF(ISNUMBER(SEARCH('1Př1'!$A$35,N15)),MAX($M$2:M14)+1,0)</f>
        <v>13</v>
      </c>
      <c r="S15" s="419" t="s">
        <v>905</v>
      </c>
      <c r="T15" t="str">
        <f>IFERROR(VLOOKUP(ROWS($T$3:T15),$R$3:$S$992,2,0),"")</f>
        <v>Pěstování trvalých plodin</v>
      </c>
      <c r="U15">
        <f>IF(ISNUMBER(SEARCH('1Př1'!$A$36,N15)),MAX($M$2:M14)+1,0)</f>
        <v>13</v>
      </c>
      <c r="V15" s="419" t="s">
        <v>905</v>
      </c>
      <c r="W15" t="str">
        <f>IFERROR(VLOOKUP(ROWS($W$3:W15),$U$3:$V$992,2,0),"")</f>
        <v>Pěstování trvalých plodin</v>
      </c>
      <c r="X15">
        <f>IF(ISNUMBER(SEARCH('1Př1'!$A$37,N15)),MAX($M$2:M14)+1,0)</f>
        <v>13</v>
      </c>
      <c r="Y15" s="419" t="s">
        <v>905</v>
      </c>
      <c r="Z15" t="str">
        <f>IFERROR(VLOOKUP(ROWS($Z$3:Z15),$X$3:$Y$992,2,0),"")</f>
        <v>Pěstování trvalých plodin</v>
      </c>
    </row>
    <row r="16" spans="1:26" ht="12.75" customHeight="1">
      <c r="A16" s="395"/>
      <c r="B16" s="423" t="s">
        <v>907</v>
      </c>
      <c r="C16" s="424">
        <v>464</v>
      </c>
      <c r="D16" s="411">
        <f>IF(ISNUMBER(SEARCH(ZAKL_DATA!$B$14,E16)),MAX($D$2:D15)+1,0)</f>
        <v>14</v>
      </c>
      <c r="E16" s="425" t="s">
        <v>908</v>
      </c>
      <c r="F16" s="426">
        <v>2102</v>
      </c>
      <c r="G16" s="427"/>
      <c r="H16" s="428" t="str">
        <f>IFERROR(VLOOKUP(ROWS($H$3:H16),$D$3:$E$204,2,0),"")</f>
        <v>PRAHA ZÁPAD</v>
      </c>
      <c r="I16" s="395"/>
      <c r="J16" s="430" t="s">
        <v>909</v>
      </c>
      <c r="K16" s="417" t="s">
        <v>910</v>
      </c>
      <c r="M16" s="418">
        <f>IF(ISNUMBER(SEARCH(ZAKL_DATA!$B$29,N16)),MAX($M$2:M15)+1,0)</f>
        <v>14</v>
      </c>
      <c r="N16" s="419" t="s">
        <v>911</v>
      </c>
      <c r="O16" s="420" t="s">
        <v>912</v>
      </c>
      <c r="P16" s="421"/>
      <c r="Q16" s="422" t="str">
        <f>IFERROR(VLOOKUP(ROWS($Q$3:Q16),$M$3:$N$992,2,0),"")</f>
        <v>Výroba textilií</v>
      </c>
      <c r="R16">
        <f>IF(ISNUMBER(SEARCH('1Př1'!$A$35,N16)),MAX($M$2:M15)+1,0)</f>
        <v>14</v>
      </c>
      <c r="S16" s="419" t="s">
        <v>911</v>
      </c>
      <c r="T16" t="str">
        <f>IFERROR(VLOOKUP(ROWS($T$3:T16),$R$3:$S$992,2,0),"")</f>
        <v>Výroba textilií</v>
      </c>
      <c r="U16">
        <f>IF(ISNUMBER(SEARCH('1Př1'!$A$36,N16)),MAX($M$2:M15)+1,0)</f>
        <v>14</v>
      </c>
      <c r="V16" s="419" t="s">
        <v>911</v>
      </c>
      <c r="W16" t="str">
        <f>IFERROR(VLOOKUP(ROWS($W$3:W16),$U$3:$V$992,2,0),"")</f>
        <v>Výroba textilií</v>
      </c>
      <c r="X16">
        <f>IF(ISNUMBER(SEARCH('1Př1'!$A$37,N16)),MAX($M$2:M15)+1,0)</f>
        <v>14</v>
      </c>
      <c r="Y16" s="419" t="s">
        <v>911</v>
      </c>
      <c r="Z16" t="str">
        <f>IFERROR(VLOOKUP(ROWS($Z$3:Z16),$X$3:$Y$992,2,0),"")</f>
        <v>Výroba textilií</v>
      </c>
    </row>
    <row r="17" spans="1:26" ht="12.75" customHeight="1" thickBot="1">
      <c r="A17" s="395"/>
      <c r="B17" s="432" t="s">
        <v>913</v>
      </c>
      <c r="C17" s="433">
        <v>13</v>
      </c>
      <c r="D17" s="411">
        <f>IF(ISNUMBER(SEARCH(ZAKL_DATA!$B$14,E17)),MAX($D$2:D16)+1,0)</f>
        <v>15</v>
      </c>
      <c r="E17" s="425" t="s">
        <v>914</v>
      </c>
      <c r="F17" s="426">
        <v>2103</v>
      </c>
      <c r="G17" s="427"/>
      <c r="H17" s="428" t="str">
        <f>IFERROR(VLOOKUP(ROWS($H$3:H17),$D$3:$E$204,2,0),"")</f>
        <v>BENEŠOV</v>
      </c>
      <c r="I17" s="395"/>
      <c r="J17" s="430" t="s">
        <v>915</v>
      </c>
      <c r="K17" s="417" t="s">
        <v>916</v>
      </c>
      <c r="M17" s="418">
        <f>IF(ISNUMBER(SEARCH(ZAKL_DATA!$B$29,N17)),MAX($M$2:M16)+1,0)</f>
        <v>15</v>
      </c>
      <c r="N17" s="419" t="s">
        <v>917</v>
      </c>
      <c r="O17" s="420" t="s">
        <v>918</v>
      </c>
      <c r="P17" s="421"/>
      <c r="Q17" s="422" t="str">
        <f>IFERROR(VLOOKUP(ROWS($Q$3:Q17),$M$3:$N$992,2,0),"")</f>
        <v>Množení rostlin</v>
      </c>
      <c r="R17">
        <f>IF(ISNUMBER(SEARCH('1Př1'!$A$35,N17)),MAX($M$2:M16)+1,0)</f>
        <v>15</v>
      </c>
      <c r="S17" s="419" t="s">
        <v>917</v>
      </c>
      <c r="T17" t="str">
        <f>IFERROR(VLOOKUP(ROWS($T$3:T17),$R$3:$S$992,2,0),"")</f>
        <v>Množení rostlin</v>
      </c>
      <c r="U17">
        <f>IF(ISNUMBER(SEARCH('1Př1'!$A$36,N17)),MAX($M$2:M16)+1,0)</f>
        <v>15</v>
      </c>
      <c r="V17" s="419" t="s">
        <v>917</v>
      </c>
      <c r="W17" t="str">
        <f>IFERROR(VLOOKUP(ROWS($W$3:W17),$U$3:$V$992,2,0),"")</f>
        <v>Množení rostlin</v>
      </c>
      <c r="X17">
        <f>IF(ISNUMBER(SEARCH('1Př1'!$A$37,N17)),MAX($M$2:M16)+1,0)</f>
        <v>15</v>
      </c>
      <c r="Y17" s="419" t="s">
        <v>917</v>
      </c>
      <c r="Z17" t="str">
        <f>IFERROR(VLOOKUP(ROWS($Z$3:Z17),$X$3:$Y$992,2,0),"")</f>
        <v>Množení rostlin</v>
      </c>
    </row>
    <row r="18" spans="1:26" ht="12.75" customHeight="1">
      <c r="A18" s="395"/>
      <c r="B18" s="395"/>
      <c r="C18" s="395"/>
      <c r="D18" s="411">
        <f>IF(ISNUMBER(SEARCH(ZAKL_DATA!$B$14,E18)),MAX($D$2:D17)+1,0)</f>
        <v>16</v>
      </c>
      <c r="E18" s="425" t="s">
        <v>919</v>
      </c>
      <c r="F18" s="426">
        <v>2104</v>
      </c>
      <c r="G18" s="427"/>
      <c r="H18" s="428" t="str">
        <f>IFERROR(VLOOKUP(ROWS($H$3:H18),$D$3:$E$204,2,0),"")</f>
        <v>BEROUN</v>
      </c>
      <c r="I18" s="395"/>
      <c r="J18" s="430" t="s">
        <v>920</v>
      </c>
      <c r="K18" s="417" t="s">
        <v>921</v>
      </c>
      <c r="M18" s="418">
        <f>IF(ISNUMBER(SEARCH(ZAKL_DATA!$B$29,N18)),MAX($M$2:M17)+1,0)</f>
        <v>16</v>
      </c>
      <c r="N18" s="419" t="s">
        <v>922</v>
      </c>
      <c r="O18" s="420" t="s">
        <v>923</v>
      </c>
      <c r="P18" s="421"/>
      <c r="Q18" s="422" t="str">
        <f>IFERROR(VLOOKUP(ROWS($Q$3:Q18),$M$3:$N$992,2,0),"")</f>
        <v>Výroba oděvů</v>
      </c>
      <c r="R18">
        <f>IF(ISNUMBER(SEARCH('1Př1'!$A$35,N18)),MAX($M$2:M17)+1,0)</f>
        <v>16</v>
      </c>
      <c r="S18" s="419" t="s">
        <v>922</v>
      </c>
      <c r="T18" t="str">
        <f>IFERROR(VLOOKUP(ROWS($T$3:T18),$R$3:$S$992,2,0),"")</f>
        <v>Výroba oděvů</v>
      </c>
      <c r="U18">
        <f>IF(ISNUMBER(SEARCH('1Př1'!$A$36,N18)),MAX($M$2:M17)+1,0)</f>
        <v>16</v>
      </c>
      <c r="V18" s="419" t="s">
        <v>922</v>
      </c>
      <c r="W18" t="str">
        <f>IFERROR(VLOOKUP(ROWS($W$3:W18),$U$3:$V$992,2,0),"")</f>
        <v>Výroba oděvů</v>
      </c>
      <c r="X18">
        <f>IF(ISNUMBER(SEARCH('1Př1'!$A$37,N18)),MAX($M$2:M17)+1,0)</f>
        <v>16</v>
      </c>
      <c r="Y18" s="419" t="s">
        <v>922</v>
      </c>
      <c r="Z18" t="str">
        <f>IFERROR(VLOOKUP(ROWS($Z$3:Z18),$X$3:$Y$992,2,0),"")</f>
        <v>Výroba oděvů</v>
      </c>
    </row>
    <row r="19" spans="1:26" ht="12.75" customHeight="1">
      <c r="A19" s="395"/>
      <c r="B19" s="395"/>
      <c r="C19" s="395"/>
      <c r="D19" s="411">
        <f>IF(ISNUMBER(SEARCH(ZAKL_DATA!$B$14,E19)),MAX($D$2:D18)+1,0)</f>
        <v>17</v>
      </c>
      <c r="E19" s="425" t="s">
        <v>924</v>
      </c>
      <c r="F19" s="426">
        <v>2105</v>
      </c>
      <c r="G19" s="427"/>
      <c r="H19" s="428" t="str">
        <f>IFERROR(VLOOKUP(ROWS($H$3:H19),$D$3:$E$204,2,0),"")</f>
        <v>BRANDÝS N.L. - ST.BOL.</v>
      </c>
      <c r="I19" s="395"/>
      <c r="J19" s="430" t="s">
        <v>925</v>
      </c>
      <c r="K19" s="417" t="s">
        <v>926</v>
      </c>
      <c r="M19" s="418">
        <f>IF(ISNUMBER(SEARCH(ZAKL_DATA!$B$29,N19)),MAX($M$2:M18)+1,0)</f>
        <v>17</v>
      </c>
      <c r="N19" s="419" t="s">
        <v>927</v>
      </c>
      <c r="O19" s="420" t="s">
        <v>928</v>
      </c>
      <c r="P19" s="421"/>
      <c r="Q19" s="422" t="str">
        <f>IFERROR(VLOOKUP(ROWS($Q$3:Q19),$M$3:$N$992,2,0),"")</f>
        <v>živočišná výroba</v>
      </c>
      <c r="R19">
        <f>IF(ISNUMBER(SEARCH('1Př1'!$A$35,N19)),MAX($M$2:M18)+1,0)</f>
        <v>17</v>
      </c>
      <c r="S19" s="419" t="s">
        <v>927</v>
      </c>
      <c r="T19" t="str">
        <f>IFERROR(VLOOKUP(ROWS($T$3:T19),$R$3:$S$992,2,0),"")</f>
        <v>živočišná výroba</v>
      </c>
      <c r="U19">
        <f>IF(ISNUMBER(SEARCH('1Př1'!$A$36,N19)),MAX($M$2:M18)+1,0)</f>
        <v>17</v>
      </c>
      <c r="V19" s="419" t="s">
        <v>927</v>
      </c>
      <c r="W19" t="str">
        <f>IFERROR(VLOOKUP(ROWS($W$3:W19),$U$3:$V$992,2,0),"")</f>
        <v>živočišná výroba</v>
      </c>
      <c r="X19">
        <f>IF(ISNUMBER(SEARCH('1Př1'!$A$37,N19)),MAX($M$2:M18)+1,0)</f>
        <v>17</v>
      </c>
      <c r="Y19" s="419" t="s">
        <v>927</v>
      </c>
      <c r="Z19" t="str">
        <f>IFERROR(VLOOKUP(ROWS($Z$3:Z19),$X$3:$Y$992,2,0),"")</f>
        <v>živočišná výroba</v>
      </c>
    </row>
    <row r="20" spans="1:26" ht="12.75" customHeight="1">
      <c r="A20" s="395"/>
      <c r="B20" s="395"/>
      <c r="C20" s="395"/>
      <c r="D20" s="411">
        <f>IF(ISNUMBER(SEARCH(ZAKL_DATA!$B$14,E20)),MAX($D$2:D19)+1,0)</f>
        <v>18</v>
      </c>
      <c r="E20" s="425" t="s">
        <v>929</v>
      </c>
      <c r="F20" s="426">
        <v>2106</v>
      </c>
      <c r="G20" s="427"/>
      <c r="H20" s="428" t="str">
        <f>IFERROR(VLOOKUP(ROWS($H$3:H20),$D$3:$E$204,2,0),"")</f>
        <v>ČÁSLAV</v>
      </c>
      <c r="I20" s="395"/>
      <c r="J20" s="430" t="s">
        <v>930</v>
      </c>
      <c r="K20" s="417" t="s">
        <v>931</v>
      </c>
      <c r="M20" s="418">
        <f>IF(ISNUMBER(SEARCH(ZAKL_DATA!$B$29,N20)),MAX($M$2:M19)+1,0)</f>
        <v>18</v>
      </c>
      <c r="N20" s="419" t="s">
        <v>932</v>
      </c>
      <c r="O20" s="420" t="s">
        <v>933</v>
      </c>
      <c r="P20" s="421"/>
      <c r="Q20" s="422" t="str">
        <f>IFERROR(VLOOKUP(ROWS($Q$3:Q20),$M$3:$N$992,2,0),"")</f>
        <v>Výroba usní a souvisejících výrobků</v>
      </c>
      <c r="R20">
        <f>IF(ISNUMBER(SEARCH('1Př1'!$A$35,N20)),MAX($M$2:M19)+1,0)</f>
        <v>18</v>
      </c>
      <c r="S20" s="419" t="s">
        <v>932</v>
      </c>
      <c r="T20" t="str">
        <f>IFERROR(VLOOKUP(ROWS($T$3:T20),$R$3:$S$992,2,0),"")</f>
        <v>Výroba usní a souvisejících výrobků</v>
      </c>
      <c r="U20">
        <f>IF(ISNUMBER(SEARCH('1Př1'!$A$36,N20)),MAX($M$2:M19)+1,0)</f>
        <v>18</v>
      </c>
      <c r="V20" s="419" t="s">
        <v>932</v>
      </c>
      <c r="W20" t="str">
        <f>IFERROR(VLOOKUP(ROWS($W$3:W20),$U$3:$V$992,2,0),"")</f>
        <v>Výroba usní a souvisejících výrobků</v>
      </c>
      <c r="X20">
        <f>IF(ISNUMBER(SEARCH('1Př1'!$A$37,N20)),MAX($M$2:M19)+1,0)</f>
        <v>18</v>
      </c>
      <c r="Y20" s="419" t="s">
        <v>932</v>
      </c>
      <c r="Z20" t="str">
        <f>IFERROR(VLOOKUP(ROWS($Z$3:Z20),$X$3:$Y$992,2,0),"")</f>
        <v>Výroba usní a souvisejících výrobků</v>
      </c>
    </row>
    <row r="21" spans="1:26" ht="12.75" customHeight="1">
      <c r="A21" s="395"/>
      <c r="B21" s="395"/>
      <c r="C21" s="395"/>
      <c r="D21" s="411">
        <f>IF(ISNUMBER(SEARCH(ZAKL_DATA!$B$14,E21)),MAX($D$2:D20)+1,0)</f>
        <v>19</v>
      </c>
      <c r="E21" s="425" t="s">
        <v>934</v>
      </c>
      <c r="F21" s="426">
        <v>2107</v>
      </c>
      <c r="G21" s="427"/>
      <c r="H21" s="428" t="str">
        <f>IFERROR(VLOOKUP(ROWS($H$3:H21),$D$3:$E$204,2,0),"")</f>
        <v>ČESKÝ BROD</v>
      </c>
      <c r="I21" s="395"/>
      <c r="J21" s="430" t="s">
        <v>935</v>
      </c>
      <c r="K21" s="417" t="s">
        <v>936</v>
      </c>
      <c r="M21" s="418">
        <f>IF(ISNUMBER(SEARCH(ZAKL_DATA!$B$29,N21)),MAX($M$2:M20)+1,0)</f>
        <v>19</v>
      </c>
      <c r="N21" s="419" t="s">
        <v>937</v>
      </c>
      <c r="O21" s="420" t="s">
        <v>938</v>
      </c>
      <c r="P21" s="421"/>
      <c r="Q21" s="422" t="str">
        <f>IFERROR(VLOOKUP(ROWS($Q$3:Q21),$M$3:$N$992,2,0),"")</f>
        <v>Smíšené hospodářství</v>
      </c>
      <c r="R21">
        <f>IF(ISNUMBER(SEARCH('1Př1'!$A$35,N21)),MAX($M$2:M20)+1,0)</f>
        <v>19</v>
      </c>
      <c r="S21" s="419" t="s">
        <v>937</v>
      </c>
      <c r="T21" t="str">
        <f>IFERROR(VLOOKUP(ROWS($T$3:T21),$R$3:$S$992,2,0),"")</f>
        <v>Smíšené hospodářství</v>
      </c>
      <c r="U21">
        <f>IF(ISNUMBER(SEARCH('1Př1'!$A$36,N21)),MAX($M$2:M20)+1,0)</f>
        <v>19</v>
      </c>
      <c r="V21" s="419" t="s">
        <v>937</v>
      </c>
      <c r="W21" t="str">
        <f>IFERROR(VLOOKUP(ROWS($W$3:W21),$U$3:$V$992,2,0),"")</f>
        <v>Smíšené hospodářství</v>
      </c>
      <c r="X21">
        <f>IF(ISNUMBER(SEARCH('1Př1'!$A$37,N21)),MAX($M$2:M20)+1,0)</f>
        <v>19</v>
      </c>
      <c r="Y21" s="419" t="s">
        <v>937</v>
      </c>
      <c r="Z21" t="str">
        <f>IFERROR(VLOOKUP(ROWS($Z$3:Z21),$X$3:$Y$992,2,0),"")</f>
        <v>Smíšené hospodářství</v>
      </c>
    </row>
    <row r="22" spans="1:26" ht="12.75" customHeight="1">
      <c r="A22" s="395"/>
      <c r="B22" s="395"/>
      <c r="C22" s="395"/>
      <c r="D22" s="411">
        <f>IF(ISNUMBER(SEARCH(ZAKL_DATA!$B$14,E22)),MAX($D$2:D21)+1,0)</f>
        <v>20</v>
      </c>
      <c r="E22" s="425" t="s">
        <v>939</v>
      </c>
      <c r="F22" s="426">
        <v>2108</v>
      </c>
      <c r="G22" s="427"/>
      <c r="H22" s="428" t="str">
        <f>IFERROR(VLOOKUP(ROWS($H$3:H22),$D$3:$E$204,2,0),"")</f>
        <v>DOBŘÍŠ</v>
      </c>
      <c r="I22" s="395"/>
      <c r="J22" s="430" t="s">
        <v>940</v>
      </c>
      <c r="K22" s="417" t="s">
        <v>941</v>
      </c>
      <c r="M22" s="418">
        <f>IF(ISNUMBER(SEARCH(ZAKL_DATA!$B$29,N22)),MAX($M$2:M21)+1,0)</f>
        <v>20</v>
      </c>
      <c r="N22" s="419" t="s">
        <v>942</v>
      </c>
      <c r="O22" s="420" t="s">
        <v>943</v>
      </c>
      <c r="P22" s="421"/>
      <c r="Q22" s="422" t="str">
        <f>IFERROR(VLOOKUP(ROWS($Q$3:Q22),$M$3:$N$992,2,0),"")</f>
        <v>Zprac.dřeva,výroba dřevěných,korkových,proutěných a slam.výr.,kromě nábytku</v>
      </c>
      <c r="R22">
        <f>IF(ISNUMBER(SEARCH('1Př1'!$A$35,N22)),MAX($M$2:M21)+1,0)</f>
        <v>20</v>
      </c>
      <c r="S22" s="419" t="s">
        <v>942</v>
      </c>
      <c r="T22" t="str">
        <f>IFERROR(VLOOKUP(ROWS($T$3:T22),$R$3:$S$992,2,0),"")</f>
        <v>Zprac.dřeva,výroba dřevěných,korkových,proutěných a slam.výr.,kromě nábytku</v>
      </c>
      <c r="U22">
        <f>IF(ISNUMBER(SEARCH('1Př1'!$A$36,N22)),MAX($M$2:M21)+1,0)</f>
        <v>20</v>
      </c>
      <c r="V22" s="419" t="s">
        <v>942</v>
      </c>
      <c r="W22" t="str">
        <f>IFERROR(VLOOKUP(ROWS($W$3:W22),$U$3:$V$992,2,0),"")</f>
        <v>Zprac.dřeva,výroba dřevěných,korkových,proutěných a slam.výr.,kromě nábytku</v>
      </c>
      <c r="X22">
        <f>IF(ISNUMBER(SEARCH('1Př1'!$A$37,N22)),MAX($M$2:M21)+1,0)</f>
        <v>20</v>
      </c>
      <c r="Y22" s="419" t="s">
        <v>942</v>
      </c>
      <c r="Z22" t="str">
        <f>IFERROR(VLOOKUP(ROWS($Z$3:Z22),$X$3:$Y$992,2,0),"")</f>
        <v>Zprac.dřeva,výroba dřevěných,korkových,proutěných a slam.výr.,kromě nábytku</v>
      </c>
    </row>
    <row r="23" spans="1:26" ht="12.75" customHeight="1">
      <c r="A23" s="395"/>
      <c r="B23" s="395"/>
      <c r="C23" s="395"/>
      <c r="D23" s="411">
        <f>IF(ISNUMBER(SEARCH(ZAKL_DATA!$B$14,E23)),MAX($D$2:D22)+1,0)</f>
        <v>21</v>
      </c>
      <c r="E23" s="425" t="s">
        <v>944</v>
      </c>
      <c r="F23" s="426">
        <v>2109</v>
      </c>
      <c r="G23" s="427"/>
      <c r="H23" s="428" t="str">
        <f>IFERROR(VLOOKUP(ROWS($H$3:H23),$D$3:$E$204,2,0),"")</f>
        <v>HOŘOVICE</v>
      </c>
      <c r="I23" s="395"/>
      <c r="J23" s="430" t="s">
        <v>945</v>
      </c>
      <c r="K23" s="417" t="s">
        <v>946</v>
      </c>
      <c r="M23" s="418">
        <f>IF(ISNUMBER(SEARCH(ZAKL_DATA!$B$29,N23)),MAX($M$2:M22)+1,0)</f>
        <v>21</v>
      </c>
      <c r="N23" s="419" t="s">
        <v>947</v>
      </c>
      <c r="O23" s="420" t="s">
        <v>948</v>
      </c>
      <c r="P23" s="421"/>
      <c r="Q23" s="422" t="str">
        <f>IFERROR(VLOOKUP(ROWS($Q$3:Q23),$M$3:$N$992,2,0),"")</f>
        <v>Podpůrné činnosti pro zemědělství a posklizňové činnosti</v>
      </c>
      <c r="R23">
        <f>IF(ISNUMBER(SEARCH('1Př1'!$A$35,N23)),MAX($M$2:M22)+1,0)</f>
        <v>21</v>
      </c>
      <c r="S23" s="419" t="s">
        <v>947</v>
      </c>
      <c r="T23" t="str">
        <f>IFERROR(VLOOKUP(ROWS($T$3:T23),$R$3:$S$992,2,0),"")</f>
        <v>Podpůrné činnosti pro zemědělství a posklizňové činnosti</v>
      </c>
      <c r="U23">
        <f>IF(ISNUMBER(SEARCH('1Př1'!$A$36,N23)),MAX($M$2:M22)+1,0)</f>
        <v>21</v>
      </c>
      <c r="V23" s="419" t="s">
        <v>947</v>
      </c>
      <c r="W23" t="str">
        <f>IFERROR(VLOOKUP(ROWS($W$3:W23),$U$3:$V$992,2,0),"")</f>
        <v>Podpůrné činnosti pro zemědělství a posklizňové činnosti</v>
      </c>
      <c r="X23">
        <f>IF(ISNUMBER(SEARCH('1Př1'!$A$37,N23)),MAX($M$2:M22)+1,0)</f>
        <v>21</v>
      </c>
      <c r="Y23" s="419" t="s">
        <v>947</v>
      </c>
      <c r="Z23" t="str">
        <f>IFERROR(VLOOKUP(ROWS($Z$3:Z23),$X$3:$Y$992,2,0),"")</f>
        <v>Podpůrné činnosti pro zemědělství a posklizňové činnosti</v>
      </c>
    </row>
    <row r="24" spans="1:26" ht="12.75" customHeight="1">
      <c r="A24" s="395"/>
      <c r="B24" s="395"/>
      <c r="C24" s="395"/>
      <c r="D24" s="411">
        <f>IF(ISNUMBER(SEARCH(ZAKL_DATA!$B$14,E24)),MAX($D$2:D23)+1,0)</f>
        <v>22</v>
      </c>
      <c r="E24" s="425" t="s">
        <v>949</v>
      </c>
      <c r="F24" s="426">
        <v>2110</v>
      </c>
      <c r="G24" s="427"/>
      <c r="H24" s="428" t="str">
        <f>IFERROR(VLOOKUP(ROWS($H$3:H24),$D$3:$E$204,2,0),"")</f>
        <v>KLADNO</v>
      </c>
      <c r="I24" s="395"/>
      <c r="J24" s="430" t="s">
        <v>950</v>
      </c>
      <c r="K24" s="417" t="s">
        <v>951</v>
      </c>
      <c r="M24" s="418">
        <f>IF(ISNUMBER(SEARCH(ZAKL_DATA!$B$29,N24)),MAX($M$2:M23)+1,0)</f>
        <v>22</v>
      </c>
      <c r="N24" s="419" t="s">
        <v>952</v>
      </c>
      <c r="O24" s="420" t="s">
        <v>953</v>
      </c>
      <c r="P24" s="421"/>
      <c r="Q24" s="422" t="str">
        <f>IFERROR(VLOOKUP(ROWS($Q$3:Q24),$M$3:$N$992,2,0),"")</f>
        <v>Výroba papíru a výrobků z papíru</v>
      </c>
      <c r="R24">
        <f>IF(ISNUMBER(SEARCH('1Př1'!$A$35,N24)),MAX($M$2:M23)+1,0)</f>
        <v>22</v>
      </c>
      <c r="S24" s="419" t="s">
        <v>952</v>
      </c>
      <c r="T24" t="str">
        <f>IFERROR(VLOOKUP(ROWS($T$3:T24),$R$3:$S$992,2,0),"")</f>
        <v>Výroba papíru a výrobků z papíru</v>
      </c>
      <c r="U24">
        <f>IF(ISNUMBER(SEARCH('1Př1'!$A$36,N24)),MAX($M$2:M23)+1,0)</f>
        <v>22</v>
      </c>
      <c r="V24" s="419" t="s">
        <v>952</v>
      </c>
      <c r="W24" t="str">
        <f>IFERROR(VLOOKUP(ROWS($W$3:W24),$U$3:$V$992,2,0),"")</f>
        <v>Výroba papíru a výrobků z papíru</v>
      </c>
      <c r="X24">
        <f>IF(ISNUMBER(SEARCH('1Př1'!$A$37,N24)),MAX($M$2:M23)+1,0)</f>
        <v>22</v>
      </c>
      <c r="Y24" s="419" t="s">
        <v>952</v>
      </c>
      <c r="Z24" t="str">
        <f>IFERROR(VLOOKUP(ROWS($Z$3:Z24),$X$3:$Y$992,2,0),"")</f>
        <v>Výroba papíru a výrobků z papíru</v>
      </c>
    </row>
    <row r="25" spans="1:26" ht="12.75" customHeight="1">
      <c r="A25" s="395"/>
      <c r="B25" s="395"/>
      <c r="C25" s="395"/>
      <c r="D25" s="411">
        <f>IF(ISNUMBER(SEARCH(ZAKL_DATA!$B$14,E25)),MAX($D$2:D24)+1,0)</f>
        <v>23</v>
      </c>
      <c r="E25" s="425" t="s">
        <v>954</v>
      </c>
      <c r="F25" s="426">
        <v>2111</v>
      </c>
      <c r="G25" s="427"/>
      <c r="H25" s="428" t="str">
        <f>IFERROR(VLOOKUP(ROWS($H$3:H25),$D$3:$E$204,2,0),"")</f>
        <v>KOLÍN</v>
      </c>
      <c r="I25" s="395"/>
      <c r="J25" s="430" t="s">
        <v>955</v>
      </c>
      <c r="K25" s="417" t="s">
        <v>956</v>
      </c>
      <c r="M25" s="418">
        <f>IF(ISNUMBER(SEARCH(ZAKL_DATA!$B$29,N25)),MAX($M$2:M24)+1,0)</f>
        <v>23</v>
      </c>
      <c r="N25" s="419" t="s">
        <v>957</v>
      </c>
      <c r="O25" s="420" t="s">
        <v>958</v>
      </c>
      <c r="P25" s="421"/>
      <c r="Q25" s="422" t="str">
        <f>IFERROR(VLOOKUP(ROWS($Q$3:Q25),$M$3:$N$992,2,0),"")</f>
        <v>Lov a odchyt divokých zvířat a související činnosti</v>
      </c>
      <c r="R25">
        <f>IF(ISNUMBER(SEARCH('1Př1'!$A$35,N25)),MAX($M$2:M24)+1,0)</f>
        <v>23</v>
      </c>
      <c r="S25" s="419" t="s">
        <v>957</v>
      </c>
      <c r="T25" t="str">
        <f>IFERROR(VLOOKUP(ROWS($T$3:T25),$R$3:$S$992,2,0),"")</f>
        <v>Lov a odchyt divokých zvířat a související činnosti</v>
      </c>
      <c r="U25">
        <f>IF(ISNUMBER(SEARCH('1Př1'!$A$36,N25)),MAX($M$2:M24)+1,0)</f>
        <v>23</v>
      </c>
      <c r="V25" s="419" t="s">
        <v>957</v>
      </c>
      <c r="W25" t="str">
        <f>IFERROR(VLOOKUP(ROWS($W$3:W25),$U$3:$V$992,2,0),"")</f>
        <v>Lov a odchyt divokých zvířat a související činnosti</v>
      </c>
      <c r="X25">
        <f>IF(ISNUMBER(SEARCH('1Př1'!$A$37,N25)),MAX($M$2:M24)+1,0)</f>
        <v>23</v>
      </c>
      <c r="Y25" s="419" t="s">
        <v>957</v>
      </c>
      <c r="Z25" t="str">
        <f>IFERROR(VLOOKUP(ROWS($Z$3:Z25),$X$3:$Y$992,2,0),"")</f>
        <v>Lov a odchyt divokých zvířat a související činnosti</v>
      </c>
    </row>
    <row r="26" spans="1:26" ht="12.75" customHeight="1">
      <c r="A26" s="395"/>
      <c r="B26" s="395"/>
      <c r="C26" s="395"/>
      <c r="D26" s="411">
        <f>IF(ISNUMBER(SEARCH(ZAKL_DATA!$B$14,E26)),MAX($D$2:D25)+1,0)</f>
        <v>24</v>
      </c>
      <c r="E26" s="425" t="s">
        <v>959</v>
      </c>
      <c r="F26" s="426">
        <v>2112</v>
      </c>
      <c r="G26" s="427"/>
      <c r="H26" s="428" t="str">
        <f>IFERROR(VLOOKUP(ROWS($H$3:H26),$D$3:$E$204,2,0),"")</f>
        <v>KRALUPY NAD VLTAVOU</v>
      </c>
      <c r="I26" s="395"/>
      <c r="J26" s="430" t="s">
        <v>960</v>
      </c>
      <c r="K26" s="417" t="s">
        <v>961</v>
      </c>
      <c r="M26" s="418">
        <f>IF(ISNUMBER(SEARCH(ZAKL_DATA!$B$29,N26)),MAX($M$2:M25)+1,0)</f>
        <v>24</v>
      </c>
      <c r="N26" s="419" t="s">
        <v>962</v>
      </c>
      <c r="O26" s="420" t="s">
        <v>963</v>
      </c>
      <c r="P26" s="421"/>
      <c r="Q26" s="422" t="str">
        <f>IFERROR(VLOOKUP(ROWS($Q$3:Q26),$M$3:$N$992,2,0),"")</f>
        <v>Tisk a rozmnožování nahraných nosičů</v>
      </c>
      <c r="R26">
        <f>IF(ISNUMBER(SEARCH('1Př1'!$A$35,N26)),MAX($M$2:M25)+1,0)</f>
        <v>24</v>
      </c>
      <c r="S26" s="419" t="s">
        <v>962</v>
      </c>
      <c r="T26" t="str">
        <f>IFERROR(VLOOKUP(ROWS($T$3:T26),$R$3:$S$992,2,0),"")</f>
        <v>Tisk a rozmnožování nahraných nosičů</v>
      </c>
      <c r="U26">
        <f>IF(ISNUMBER(SEARCH('1Př1'!$A$36,N26)),MAX($M$2:M25)+1,0)</f>
        <v>24</v>
      </c>
      <c r="V26" s="419" t="s">
        <v>962</v>
      </c>
      <c r="W26" t="str">
        <f>IFERROR(VLOOKUP(ROWS($W$3:W26),$U$3:$V$992,2,0),"")</f>
        <v>Tisk a rozmnožování nahraných nosičů</v>
      </c>
      <c r="X26">
        <f>IF(ISNUMBER(SEARCH('1Př1'!$A$37,N26)),MAX($M$2:M25)+1,0)</f>
        <v>24</v>
      </c>
      <c r="Y26" s="419" t="s">
        <v>962</v>
      </c>
      <c r="Z26" t="str">
        <f>IFERROR(VLOOKUP(ROWS($Z$3:Z26),$X$3:$Y$992,2,0),"")</f>
        <v>Tisk a rozmnožování nahraných nosičů</v>
      </c>
    </row>
    <row r="27" spans="1:26" ht="12.75" customHeight="1">
      <c r="A27" s="395"/>
      <c r="B27" s="395"/>
      <c r="C27" s="395"/>
      <c r="D27" s="411">
        <f>IF(ISNUMBER(SEARCH(ZAKL_DATA!$B$14,E27)),MAX($D$2:D26)+1,0)</f>
        <v>25</v>
      </c>
      <c r="E27" s="425" t="s">
        <v>964</v>
      </c>
      <c r="F27" s="426">
        <v>2113</v>
      </c>
      <c r="G27" s="427"/>
      <c r="H27" s="428" t="str">
        <f>IFERROR(VLOOKUP(ROWS($H$3:H27),$D$3:$E$204,2,0),"")</f>
        <v>KUTNÁ HORA</v>
      </c>
      <c r="I27" s="395"/>
      <c r="J27" s="430" t="s">
        <v>965</v>
      </c>
      <c r="K27" s="417" t="s">
        <v>966</v>
      </c>
      <c r="M27" s="418">
        <f>IF(ISNUMBER(SEARCH(ZAKL_DATA!$B$29,N27)),MAX($M$2:M26)+1,0)</f>
        <v>25</v>
      </c>
      <c r="N27" s="419" t="s">
        <v>967</v>
      </c>
      <c r="O27" s="420" t="s">
        <v>968</v>
      </c>
      <c r="P27" s="421"/>
      <c r="Q27" s="422" t="str">
        <f>IFERROR(VLOOKUP(ROWS($Q$3:Q27),$M$3:$N$992,2,0),"")</f>
        <v>Výroba koksu a rafinovaných ropných produktů</v>
      </c>
      <c r="R27">
        <f>IF(ISNUMBER(SEARCH('1Př1'!$A$35,N27)),MAX($M$2:M26)+1,0)</f>
        <v>25</v>
      </c>
      <c r="S27" s="419" t="s">
        <v>967</v>
      </c>
      <c r="T27" t="str">
        <f>IFERROR(VLOOKUP(ROWS($T$3:T27),$R$3:$S$992,2,0),"")</f>
        <v>Výroba koksu a rafinovaných ropných produktů</v>
      </c>
      <c r="U27">
        <f>IF(ISNUMBER(SEARCH('1Př1'!$A$36,N27)),MAX($M$2:M26)+1,0)</f>
        <v>25</v>
      </c>
      <c r="V27" s="419" t="s">
        <v>967</v>
      </c>
      <c r="W27" t="str">
        <f>IFERROR(VLOOKUP(ROWS($W$3:W27),$U$3:$V$992,2,0),"")</f>
        <v>Výroba koksu a rafinovaných ropných produktů</v>
      </c>
      <c r="X27">
        <f>IF(ISNUMBER(SEARCH('1Př1'!$A$37,N27)),MAX($M$2:M26)+1,0)</f>
        <v>25</v>
      </c>
      <c r="Y27" s="419" t="s">
        <v>967</v>
      </c>
      <c r="Z27" t="str">
        <f>IFERROR(VLOOKUP(ROWS($Z$3:Z27),$X$3:$Y$992,2,0),"")</f>
        <v>Výroba koksu a rafinovaných ropných produktů</v>
      </c>
    </row>
    <row r="28" spans="1:26" ht="12.75" customHeight="1">
      <c r="A28" s="395"/>
      <c r="B28" s="395"/>
      <c r="C28" s="395"/>
      <c r="D28" s="411">
        <f>IF(ISNUMBER(SEARCH(ZAKL_DATA!$B$14,E28)),MAX($D$2:D27)+1,0)</f>
        <v>26</v>
      </c>
      <c r="E28" s="425" t="s">
        <v>969</v>
      </c>
      <c r="F28" s="426">
        <v>2114</v>
      </c>
      <c r="G28" s="427"/>
      <c r="H28" s="428" t="str">
        <f>IFERROR(VLOOKUP(ROWS($H$3:H28),$D$3:$E$204,2,0),"")</f>
        <v>MĚLNÍK</v>
      </c>
      <c r="I28" s="395"/>
      <c r="J28" s="430" t="s">
        <v>970</v>
      </c>
      <c r="K28" s="417" t="s">
        <v>971</v>
      </c>
      <c r="M28" s="418">
        <f>IF(ISNUMBER(SEARCH(ZAKL_DATA!$B$29,N28)),MAX($M$2:M27)+1,0)</f>
        <v>26</v>
      </c>
      <c r="N28" s="419" t="s">
        <v>972</v>
      </c>
      <c r="O28" s="420" t="s">
        <v>973</v>
      </c>
      <c r="P28" s="421"/>
      <c r="Q28" s="422" t="str">
        <f>IFERROR(VLOOKUP(ROWS($Q$3:Q28),$M$3:$N$992,2,0),"")</f>
        <v>Výroba chemických látek a chemických přípravků</v>
      </c>
      <c r="R28">
        <f>IF(ISNUMBER(SEARCH('1Př1'!$A$35,N28)),MAX($M$2:M27)+1,0)</f>
        <v>26</v>
      </c>
      <c r="S28" s="419" t="s">
        <v>972</v>
      </c>
      <c r="T28" t="str">
        <f>IFERROR(VLOOKUP(ROWS($T$3:T28),$R$3:$S$992,2,0),"")</f>
        <v>Výroba chemických látek a chemických přípravků</v>
      </c>
      <c r="U28">
        <f>IF(ISNUMBER(SEARCH('1Př1'!$A$36,N28)),MAX($M$2:M27)+1,0)</f>
        <v>26</v>
      </c>
      <c r="V28" s="419" t="s">
        <v>972</v>
      </c>
      <c r="W28" t="str">
        <f>IFERROR(VLOOKUP(ROWS($W$3:W28),$U$3:$V$992,2,0),"")</f>
        <v>Výroba chemických látek a chemických přípravků</v>
      </c>
      <c r="X28">
        <f>IF(ISNUMBER(SEARCH('1Př1'!$A$37,N28)),MAX($M$2:M27)+1,0)</f>
        <v>26</v>
      </c>
      <c r="Y28" s="419" t="s">
        <v>972</v>
      </c>
      <c r="Z28" t="str">
        <f>IFERROR(VLOOKUP(ROWS($Z$3:Z28),$X$3:$Y$992,2,0),"")</f>
        <v>Výroba chemických látek a chemických přípravků</v>
      </c>
    </row>
    <row r="29" spans="1:26" ht="12.75" customHeight="1">
      <c r="A29" s="395"/>
      <c r="B29" s="395"/>
      <c r="C29" s="395"/>
      <c r="D29" s="411">
        <f>IF(ISNUMBER(SEARCH(ZAKL_DATA!$B$14,E29)),MAX($D$2:D28)+1,0)</f>
        <v>27</v>
      </c>
      <c r="E29" s="425" t="s">
        <v>974</v>
      </c>
      <c r="F29" s="426">
        <v>2115</v>
      </c>
      <c r="G29" s="427"/>
      <c r="H29" s="428" t="str">
        <f>IFERROR(VLOOKUP(ROWS($H$3:H29),$D$3:$E$204,2,0),"")</f>
        <v>MLADÁ BOLESLAV</v>
      </c>
      <c r="I29" s="395"/>
      <c r="J29" s="430" t="s">
        <v>975</v>
      </c>
      <c r="K29" s="417" t="s">
        <v>976</v>
      </c>
      <c r="M29" s="418">
        <f>IF(ISNUMBER(SEARCH(ZAKL_DATA!$B$29,N29)),MAX($M$2:M28)+1,0)</f>
        <v>27</v>
      </c>
      <c r="N29" s="419" t="s">
        <v>977</v>
      </c>
      <c r="O29" s="420" t="s">
        <v>978</v>
      </c>
      <c r="P29" s="421"/>
      <c r="Q29" s="422" t="str">
        <f>IFERROR(VLOOKUP(ROWS($Q$3:Q29),$M$3:$N$992,2,0),"")</f>
        <v>Výroba základních farmaceutických výrobků a farmaceutických přípravků</v>
      </c>
      <c r="R29">
        <f>IF(ISNUMBER(SEARCH('1Př1'!$A$35,N29)),MAX($M$2:M28)+1,0)</f>
        <v>27</v>
      </c>
      <c r="S29" s="419" t="s">
        <v>977</v>
      </c>
      <c r="T29" t="str">
        <f>IFERROR(VLOOKUP(ROWS($T$3:T29),$R$3:$S$992,2,0),"")</f>
        <v>Výroba základních farmaceutických výrobků a farmaceutických přípravků</v>
      </c>
      <c r="U29">
        <f>IF(ISNUMBER(SEARCH('1Př1'!$A$36,N29)),MAX($M$2:M28)+1,0)</f>
        <v>27</v>
      </c>
      <c r="V29" s="419" t="s">
        <v>977</v>
      </c>
      <c r="W29" t="str">
        <f>IFERROR(VLOOKUP(ROWS($W$3:W29),$U$3:$V$992,2,0),"")</f>
        <v>Výroba základních farmaceutických výrobků a farmaceutických přípravků</v>
      </c>
      <c r="X29">
        <f>IF(ISNUMBER(SEARCH('1Př1'!$A$37,N29)),MAX($M$2:M28)+1,0)</f>
        <v>27</v>
      </c>
      <c r="Y29" s="419" t="s">
        <v>977</v>
      </c>
      <c r="Z29" t="str">
        <f>IFERROR(VLOOKUP(ROWS($Z$3:Z29),$X$3:$Y$992,2,0),"")</f>
        <v>Výroba základních farmaceutických výrobků a farmaceutických přípravků</v>
      </c>
    </row>
    <row r="30" spans="1:26" ht="12.75" customHeight="1">
      <c r="A30" s="395"/>
      <c r="B30" s="395"/>
      <c r="C30" s="395"/>
      <c r="D30" s="411">
        <f>IF(ISNUMBER(SEARCH(ZAKL_DATA!$B$14,E30)),MAX($D$2:D29)+1,0)</f>
        <v>28</v>
      </c>
      <c r="E30" s="425" t="s">
        <v>979</v>
      </c>
      <c r="F30" s="426">
        <v>2116</v>
      </c>
      <c r="G30" s="427"/>
      <c r="H30" s="428" t="str">
        <f>IFERROR(VLOOKUP(ROWS($H$3:H30),$D$3:$E$204,2,0),"")</f>
        <v>MNICHOVO HRADIŠTĚ</v>
      </c>
      <c r="I30" s="395"/>
      <c r="J30" s="430" t="s">
        <v>980</v>
      </c>
      <c r="K30" s="417" t="s">
        <v>981</v>
      </c>
      <c r="M30" s="418">
        <f>IF(ISNUMBER(SEARCH(ZAKL_DATA!$B$29,N30)),MAX($M$2:M29)+1,0)</f>
        <v>28</v>
      </c>
      <c r="N30" s="419" t="s">
        <v>982</v>
      </c>
      <c r="O30" s="420" t="s">
        <v>983</v>
      </c>
      <c r="P30" s="421"/>
      <c r="Q30" s="422" t="str">
        <f>IFERROR(VLOOKUP(ROWS($Q$3:Q30),$M$3:$N$992,2,0),"")</f>
        <v>Lesní hospodářství a jiné činnosti v oblasti lesnictví</v>
      </c>
      <c r="R30">
        <f>IF(ISNUMBER(SEARCH('1Př1'!$A$35,N30)),MAX($M$2:M29)+1,0)</f>
        <v>28</v>
      </c>
      <c r="S30" s="419" t="s">
        <v>982</v>
      </c>
      <c r="T30" t="str">
        <f>IFERROR(VLOOKUP(ROWS($T$3:T30),$R$3:$S$992,2,0),"")</f>
        <v>Lesní hospodářství a jiné činnosti v oblasti lesnictví</v>
      </c>
      <c r="U30">
        <f>IF(ISNUMBER(SEARCH('1Př1'!$A$36,N30)),MAX($M$2:M29)+1,0)</f>
        <v>28</v>
      </c>
      <c r="V30" s="419" t="s">
        <v>982</v>
      </c>
      <c r="W30" t="str">
        <f>IFERROR(VLOOKUP(ROWS($W$3:W30),$U$3:$V$992,2,0),"")</f>
        <v>Lesní hospodářství a jiné činnosti v oblasti lesnictví</v>
      </c>
      <c r="X30">
        <f>IF(ISNUMBER(SEARCH('1Př1'!$A$37,N30)),MAX($M$2:M29)+1,0)</f>
        <v>28</v>
      </c>
      <c r="Y30" s="419" t="s">
        <v>982</v>
      </c>
      <c r="Z30" t="str">
        <f>IFERROR(VLOOKUP(ROWS($Z$3:Z30),$X$3:$Y$992,2,0),"")</f>
        <v>Lesní hospodářství a jiné činnosti v oblasti lesnictví</v>
      </c>
    </row>
    <row r="31" spans="1:26" ht="12.75" customHeight="1">
      <c r="A31" s="395"/>
      <c r="B31" s="395"/>
      <c r="C31" s="395"/>
      <c r="D31" s="411">
        <f>IF(ISNUMBER(SEARCH(ZAKL_DATA!$B$14,E31)),MAX($D$2:D30)+1,0)</f>
        <v>29</v>
      </c>
      <c r="E31" s="425" t="s">
        <v>984</v>
      </c>
      <c r="F31" s="426">
        <v>2117</v>
      </c>
      <c r="G31" s="427"/>
      <c r="H31" s="428" t="str">
        <f>IFERROR(VLOOKUP(ROWS($H$3:H31),$D$3:$E$204,2,0),"")</f>
        <v>NERATOVICE</v>
      </c>
      <c r="I31" s="395"/>
      <c r="J31" s="430" t="s">
        <v>985</v>
      </c>
      <c r="K31" s="417" t="s">
        <v>986</v>
      </c>
      <c r="M31" s="418">
        <f>IF(ISNUMBER(SEARCH(ZAKL_DATA!$B$29,N31)),MAX($M$2:M30)+1,0)</f>
        <v>29</v>
      </c>
      <c r="N31" s="419" t="s">
        <v>987</v>
      </c>
      <c r="O31" s="420" t="s">
        <v>988</v>
      </c>
      <c r="P31" s="421"/>
      <c r="Q31" s="422" t="str">
        <f>IFERROR(VLOOKUP(ROWS($Q$3:Q31),$M$3:$N$992,2,0),"")</f>
        <v>Výroba pryžových a plastových výrobků</v>
      </c>
      <c r="R31">
        <f>IF(ISNUMBER(SEARCH('1Př1'!$A$35,N31)),MAX($M$2:M30)+1,0)</f>
        <v>29</v>
      </c>
      <c r="S31" s="419" t="s">
        <v>987</v>
      </c>
      <c r="T31" t="str">
        <f>IFERROR(VLOOKUP(ROWS($T$3:T31),$R$3:$S$992,2,0),"")</f>
        <v>Výroba pryžových a plastových výrobků</v>
      </c>
      <c r="U31">
        <f>IF(ISNUMBER(SEARCH('1Př1'!$A$36,N31)),MAX($M$2:M30)+1,0)</f>
        <v>29</v>
      </c>
      <c r="V31" s="419" t="s">
        <v>987</v>
      </c>
      <c r="W31" t="str">
        <f>IFERROR(VLOOKUP(ROWS($W$3:W31),$U$3:$V$992,2,0),"")</f>
        <v>Výroba pryžových a plastových výrobků</v>
      </c>
      <c r="X31">
        <f>IF(ISNUMBER(SEARCH('1Př1'!$A$37,N31)),MAX($M$2:M30)+1,0)</f>
        <v>29</v>
      </c>
      <c r="Y31" s="419" t="s">
        <v>987</v>
      </c>
      <c r="Z31" t="str">
        <f>IFERROR(VLOOKUP(ROWS($Z$3:Z31),$X$3:$Y$992,2,0),"")</f>
        <v>Výroba pryžových a plastových výrobků</v>
      </c>
    </row>
    <row r="32" spans="1:26" ht="12.75" customHeight="1">
      <c r="A32" s="395"/>
      <c r="B32" s="395"/>
      <c r="C32" s="395"/>
      <c r="D32" s="411">
        <f>IF(ISNUMBER(SEARCH(ZAKL_DATA!$B$14,E32)),MAX($D$2:D31)+1,0)</f>
        <v>30</v>
      </c>
      <c r="E32" s="425" t="s">
        <v>989</v>
      </c>
      <c r="F32" s="426">
        <v>2118</v>
      </c>
      <c r="G32" s="427"/>
      <c r="H32" s="428" t="str">
        <f>IFERROR(VLOOKUP(ROWS($H$3:H32),$D$3:$E$204,2,0),"")</f>
        <v>NYMBURK</v>
      </c>
      <c r="I32" s="395"/>
      <c r="J32" s="430" t="s">
        <v>990</v>
      </c>
      <c r="K32" s="417" t="s">
        <v>991</v>
      </c>
      <c r="M32" s="418">
        <f>IF(ISNUMBER(SEARCH(ZAKL_DATA!$B$29,N32)),MAX($M$2:M31)+1,0)</f>
        <v>30</v>
      </c>
      <c r="N32" s="419" t="s">
        <v>992</v>
      </c>
      <c r="O32" s="420" t="s">
        <v>993</v>
      </c>
      <c r="P32" s="421"/>
      <c r="Q32" s="422" t="str">
        <f>IFERROR(VLOOKUP(ROWS($Q$3:Q32),$M$3:$N$992,2,0),"")</f>
        <v>Těžba dřeva</v>
      </c>
      <c r="R32">
        <f>IF(ISNUMBER(SEARCH('1Př1'!$A$35,N32)),MAX($M$2:M31)+1,0)</f>
        <v>30</v>
      </c>
      <c r="S32" s="419" t="s">
        <v>992</v>
      </c>
      <c r="T32" t="str">
        <f>IFERROR(VLOOKUP(ROWS($T$3:T32),$R$3:$S$992,2,0),"")</f>
        <v>Těžba dřeva</v>
      </c>
      <c r="U32">
        <f>IF(ISNUMBER(SEARCH('1Př1'!$A$36,N32)),MAX($M$2:M31)+1,0)</f>
        <v>30</v>
      </c>
      <c r="V32" s="419" t="s">
        <v>992</v>
      </c>
      <c r="W32" t="str">
        <f>IFERROR(VLOOKUP(ROWS($W$3:W32),$U$3:$V$992,2,0),"")</f>
        <v>Těžba dřeva</v>
      </c>
      <c r="X32">
        <f>IF(ISNUMBER(SEARCH('1Př1'!$A$37,N32)),MAX($M$2:M31)+1,0)</f>
        <v>30</v>
      </c>
      <c r="Y32" s="419" t="s">
        <v>992</v>
      </c>
      <c r="Z32" t="str">
        <f>IFERROR(VLOOKUP(ROWS($Z$3:Z32),$X$3:$Y$992,2,0),"")</f>
        <v>Těžba dřeva</v>
      </c>
    </row>
    <row r="33" spans="1:26" ht="12.75" customHeight="1">
      <c r="A33" s="395"/>
      <c r="B33" s="395"/>
      <c r="C33" s="395"/>
      <c r="D33" s="411">
        <f>IF(ISNUMBER(SEARCH(ZAKL_DATA!$B$14,E33)),MAX($D$2:D32)+1,0)</f>
        <v>31</v>
      </c>
      <c r="E33" s="425" t="s">
        <v>994</v>
      </c>
      <c r="F33" s="426">
        <v>2119</v>
      </c>
      <c r="G33" s="427"/>
      <c r="H33" s="428" t="str">
        <f>IFERROR(VLOOKUP(ROWS($H$3:H33),$D$3:$E$204,2,0),"")</f>
        <v>PODĚBRADY</v>
      </c>
      <c r="I33" s="395"/>
      <c r="J33" s="430" t="s">
        <v>995</v>
      </c>
      <c r="K33" s="417" t="s">
        <v>996</v>
      </c>
      <c r="M33" s="418">
        <f>IF(ISNUMBER(SEARCH(ZAKL_DATA!$B$29,N33)),MAX($M$2:M32)+1,0)</f>
        <v>31</v>
      </c>
      <c r="N33" s="419" t="s">
        <v>997</v>
      </c>
      <c r="O33" s="420" t="s">
        <v>998</v>
      </c>
      <c r="P33" s="421"/>
      <c r="Q33" s="422" t="str">
        <f>IFERROR(VLOOKUP(ROWS($Q$3:Q33),$M$3:$N$992,2,0),"")</f>
        <v>Výroba ostatních nekovových minerálních výrobků</v>
      </c>
      <c r="R33">
        <f>IF(ISNUMBER(SEARCH('1Př1'!$A$35,N33)),MAX($M$2:M32)+1,0)</f>
        <v>31</v>
      </c>
      <c r="S33" s="419" t="s">
        <v>997</v>
      </c>
      <c r="T33" t="str">
        <f>IFERROR(VLOOKUP(ROWS($T$3:T33),$R$3:$S$992,2,0),"")</f>
        <v>Výroba ostatních nekovových minerálních výrobků</v>
      </c>
      <c r="U33">
        <f>IF(ISNUMBER(SEARCH('1Př1'!$A$36,N33)),MAX($M$2:M32)+1,0)</f>
        <v>31</v>
      </c>
      <c r="V33" s="419" t="s">
        <v>997</v>
      </c>
      <c r="W33" t="str">
        <f>IFERROR(VLOOKUP(ROWS($W$3:W33),$U$3:$V$992,2,0),"")</f>
        <v>Výroba ostatních nekovových minerálních výrobků</v>
      </c>
      <c r="X33">
        <f>IF(ISNUMBER(SEARCH('1Př1'!$A$37,N33)),MAX($M$2:M32)+1,0)</f>
        <v>31</v>
      </c>
      <c r="Y33" s="419" t="s">
        <v>997</v>
      </c>
      <c r="Z33" t="str">
        <f>IFERROR(VLOOKUP(ROWS($Z$3:Z33),$X$3:$Y$992,2,0),"")</f>
        <v>Výroba ostatních nekovových minerálních výrobků</v>
      </c>
    </row>
    <row r="34" spans="1:26" ht="12.75" customHeight="1">
      <c r="A34" s="395"/>
      <c r="B34" s="395"/>
      <c r="C34" s="395"/>
      <c r="D34" s="411">
        <f>IF(ISNUMBER(SEARCH(ZAKL_DATA!$B$14,E34)),MAX($D$2:D33)+1,0)</f>
        <v>32</v>
      </c>
      <c r="E34" s="425" t="s">
        <v>999</v>
      </c>
      <c r="F34" s="426">
        <v>2120</v>
      </c>
      <c r="G34" s="427"/>
      <c r="H34" s="428" t="str">
        <f>IFERROR(VLOOKUP(ROWS($H$3:H34),$D$3:$E$204,2,0),"")</f>
        <v>PŘÍBRAM</v>
      </c>
      <c r="I34" s="395"/>
      <c r="J34" s="430" t="s">
        <v>1000</v>
      </c>
      <c r="K34" s="417" t="s">
        <v>1001</v>
      </c>
      <c r="M34" s="418">
        <f>IF(ISNUMBER(SEARCH(ZAKL_DATA!$B$29,N34)),MAX($M$2:M33)+1,0)</f>
        <v>32</v>
      </c>
      <c r="N34" s="419" t="s">
        <v>1002</v>
      </c>
      <c r="O34" s="420" t="s">
        <v>1003</v>
      </c>
      <c r="P34" s="421"/>
      <c r="Q34" s="422" t="str">
        <f>IFERROR(VLOOKUP(ROWS($Q$3:Q34),$M$3:$N$992,2,0),"")</f>
        <v>Sběr a získávání volně rostoucích plodů a materiálů, kromě dřeva</v>
      </c>
      <c r="R34">
        <f>IF(ISNUMBER(SEARCH('1Př1'!$A$35,N34)),MAX($M$2:M33)+1,0)</f>
        <v>32</v>
      </c>
      <c r="S34" s="419" t="s">
        <v>1002</v>
      </c>
      <c r="T34" t="str">
        <f>IFERROR(VLOOKUP(ROWS($T$3:T34),$R$3:$S$992,2,0),"")</f>
        <v>Sběr a získávání volně rostoucích plodů a materiálů, kromě dřeva</v>
      </c>
      <c r="U34">
        <f>IF(ISNUMBER(SEARCH('1Př1'!$A$36,N34)),MAX($M$2:M33)+1,0)</f>
        <v>32</v>
      </c>
      <c r="V34" s="419" t="s">
        <v>1002</v>
      </c>
      <c r="W34" t="str">
        <f>IFERROR(VLOOKUP(ROWS($W$3:W34),$U$3:$V$992,2,0),"")</f>
        <v>Sběr a získávání volně rostoucích plodů a materiálů, kromě dřeva</v>
      </c>
      <c r="X34">
        <f>IF(ISNUMBER(SEARCH('1Př1'!$A$37,N34)),MAX($M$2:M33)+1,0)</f>
        <v>32</v>
      </c>
      <c r="Y34" s="419" t="s">
        <v>1002</v>
      </c>
      <c r="Z34" t="str">
        <f>IFERROR(VLOOKUP(ROWS($Z$3:Z34),$X$3:$Y$992,2,0),"")</f>
        <v>Sběr a získávání volně rostoucích plodů a materiálů, kromě dřeva</v>
      </c>
    </row>
    <row r="35" spans="1:26" ht="12.75" customHeight="1">
      <c r="A35" s="395"/>
      <c r="B35" s="395"/>
      <c r="C35" s="395"/>
      <c r="D35" s="411">
        <f>IF(ISNUMBER(SEARCH(ZAKL_DATA!$B$14,E35)),MAX($D$2:D34)+1,0)</f>
        <v>33</v>
      </c>
      <c r="E35" s="425" t="s">
        <v>1004</v>
      </c>
      <c r="F35" s="426">
        <v>2121</v>
      </c>
      <c r="G35" s="427"/>
      <c r="H35" s="428" t="str">
        <f>IFERROR(VLOOKUP(ROWS($H$3:H35),$D$3:$E$204,2,0),"")</f>
        <v>RAKOVNÍK</v>
      </c>
      <c r="I35" s="395"/>
      <c r="J35" s="430" t="s">
        <v>1005</v>
      </c>
      <c r="K35" s="417" t="s">
        <v>1006</v>
      </c>
      <c r="M35" s="418">
        <f>IF(ISNUMBER(SEARCH(ZAKL_DATA!$B$29,N35)),MAX($M$2:M34)+1,0)</f>
        <v>33</v>
      </c>
      <c r="N35" s="419" t="s">
        <v>1007</v>
      </c>
      <c r="O35" s="420" t="s">
        <v>1008</v>
      </c>
      <c r="P35" s="421"/>
      <c r="Q35" s="422" t="str">
        <f>IFERROR(VLOOKUP(ROWS($Q$3:Q35),$M$3:$N$992,2,0),"")</f>
        <v>Výroba základních kovů, hutní zpracování kovů; slévárenství</v>
      </c>
      <c r="R35">
        <f>IF(ISNUMBER(SEARCH('1Př1'!$A$35,N35)),MAX($M$2:M34)+1,0)</f>
        <v>33</v>
      </c>
      <c r="S35" s="419" t="s">
        <v>1007</v>
      </c>
      <c r="T35" t="str">
        <f>IFERROR(VLOOKUP(ROWS($T$3:T35),$R$3:$S$992,2,0),"")</f>
        <v>Výroba základních kovů, hutní zpracování kovů; slévárenství</v>
      </c>
      <c r="U35">
        <f>IF(ISNUMBER(SEARCH('1Př1'!$A$36,N35)),MAX($M$2:M34)+1,0)</f>
        <v>33</v>
      </c>
      <c r="V35" s="419" t="s">
        <v>1007</v>
      </c>
      <c r="W35" t="str">
        <f>IFERROR(VLOOKUP(ROWS($W$3:W35),$U$3:$V$992,2,0),"")</f>
        <v>Výroba základních kovů, hutní zpracování kovů; slévárenství</v>
      </c>
      <c r="X35">
        <f>IF(ISNUMBER(SEARCH('1Př1'!$A$37,N35)),MAX($M$2:M34)+1,0)</f>
        <v>33</v>
      </c>
      <c r="Y35" s="419" t="s">
        <v>1007</v>
      </c>
      <c r="Z35" t="str">
        <f>IFERROR(VLOOKUP(ROWS($Z$3:Z35),$X$3:$Y$992,2,0),"")</f>
        <v>Výroba základních kovů, hutní zpracování kovů; slévárenství</v>
      </c>
    </row>
    <row r="36" spans="1:26" ht="12.75" customHeight="1">
      <c r="A36" s="395"/>
      <c r="B36" s="395"/>
      <c r="C36" s="395"/>
      <c r="D36" s="411">
        <f>IF(ISNUMBER(SEARCH(ZAKL_DATA!$B$14,E36)),MAX($D$2:D35)+1,0)</f>
        <v>34</v>
      </c>
      <c r="E36" s="425" t="s">
        <v>1009</v>
      </c>
      <c r="F36" s="426">
        <v>2122</v>
      </c>
      <c r="G36" s="427"/>
      <c r="H36" s="428" t="str">
        <f>IFERROR(VLOOKUP(ROWS($H$3:H36),$D$3:$E$204,2,0),"")</f>
        <v>ŘÍČANY</v>
      </c>
      <c r="I36" s="395"/>
      <c r="J36" s="430" t="s">
        <v>1010</v>
      </c>
      <c r="K36" s="417" t="s">
        <v>1011</v>
      </c>
      <c r="M36" s="418">
        <f>IF(ISNUMBER(SEARCH(ZAKL_DATA!$B$29,N36)),MAX($M$2:M35)+1,0)</f>
        <v>34</v>
      </c>
      <c r="N36" s="419" t="s">
        <v>1012</v>
      </c>
      <c r="O36" s="420" t="s">
        <v>1013</v>
      </c>
      <c r="P36" s="421"/>
      <c r="Q36" s="422" t="str">
        <f>IFERROR(VLOOKUP(ROWS($Q$3:Q36),$M$3:$N$992,2,0),"")</f>
        <v>Podpůrné činnosti pro lesnictví</v>
      </c>
      <c r="R36">
        <f>IF(ISNUMBER(SEARCH('1Př1'!$A$35,N36)),MAX($M$2:M35)+1,0)</f>
        <v>34</v>
      </c>
      <c r="S36" s="419" t="s">
        <v>1012</v>
      </c>
      <c r="T36" t="str">
        <f>IFERROR(VLOOKUP(ROWS($T$3:T36),$R$3:$S$992,2,0),"")</f>
        <v>Podpůrné činnosti pro lesnictví</v>
      </c>
      <c r="U36">
        <f>IF(ISNUMBER(SEARCH('1Př1'!$A$36,N36)),MAX($M$2:M35)+1,0)</f>
        <v>34</v>
      </c>
      <c r="V36" s="419" t="s">
        <v>1012</v>
      </c>
      <c r="W36" t="str">
        <f>IFERROR(VLOOKUP(ROWS($W$3:W36),$U$3:$V$992,2,0),"")</f>
        <v>Podpůrné činnosti pro lesnictví</v>
      </c>
      <c r="X36">
        <f>IF(ISNUMBER(SEARCH('1Př1'!$A$37,N36)),MAX($M$2:M35)+1,0)</f>
        <v>34</v>
      </c>
      <c r="Y36" s="419" t="s">
        <v>1012</v>
      </c>
      <c r="Z36" t="str">
        <f>IFERROR(VLOOKUP(ROWS($Z$3:Z36),$X$3:$Y$992,2,0),"")</f>
        <v>Podpůrné činnosti pro lesnictví</v>
      </c>
    </row>
    <row r="37" spans="1:26" ht="12.75" customHeight="1">
      <c r="A37" s="395"/>
      <c r="B37" s="395"/>
      <c r="C37" s="395"/>
      <c r="D37" s="411">
        <f>IF(ISNUMBER(SEARCH(ZAKL_DATA!$B$14,E37)),MAX($D$2:D36)+1,0)</f>
        <v>35</v>
      </c>
      <c r="E37" s="425" t="s">
        <v>1014</v>
      </c>
      <c r="F37" s="426">
        <v>2123</v>
      </c>
      <c r="G37" s="427"/>
      <c r="H37" s="428" t="str">
        <f>IFERROR(VLOOKUP(ROWS($H$3:H37),$D$3:$E$204,2,0),"")</f>
        <v>SEDLČANY</v>
      </c>
      <c r="I37" s="395"/>
      <c r="J37" s="430" t="s">
        <v>1015</v>
      </c>
      <c r="K37" s="417" t="s">
        <v>1016</v>
      </c>
      <c r="M37" s="418">
        <f>IF(ISNUMBER(SEARCH(ZAKL_DATA!$B$29,N37)),MAX($M$2:M36)+1,0)</f>
        <v>35</v>
      </c>
      <c r="N37" s="419" t="s">
        <v>1017</v>
      </c>
      <c r="O37" s="420" t="s">
        <v>1018</v>
      </c>
      <c r="P37" s="421"/>
      <c r="Q37" s="422" t="str">
        <f>IFERROR(VLOOKUP(ROWS($Q$3:Q37),$M$3:$N$992,2,0),"")</f>
        <v>Výroba kovových konstrukcí a kovodělných výrobků, kromě strojů a zařízení</v>
      </c>
      <c r="R37">
        <f>IF(ISNUMBER(SEARCH('1Př1'!$A$35,N37)),MAX($M$2:M36)+1,0)</f>
        <v>35</v>
      </c>
      <c r="S37" s="419" t="s">
        <v>1017</v>
      </c>
      <c r="T37" t="str">
        <f>IFERROR(VLOOKUP(ROWS($T$3:T37),$R$3:$S$992,2,0),"")</f>
        <v>Výroba kovových konstrukcí a kovodělných výrobků, kromě strojů a zařízení</v>
      </c>
      <c r="U37">
        <f>IF(ISNUMBER(SEARCH('1Př1'!$A$36,N37)),MAX($M$2:M36)+1,0)</f>
        <v>35</v>
      </c>
      <c r="V37" s="419" t="s">
        <v>1017</v>
      </c>
      <c r="W37" t="str">
        <f>IFERROR(VLOOKUP(ROWS($W$3:W37),$U$3:$V$992,2,0),"")</f>
        <v>Výroba kovových konstrukcí a kovodělných výrobků, kromě strojů a zařízení</v>
      </c>
      <c r="X37">
        <f>IF(ISNUMBER(SEARCH('1Př1'!$A$37,N37)),MAX($M$2:M36)+1,0)</f>
        <v>35</v>
      </c>
      <c r="Y37" s="419" t="s">
        <v>1017</v>
      </c>
      <c r="Z37" t="str">
        <f>IFERROR(VLOOKUP(ROWS($Z$3:Z37),$X$3:$Y$992,2,0),"")</f>
        <v>Výroba kovových konstrukcí a kovodělných výrobků, kromě strojů a zařízení</v>
      </c>
    </row>
    <row r="38" spans="1:26" ht="12.75" customHeight="1">
      <c r="A38" s="395"/>
      <c r="B38" s="395"/>
      <c r="C38" s="395"/>
      <c r="D38" s="411">
        <f>IF(ISNUMBER(SEARCH(ZAKL_DATA!$B$14,E38)),MAX($D$2:D37)+1,0)</f>
        <v>36</v>
      </c>
      <c r="E38" s="425" t="s">
        <v>1019</v>
      </c>
      <c r="F38" s="426">
        <v>2124</v>
      </c>
      <c r="G38" s="427"/>
      <c r="H38" s="428" t="str">
        <f>IFERROR(VLOOKUP(ROWS($H$3:H38),$D$3:$E$204,2,0),"")</f>
        <v>SLANÝ</v>
      </c>
      <c r="I38" s="395"/>
      <c r="J38" s="430" t="s">
        <v>1020</v>
      </c>
      <c r="K38" s="417" t="s">
        <v>1021</v>
      </c>
      <c r="M38" s="418">
        <f>IF(ISNUMBER(SEARCH(ZAKL_DATA!$B$29,N38)),MAX($M$2:M37)+1,0)</f>
        <v>36</v>
      </c>
      <c r="N38" s="419" t="s">
        <v>1022</v>
      </c>
      <c r="O38" s="420" t="s">
        <v>1023</v>
      </c>
      <c r="P38" s="421"/>
      <c r="Q38" s="422" t="str">
        <f>IFERROR(VLOOKUP(ROWS($Q$3:Q38),$M$3:$N$992,2,0),"")</f>
        <v>Výroba počítačů, elektronických a optických přístrojů a zařízení</v>
      </c>
      <c r="R38">
        <f>IF(ISNUMBER(SEARCH('1Př1'!$A$35,N38)),MAX($M$2:M37)+1,0)</f>
        <v>36</v>
      </c>
      <c r="S38" s="419" t="s">
        <v>1022</v>
      </c>
      <c r="T38" t="str">
        <f>IFERROR(VLOOKUP(ROWS($T$3:T38),$R$3:$S$992,2,0),"")</f>
        <v>Výroba počítačů, elektronických a optických přístrojů a zařízení</v>
      </c>
      <c r="U38">
        <f>IF(ISNUMBER(SEARCH('1Př1'!$A$36,N38)),MAX($M$2:M37)+1,0)</f>
        <v>36</v>
      </c>
      <c r="V38" s="419" t="s">
        <v>1022</v>
      </c>
      <c r="W38" t="str">
        <f>IFERROR(VLOOKUP(ROWS($W$3:W38),$U$3:$V$992,2,0),"")</f>
        <v>Výroba počítačů, elektronických a optických přístrojů a zařízení</v>
      </c>
      <c r="X38">
        <f>IF(ISNUMBER(SEARCH('1Př1'!$A$37,N38)),MAX($M$2:M37)+1,0)</f>
        <v>36</v>
      </c>
      <c r="Y38" s="419" t="s">
        <v>1022</v>
      </c>
      <c r="Z38" t="str">
        <f>IFERROR(VLOOKUP(ROWS($Z$3:Z38),$X$3:$Y$992,2,0),"")</f>
        <v>Výroba počítačů, elektronických a optických přístrojů a zařízení</v>
      </c>
    </row>
    <row r="39" spans="1:26" ht="12.75" customHeight="1">
      <c r="A39" s="395"/>
      <c r="B39" s="395"/>
      <c r="C39" s="395"/>
      <c r="D39" s="411">
        <f>IF(ISNUMBER(SEARCH(ZAKL_DATA!$B$14,E39)),MAX($D$2:D38)+1,0)</f>
        <v>37</v>
      </c>
      <c r="E39" s="425" t="s">
        <v>1024</v>
      </c>
      <c r="F39" s="426">
        <v>2125</v>
      </c>
      <c r="G39" s="427"/>
      <c r="H39" s="428" t="str">
        <f>IFERROR(VLOOKUP(ROWS($H$3:H39),$D$3:$E$204,2,0),"")</f>
        <v>VLAŠIM</v>
      </c>
      <c r="I39" s="395"/>
      <c r="J39" s="430" t="s">
        <v>1025</v>
      </c>
      <c r="K39" s="417" t="s">
        <v>1026</v>
      </c>
      <c r="M39" s="418">
        <f>IF(ISNUMBER(SEARCH(ZAKL_DATA!$B$29,N39)),MAX($M$2:M38)+1,0)</f>
        <v>37</v>
      </c>
      <c r="N39" s="419" t="s">
        <v>1027</v>
      </c>
      <c r="O39" s="420" t="s">
        <v>1028</v>
      </c>
      <c r="P39" s="421"/>
      <c r="Q39" s="422" t="str">
        <f>IFERROR(VLOOKUP(ROWS($Q$3:Q39),$M$3:$N$992,2,0),"")</f>
        <v>Výroba elektrických zařízení</v>
      </c>
      <c r="R39">
        <f>IF(ISNUMBER(SEARCH('1Př1'!$A$35,N39)),MAX($M$2:M38)+1,0)</f>
        <v>37</v>
      </c>
      <c r="S39" s="419" t="s">
        <v>1027</v>
      </c>
      <c r="T39" t="str">
        <f>IFERROR(VLOOKUP(ROWS($T$3:T39),$R$3:$S$992,2,0),"")</f>
        <v>Výroba elektrických zařízení</v>
      </c>
      <c r="U39">
        <f>IF(ISNUMBER(SEARCH('1Př1'!$A$36,N39)),MAX($M$2:M38)+1,0)</f>
        <v>37</v>
      </c>
      <c r="V39" s="419" t="s">
        <v>1027</v>
      </c>
      <c r="W39" t="str">
        <f>IFERROR(VLOOKUP(ROWS($W$3:W39),$U$3:$V$992,2,0),"")</f>
        <v>Výroba elektrických zařízení</v>
      </c>
      <c r="X39">
        <f>IF(ISNUMBER(SEARCH('1Př1'!$A$37,N39)),MAX($M$2:M38)+1,0)</f>
        <v>37</v>
      </c>
      <c r="Y39" s="419" t="s">
        <v>1027</v>
      </c>
      <c r="Z39" t="str">
        <f>IFERROR(VLOOKUP(ROWS($Z$3:Z39),$X$3:$Y$992,2,0),"")</f>
        <v>Výroba elektrických zařízení</v>
      </c>
    </row>
    <row r="40" spans="1:26" ht="12.75" customHeight="1">
      <c r="A40" s="395"/>
      <c r="B40" s="395"/>
      <c r="C40" s="395"/>
      <c r="D40" s="411">
        <f>IF(ISNUMBER(SEARCH(ZAKL_DATA!$B$14,E40)),MAX($D$2:D39)+1,0)</f>
        <v>38</v>
      </c>
      <c r="E40" s="425" t="s">
        <v>1029</v>
      </c>
      <c r="F40" s="426">
        <v>2126</v>
      </c>
      <c r="G40" s="427"/>
      <c r="H40" s="428" t="str">
        <f>IFERROR(VLOOKUP(ROWS($H$3:H40),$D$3:$E$204,2,0),"")</f>
        <v>VOTICE</v>
      </c>
      <c r="I40" s="395"/>
      <c r="J40" s="430" t="s">
        <v>1030</v>
      </c>
      <c r="K40" s="417" t="s">
        <v>1031</v>
      </c>
      <c r="M40" s="418">
        <f>IF(ISNUMBER(SEARCH(ZAKL_DATA!$B$29,N40)),MAX($M$2:M39)+1,0)</f>
        <v>38</v>
      </c>
      <c r="N40" s="419" t="s">
        <v>1032</v>
      </c>
      <c r="O40" s="420" t="s">
        <v>1033</v>
      </c>
      <c r="P40" s="421"/>
      <c r="Q40" s="422" t="str">
        <f>IFERROR(VLOOKUP(ROWS($Q$3:Q40),$M$3:$N$992,2,0),"")</f>
        <v>Výroba strojů a zařízení j. n.</v>
      </c>
      <c r="R40">
        <f>IF(ISNUMBER(SEARCH('1Př1'!$A$35,N40)),MAX($M$2:M39)+1,0)</f>
        <v>38</v>
      </c>
      <c r="S40" s="419" t="s">
        <v>1032</v>
      </c>
      <c r="T40" t="str">
        <f>IFERROR(VLOOKUP(ROWS($T$3:T40),$R$3:$S$992,2,0),"")</f>
        <v>Výroba strojů a zařízení j. n.</v>
      </c>
      <c r="U40">
        <f>IF(ISNUMBER(SEARCH('1Př1'!$A$36,N40)),MAX($M$2:M39)+1,0)</f>
        <v>38</v>
      </c>
      <c r="V40" s="419" t="s">
        <v>1032</v>
      </c>
      <c r="W40" t="str">
        <f>IFERROR(VLOOKUP(ROWS($W$3:W40),$U$3:$V$992,2,0),"")</f>
        <v>Výroba strojů a zařízení j. n.</v>
      </c>
      <c r="X40">
        <f>IF(ISNUMBER(SEARCH('1Př1'!$A$37,N40)),MAX($M$2:M39)+1,0)</f>
        <v>38</v>
      </c>
      <c r="Y40" s="419" t="s">
        <v>1032</v>
      </c>
      <c r="Z40" t="str">
        <f>IFERROR(VLOOKUP(ROWS($Z$3:Z40),$X$3:$Y$992,2,0),"")</f>
        <v>Výroba strojů a zařízení j. n.</v>
      </c>
    </row>
    <row r="41" spans="1:26" ht="12.75" customHeight="1">
      <c r="A41" s="395"/>
      <c r="B41" s="395"/>
      <c r="C41" s="395"/>
      <c r="D41" s="411">
        <f>IF(ISNUMBER(SEARCH(ZAKL_DATA!$B$14,E41)),MAX($D$2:D40)+1,0)</f>
        <v>39</v>
      </c>
      <c r="E41" s="425" t="s">
        <v>1034</v>
      </c>
      <c r="F41" s="426">
        <v>2201</v>
      </c>
      <c r="G41" s="427"/>
      <c r="H41" s="428" t="str">
        <f>IFERROR(VLOOKUP(ROWS($H$3:H41),$D$3:$E$204,2,0),"")</f>
        <v>ČESKÉ BUDĚJOVICE</v>
      </c>
      <c r="I41" s="395"/>
      <c r="J41" s="430" t="s">
        <v>1035</v>
      </c>
      <c r="K41" s="417" t="s">
        <v>1036</v>
      </c>
      <c r="M41" s="418">
        <f>IF(ISNUMBER(SEARCH(ZAKL_DATA!$B$29,N41)),MAX($M$2:M40)+1,0)</f>
        <v>39</v>
      </c>
      <c r="N41" s="419" t="s">
        <v>1037</v>
      </c>
      <c r="O41" s="420" t="s">
        <v>1038</v>
      </c>
      <c r="P41" s="421"/>
      <c r="Q41" s="422" t="str">
        <f>IFERROR(VLOOKUP(ROWS($Q$3:Q41),$M$3:$N$992,2,0),"")</f>
        <v>Výroba motorových vozidel (kromě motocyklů), přívěsů a návěsů</v>
      </c>
      <c r="R41">
        <f>IF(ISNUMBER(SEARCH('1Př1'!$A$35,N41)),MAX($M$2:M40)+1,0)</f>
        <v>39</v>
      </c>
      <c r="S41" s="419" t="s">
        <v>1037</v>
      </c>
      <c r="T41" t="str">
        <f>IFERROR(VLOOKUP(ROWS($T$3:T41),$R$3:$S$992,2,0),"")</f>
        <v>Výroba motorových vozidel (kromě motocyklů), přívěsů a návěsů</v>
      </c>
      <c r="U41">
        <f>IF(ISNUMBER(SEARCH('1Př1'!$A$36,N41)),MAX($M$2:M40)+1,0)</f>
        <v>39</v>
      </c>
      <c r="V41" s="419" t="s">
        <v>1037</v>
      </c>
      <c r="W41" t="str">
        <f>IFERROR(VLOOKUP(ROWS($W$3:W41),$U$3:$V$992,2,0),"")</f>
        <v>Výroba motorových vozidel (kromě motocyklů), přívěsů a návěsů</v>
      </c>
      <c r="X41">
        <f>IF(ISNUMBER(SEARCH('1Př1'!$A$37,N41)),MAX($M$2:M40)+1,0)</f>
        <v>39</v>
      </c>
      <c r="Y41" s="419" t="s">
        <v>1037</v>
      </c>
      <c r="Z41" t="str">
        <f>IFERROR(VLOOKUP(ROWS($Z$3:Z41),$X$3:$Y$992,2,0),"")</f>
        <v>Výroba motorových vozidel (kromě motocyklů), přívěsů a návěsů</v>
      </c>
    </row>
    <row r="42" spans="1:26" ht="12.75" customHeight="1">
      <c r="A42" s="395"/>
      <c r="B42" s="395"/>
      <c r="C42" s="395"/>
      <c r="D42" s="411">
        <f>IF(ISNUMBER(SEARCH(ZAKL_DATA!$B$14,E42)),MAX($D$2:D41)+1,0)</f>
        <v>40</v>
      </c>
      <c r="E42" s="425" t="s">
        <v>1039</v>
      </c>
      <c r="F42" s="426">
        <v>2202</v>
      </c>
      <c r="G42" s="427"/>
      <c r="H42" s="428" t="str">
        <f>IFERROR(VLOOKUP(ROWS($H$3:H42),$D$3:$E$204,2,0),"")</f>
        <v>BLATNÁ</v>
      </c>
      <c r="I42" s="395"/>
      <c r="J42" s="430" t="s">
        <v>1040</v>
      </c>
      <c r="K42" s="417" t="s">
        <v>1041</v>
      </c>
      <c r="M42" s="418">
        <f>IF(ISNUMBER(SEARCH(ZAKL_DATA!$B$29,N42)),MAX($M$2:M41)+1,0)</f>
        <v>40</v>
      </c>
      <c r="N42" s="419" t="s">
        <v>1042</v>
      </c>
      <c r="O42" s="420" t="s">
        <v>1043</v>
      </c>
      <c r="P42" s="421"/>
      <c r="Q42" s="422" t="str">
        <f>IFERROR(VLOOKUP(ROWS($Q$3:Q42),$M$3:$N$992,2,0),"")</f>
        <v>Výroba ostatních dopravních prostředků a zařízení</v>
      </c>
      <c r="R42">
        <f>IF(ISNUMBER(SEARCH('1Př1'!$A$35,N42)),MAX($M$2:M41)+1,0)</f>
        <v>40</v>
      </c>
      <c r="S42" s="419" t="s">
        <v>1042</v>
      </c>
      <c r="T42" t="str">
        <f>IFERROR(VLOOKUP(ROWS($T$3:T42),$R$3:$S$992,2,0),"")</f>
        <v>Výroba ostatních dopravních prostředků a zařízení</v>
      </c>
      <c r="U42">
        <f>IF(ISNUMBER(SEARCH('1Př1'!$A$36,N42)),MAX($M$2:M41)+1,0)</f>
        <v>40</v>
      </c>
      <c r="V42" s="419" t="s">
        <v>1042</v>
      </c>
      <c r="W42" t="str">
        <f>IFERROR(VLOOKUP(ROWS($W$3:W42),$U$3:$V$992,2,0),"")</f>
        <v>Výroba ostatních dopravních prostředků a zařízení</v>
      </c>
      <c r="X42">
        <f>IF(ISNUMBER(SEARCH('1Př1'!$A$37,N42)),MAX($M$2:M41)+1,0)</f>
        <v>40</v>
      </c>
      <c r="Y42" s="419" t="s">
        <v>1042</v>
      </c>
      <c r="Z42" t="str">
        <f>IFERROR(VLOOKUP(ROWS($Z$3:Z42),$X$3:$Y$992,2,0),"")</f>
        <v>Výroba ostatních dopravních prostředků a zařízení</v>
      </c>
    </row>
    <row r="43" spans="1:26" ht="12.75" customHeight="1">
      <c r="A43" s="395"/>
      <c r="B43" s="395"/>
      <c r="C43" s="395"/>
      <c r="D43" s="411">
        <f>IF(ISNUMBER(SEARCH(ZAKL_DATA!$B$14,E43)),MAX($D$2:D42)+1,0)</f>
        <v>41</v>
      </c>
      <c r="E43" s="425" t="s">
        <v>1044</v>
      </c>
      <c r="F43" s="426">
        <v>2203</v>
      </c>
      <c r="G43" s="427"/>
      <c r="H43" s="428" t="str">
        <f>IFERROR(VLOOKUP(ROWS($H$3:H43),$D$3:$E$204,2,0),"")</f>
        <v>ČESKÝ KRUMLOV</v>
      </c>
      <c r="I43" s="395"/>
      <c r="J43" s="430" t="s">
        <v>1045</v>
      </c>
      <c r="K43" s="417" t="s">
        <v>1046</v>
      </c>
      <c r="M43" s="418">
        <f>IF(ISNUMBER(SEARCH(ZAKL_DATA!$B$29,N43)),MAX($M$2:M42)+1,0)</f>
        <v>41</v>
      </c>
      <c r="N43" s="419" t="s">
        <v>1047</v>
      </c>
      <c r="O43" s="420" t="s">
        <v>1048</v>
      </c>
      <c r="P43" s="421"/>
      <c r="Q43" s="422" t="str">
        <f>IFERROR(VLOOKUP(ROWS($Q$3:Q43),$M$3:$N$992,2,0),"")</f>
        <v>Výroba nábytku</v>
      </c>
      <c r="R43">
        <f>IF(ISNUMBER(SEARCH('1Př1'!$A$35,N43)),MAX($M$2:M42)+1,0)</f>
        <v>41</v>
      </c>
      <c r="S43" s="419" t="s">
        <v>1047</v>
      </c>
      <c r="T43" t="str">
        <f>IFERROR(VLOOKUP(ROWS($T$3:T43),$R$3:$S$992,2,0),"")</f>
        <v>Výroba nábytku</v>
      </c>
      <c r="U43">
        <f>IF(ISNUMBER(SEARCH('1Př1'!$A$36,N43)),MAX($M$2:M42)+1,0)</f>
        <v>41</v>
      </c>
      <c r="V43" s="419" t="s">
        <v>1047</v>
      </c>
      <c r="W43" t="str">
        <f>IFERROR(VLOOKUP(ROWS($W$3:W43),$U$3:$V$992,2,0),"")</f>
        <v>Výroba nábytku</v>
      </c>
      <c r="X43">
        <f>IF(ISNUMBER(SEARCH('1Př1'!$A$37,N43)),MAX($M$2:M42)+1,0)</f>
        <v>41</v>
      </c>
      <c r="Y43" s="419" t="s">
        <v>1047</v>
      </c>
      <c r="Z43" t="str">
        <f>IFERROR(VLOOKUP(ROWS($Z$3:Z43),$X$3:$Y$992,2,0),"")</f>
        <v>Výroba nábytku</v>
      </c>
    </row>
    <row r="44" spans="1:26" ht="12.75" customHeight="1">
      <c r="A44" s="395"/>
      <c r="B44" s="395"/>
      <c r="C44" s="395"/>
      <c r="D44" s="411">
        <f>IF(ISNUMBER(SEARCH(ZAKL_DATA!$B$14,E44)),MAX($D$2:D43)+1,0)</f>
        <v>42</v>
      </c>
      <c r="E44" s="425" t="s">
        <v>1049</v>
      </c>
      <c r="F44" s="426">
        <v>2204</v>
      </c>
      <c r="G44" s="427"/>
      <c r="H44" s="428" t="str">
        <f>IFERROR(VLOOKUP(ROWS($H$3:H44),$D$3:$E$204,2,0),"")</f>
        <v>DAČICE</v>
      </c>
      <c r="I44" s="395"/>
      <c r="J44" s="430" t="s">
        <v>1050</v>
      </c>
      <c r="K44" s="417" t="s">
        <v>1051</v>
      </c>
      <c r="M44" s="418">
        <f>IF(ISNUMBER(SEARCH(ZAKL_DATA!$B$29,N44)),MAX($M$2:M43)+1,0)</f>
        <v>42</v>
      </c>
      <c r="N44" s="419" t="s">
        <v>1052</v>
      </c>
      <c r="O44" s="420" t="s">
        <v>1053</v>
      </c>
      <c r="P44" s="421"/>
      <c r="Q44" s="422" t="str">
        <f>IFERROR(VLOOKUP(ROWS($Q$3:Q44),$M$3:$N$992,2,0),"")</f>
        <v>Rybolov</v>
      </c>
      <c r="R44">
        <f>IF(ISNUMBER(SEARCH('1Př1'!$A$35,N44)),MAX($M$2:M43)+1,0)</f>
        <v>42</v>
      </c>
      <c r="S44" s="419" t="s">
        <v>1052</v>
      </c>
      <c r="T44" t="str">
        <f>IFERROR(VLOOKUP(ROWS($T$3:T44),$R$3:$S$992,2,0),"")</f>
        <v>Rybolov</v>
      </c>
      <c r="U44">
        <f>IF(ISNUMBER(SEARCH('1Př1'!$A$36,N44)),MAX($M$2:M43)+1,0)</f>
        <v>42</v>
      </c>
      <c r="V44" s="419" t="s">
        <v>1052</v>
      </c>
      <c r="W44" t="str">
        <f>IFERROR(VLOOKUP(ROWS($W$3:W44),$U$3:$V$992,2,0),"")</f>
        <v>Rybolov</v>
      </c>
      <c r="X44">
        <f>IF(ISNUMBER(SEARCH('1Př1'!$A$37,N44)),MAX($M$2:M43)+1,0)</f>
        <v>42</v>
      </c>
      <c r="Y44" s="419" t="s">
        <v>1052</v>
      </c>
      <c r="Z44" t="str">
        <f>IFERROR(VLOOKUP(ROWS($Z$3:Z44),$X$3:$Y$992,2,0),"")</f>
        <v>Rybolov</v>
      </c>
    </row>
    <row r="45" spans="1:26" ht="12.75" customHeight="1">
      <c r="A45" s="395"/>
      <c r="B45" s="395"/>
      <c r="C45" s="395"/>
      <c r="D45" s="411">
        <f>IF(ISNUMBER(SEARCH(ZAKL_DATA!$B$14,E45)),MAX($D$2:D44)+1,0)</f>
        <v>43</v>
      </c>
      <c r="E45" s="425" t="s">
        <v>1054</v>
      </c>
      <c r="F45" s="426">
        <v>2205</v>
      </c>
      <c r="G45" s="427"/>
      <c r="H45" s="428" t="str">
        <f>IFERROR(VLOOKUP(ROWS($H$3:H45),$D$3:$E$204,2,0),"")</f>
        <v>JINDŘICHŮV HRADEC</v>
      </c>
      <c r="I45" s="395"/>
      <c r="J45" s="429" t="s">
        <v>1055</v>
      </c>
      <c r="K45" s="417" t="s">
        <v>1056</v>
      </c>
      <c r="M45" s="418">
        <f>IF(ISNUMBER(SEARCH(ZAKL_DATA!$B$29,N45)),MAX($M$2:M44)+1,0)</f>
        <v>43</v>
      </c>
      <c r="N45" s="419" t="s">
        <v>1057</v>
      </c>
      <c r="O45" s="420" t="s">
        <v>1058</v>
      </c>
      <c r="P45" s="421"/>
      <c r="Q45" s="422" t="str">
        <f>IFERROR(VLOOKUP(ROWS($Q$3:Q45),$M$3:$N$992,2,0),"")</f>
        <v>Ostatní zpracovatelský průmysl</v>
      </c>
      <c r="R45">
        <f>IF(ISNUMBER(SEARCH('1Př1'!$A$35,N45)),MAX($M$2:M44)+1,0)</f>
        <v>43</v>
      </c>
      <c r="S45" s="419" t="s">
        <v>1057</v>
      </c>
      <c r="T45" t="str">
        <f>IFERROR(VLOOKUP(ROWS($T$3:T45),$R$3:$S$992,2,0),"")</f>
        <v>Ostatní zpracovatelský průmysl</v>
      </c>
      <c r="U45">
        <f>IF(ISNUMBER(SEARCH('1Př1'!$A$36,N45)),MAX($M$2:M44)+1,0)</f>
        <v>43</v>
      </c>
      <c r="V45" s="419" t="s">
        <v>1057</v>
      </c>
      <c r="W45" t="str">
        <f>IFERROR(VLOOKUP(ROWS($W$3:W45),$U$3:$V$992,2,0),"")</f>
        <v>Ostatní zpracovatelský průmysl</v>
      </c>
      <c r="X45">
        <f>IF(ISNUMBER(SEARCH('1Př1'!$A$37,N45)),MAX($M$2:M44)+1,0)</f>
        <v>43</v>
      </c>
      <c r="Y45" s="419" t="s">
        <v>1057</v>
      </c>
      <c r="Z45" t="str">
        <f>IFERROR(VLOOKUP(ROWS($Z$3:Z45),$X$3:$Y$992,2,0),"")</f>
        <v>Ostatní zpracovatelský průmysl</v>
      </c>
    </row>
    <row r="46" spans="1:26" ht="12.75" customHeight="1">
      <c r="A46" s="395"/>
      <c r="B46" s="395"/>
      <c r="C46" s="395"/>
      <c r="D46" s="411">
        <f>IF(ISNUMBER(SEARCH(ZAKL_DATA!$B$14,E46)),MAX($D$2:D45)+1,0)</f>
        <v>44</v>
      </c>
      <c r="E46" s="425" t="s">
        <v>1059</v>
      </c>
      <c r="F46" s="426">
        <v>2206</v>
      </c>
      <c r="G46" s="427"/>
      <c r="H46" s="428" t="str">
        <f>IFERROR(VLOOKUP(ROWS($H$3:H46),$D$3:$E$204,2,0),"")</f>
        <v>KAPLICE</v>
      </c>
      <c r="I46" s="395"/>
      <c r="J46" s="430" t="s">
        <v>1060</v>
      </c>
      <c r="K46" s="417" t="s">
        <v>220</v>
      </c>
      <c r="M46" s="418">
        <f>IF(ISNUMBER(SEARCH(ZAKL_DATA!$B$29,N46)),MAX($M$2:M45)+1,0)</f>
        <v>44</v>
      </c>
      <c r="N46" s="419" t="s">
        <v>1061</v>
      </c>
      <c r="O46" s="420" t="s">
        <v>1062</v>
      </c>
      <c r="P46" s="421"/>
      <c r="Q46" s="422" t="str">
        <f>IFERROR(VLOOKUP(ROWS($Q$3:Q46),$M$3:$N$992,2,0),"")</f>
        <v>Akvakultura</v>
      </c>
      <c r="R46">
        <f>IF(ISNUMBER(SEARCH('1Př1'!$A$35,N46)),MAX($M$2:M45)+1,0)</f>
        <v>44</v>
      </c>
      <c r="S46" s="419" t="s">
        <v>1061</v>
      </c>
      <c r="T46" t="str">
        <f>IFERROR(VLOOKUP(ROWS($T$3:T46),$R$3:$S$992,2,0),"")</f>
        <v>Akvakultura</v>
      </c>
      <c r="U46">
        <f>IF(ISNUMBER(SEARCH('1Př1'!$A$36,N46)),MAX($M$2:M45)+1,0)</f>
        <v>44</v>
      </c>
      <c r="V46" s="419" t="s">
        <v>1061</v>
      </c>
      <c r="W46" t="str">
        <f>IFERROR(VLOOKUP(ROWS($W$3:W46),$U$3:$V$992,2,0),"")</f>
        <v>Akvakultura</v>
      </c>
      <c r="X46">
        <f>IF(ISNUMBER(SEARCH('1Př1'!$A$37,N46)),MAX($M$2:M45)+1,0)</f>
        <v>44</v>
      </c>
      <c r="Y46" s="419" t="s">
        <v>1061</v>
      </c>
      <c r="Z46" t="str">
        <f>IFERROR(VLOOKUP(ROWS($Z$3:Z46),$X$3:$Y$992,2,0),"")</f>
        <v>Akvakultura</v>
      </c>
    </row>
    <row r="47" spans="1:26" ht="12.75" customHeight="1">
      <c r="A47" s="395"/>
      <c r="B47" s="395"/>
      <c r="C47" s="395"/>
      <c r="D47" s="411">
        <f>IF(ISNUMBER(SEARCH(ZAKL_DATA!$B$14,E47)),MAX($D$2:D46)+1,0)</f>
        <v>45</v>
      </c>
      <c r="E47" s="425" t="s">
        <v>1063</v>
      </c>
      <c r="F47" s="426">
        <v>2207</v>
      </c>
      <c r="G47" s="427"/>
      <c r="H47" s="428" t="str">
        <f>IFERROR(VLOOKUP(ROWS($H$3:H47),$D$3:$E$204,2,0),"")</f>
        <v>MILEVSKO</v>
      </c>
      <c r="I47" s="395"/>
      <c r="J47" s="430" t="s">
        <v>1064</v>
      </c>
      <c r="K47" s="417" t="s">
        <v>1065</v>
      </c>
      <c r="M47" s="418">
        <f>IF(ISNUMBER(SEARCH(ZAKL_DATA!$B$29,N47)),MAX($M$2:M46)+1,0)</f>
        <v>45</v>
      </c>
      <c r="N47" s="419" t="s">
        <v>1066</v>
      </c>
      <c r="O47" s="420" t="s">
        <v>1067</v>
      </c>
      <c r="P47" s="421"/>
      <c r="Q47" s="422" t="str">
        <f>IFERROR(VLOOKUP(ROWS($Q$3:Q47),$M$3:$N$992,2,0),"")</f>
        <v>Opravy a instalace strojů a zařízení</v>
      </c>
      <c r="R47">
        <f>IF(ISNUMBER(SEARCH('1Př1'!$A$35,N47)),MAX($M$2:M46)+1,0)</f>
        <v>45</v>
      </c>
      <c r="S47" s="419" t="s">
        <v>1066</v>
      </c>
      <c r="T47" t="str">
        <f>IFERROR(VLOOKUP(ROWS($T$3:T47),$R$3:$S$992,2,0),"")</f>
        <v>Opravy a instalace strojů a zařízení</v>
      </c>
      <c r="U47">
        <f>IF(ISNUMBER(SEARCH('1Př1'!$A$36,N47)),MAX($M$2:M46)+1,0)</f>
        <v>45</v>
      </c>
      <c r="V47" s="419" t="s">
        <v>1066</v>
      </c>
      <c r="W47" t="str">
        <f>IFERROR(VLOOKUP(ROWS($W$3:W47),$U$3:$V$992,2,0),"")</f>
        <v>Opravy a instalace strojů a zařízení</v>
      </c>
      <c r="X47">
        <f>IF(ISNUMBER(SEARCH('1Př1'!$A$37,N47)),MAX($M$2:M46)+1,0)</f>
        <v>45</v>
      </c>
      <c r="Y47" s="419" t="s">
        <v>1066</v>
      </c>
      <c r="Z47" t="str">
        <f>IFERROR(VLOOKUP(ROWS($Z$3:Z47),$X$3:$Y$992,2,0),"")</f>
        <v>Opravy a instalace strojů a zařízení</v>
      </c>
    </row>
    <row r="48" spans="1:26" ht="12.75" customHeight="1">
      <c r="A48" s="395"/>
      <c r="B48" s="395"/>
      <c r="C48" s="395"/>
      <c r="D48" s="411">
        <f>IF(ISNUMBER(SEARCH(ZAKL_DATA!$B$14,E48)),MAX($D$2:D47)+1,0)</f>
        <v>46</v>
      </c>
      <c r="E48" s="425" t="s">
        <v>1068</v>
      </c>
      <c r="F48" s="426">
        <v>2208</v>
      </c>
      <c r="G48" s="427"/>
      <c r="H48" s="428" t="str">
        <f>IFERROR(VLOOKUP(ROWS($H$3:H48),$D$3:$E$204,2,0),"")</f>
        <v>PÍSEK</v>
      </c>
      <c r="I48" s="395"/>
      <c r="J48" s="430" t="s">
        <v>1069</v>
      </c>
      <c r="K48" s="417" t="s">
        <v>1070</v>
      </c>
      <c r="M48" s="418">
        <f>IF(ISNUMBER(SEARCH(ZAKL_DATA!$B$29,N48)),MAX($M$2:M47)+1,0)</f>
        <v>46</v>
      </c>
      <c r="N48" s="419" t="s">
        <v>1071</v>
      </c>
      <c r="O48" s="420" t="s">
        <v>1072</v>
      </c>
      <c r="P48" s="421"/>
      <c r="Q48" s="422" t="str">
        <f>IFERROR(VLOOKUP(ROWS($Q$3:Q48),$M$3:$N$992,2,0),"")</f>
        <v>Výroba a rozvod elektřiny, plynu, tepla a klimatizovaného vzduchu</v>
      </c>
      <c r="R48">
        <f>IF(ISNUMBER(SEARCH('1Př1'!$A$35,N48)),MAX($M$2:M47)+1,0)</f>
        <v>46</v>
      </c>
      <c r="S48" s="419" t="s">
        <v>1071</v>
      </c>
      <c r="T48" t="str">
        <f>IFERROR(VLOOKUP(ROWS($T$3:T48),$R$3:$S$992,2,0),"")</f>
        <v>Výroba a rozvod elektřiny, plynu, tepla a klimatizovaného vzduchu</v>
      </c>
      <c r="U48">
        <f>IF(ISNUMBER(SEARCH('1Př1'!$A$36,N48)),MAX($M$2:M47)+1,0)</f>
        <v>46</v>
      </c>
      <c r="V48" s="419" t="s">
        <v>1071</v>
      </c>
      <c r="W48" t="str">
        <f>IFERROR(VLOOKUP(ROWS($W$3:W48),$U$3:$V$992,2,0),"")</f>
        <v>Výroba a rozvod elektřiny, plynu, tepla a klimatizovaného vzduchu</v>
      </c>
      <c r="X48">
        <f>IF(ISNUMBER(SEARCH('1Př1'!$A$37,N48)),MAX($M$2:M47)+1,0)</f>
        <v>46</v>
      </c>
      <c r="Y48" s="419" t="s">
        <v>1071</v>
      </c>
      <c r="Z48" t="str">
        <f>IFERROR(VLOOKUP(ROWS($Z$3:Z48),$X$3:$Y$992,2,0),"")</f>
        <v>Výroba a rozvod elektřiny, plynu, tepla a klimatizovaného vzduchu</v>
      </c>
    </row>
    <row r="49" spans="1:26" ht="12.75" customHeight="1">
      <c r="A49" s="395"/>
      <c r="B49" s="395"/>
      <c r="C49" s="395"/>
      <c r="D49" s="411">
        <f>IF(ISNUMBER(SEARCH(ZAKL_DATA!$B$14,E49)),MAX($D$2:D48)+1,0)</f>
        <v>47</v>
      </c>
      <c r="E49" s="425" t="s">
        <v>1073</v>
      </c>
      <c r="F49" s="426">
        <v>2209</v>
      </c>
      <c r="G49" s="427"/>
      <c r="H49" s="428" t="str">
        <f>IFERROR(VLOOKUP(ROWS($H$3:H49),$D$3:$E$204,2,0),"")</f>
        <v>PRACHATICE</v>
      </c>
      <c r="I49" s="395"/>
      <c r="J49" s="430" t="s">
        <v>1074</v>
      </c>
      <c r="K49" s="417" t="s">
        <v>1075</v>
      </c>
      <c r="M49" s="418">
        <f>IF(ISNUMBER(SEARCH(ZAKL_DATA!$B$29,N49)),MAX($M$2:M48)+1,0)</f>
        <v>47</v>
      </c>
      <c r="N49" s="419" t="s">
        <v>1076</v>
      </c>
      <c r="O49" s="420" t="s">
        <v>1077</v>
      </c>
      <c r="P49" s="421"/>
      <c r="Q49" s="422" t="str">
        <f>IFERROR(VLOOKUP(ROWS($Q$3:Q49),$M$3:$N$992,2,0),"")</f>
        <v>Shromažďování, úprava a rozvod vody</v>
      </c>
      <c r="R49">
        <f>IF(ISNUMBER(SEARCH('1Př1'!$A$35,N49)),MAX($M$2:M48)+1,0)</f>
        <v>47</v>
      </c>
      <c r="S49" s="419" t="s">
        <v>1076</v>
      </c>
      <c r="T49" t="str">
        <f>IFERROR(VLOOKUP(ROWS($T$3:T49),$R$3:$S$992,2,0),"")</f>
        <v>Shromažďování, úprava a rozvod vody</v>
      </c>
      <c r="U49">
        <f>IF(ISNUMBER(SEARCH('1Př1'!$A$36,N49)),MAX($M$2:M48)+1,0)</f>
        <v>47</v>
      </c>
      <c r="V49" s="419" t="s">
        <v>1076</v>
      </c>
      <c r="W49" t="str">
        <f>IFERROR(VLOOKUP(ROWS($W$3:W49),$U$3:$V$992,2,0),"")</f>
        <v>Shromažďování, úprava a rozvod vody</v>
      </c>
      <c r="X49">
        <f>IF(ISNUMBER(SEARCH('1Př1'!$A$37,N49)),MAX($M$2:M48)+1,0)</f>
        <v>47</v>
      </c>
      <c r="Y49" s="419" t="s">
        <v>1076</v>
      </c>
      <c r="Z49" t="str">
        <f>IFERROR(VLOOKUP(ROWS($Z$3:Z49),$X$3:$Y$992,2,0),"")</f>
        <v>Shromažďování, úprava a rozvod vody</v>
      </c>
    </row>
    <row r="50" spans="1:26" ht="12.75" customHeight="1">
      <c r="A50" s="395"/>
      <c r="B50" s="395"/>
      <c r="C50" s="395"/>
      <c r="D50" s="411">
        <f>IF(ISNUMBER(SEARCH(ZAKL_DATA!$B$14,E50)),MAX($D$2:D49)+1,0)</f>
        <v>48</v>
      </c>
      <c r="E50" s="425" t="s">
        <v>1078</v>
      </c>
      <c r="F50" s="426">
        <v>2210</v>
      </c>
      <c r="G50" s="427"/>
      <c r="H50" s="428" t="str">
        <f>IFERROR(VLOOKUP(ROWS($H$3:H50),$D$3:$E$204,2,0),"")</f>
        <v>SOBĚSLAV</v>
      </c>
      <c r="I50" s="395"/>
      <c r="J50" s="430" t="s">
        <v>1079</v>
      </c>
      <c r="K50" s="417" t="s">
        <v>1080</v>
      </c>
      <c r="M50" s="418">
        <f>IF(ISNUMBER(SEARCH(ZAKL_DATA!$B$29,N50)),MAX($M$2:M49)+1,0)</f>
        <v>48</v>
      </c>
      <c r="N50" s="419" t="s">
        <v>1081</v>
      </c>
      <c r="O50" s="420" t="s">
        <v>1082</v>
      </c>
      <c r="P50" s="421"/>
      <c r="Q50" s="422" t="str">
        <f>IFERROR(VLOOKUP(ROWS($Q$3:Q50),$M$3:$N$992,2,0),"")</f>
        <v>Činnosti související s odpadními vodami</v>
      </c>
      <c r="R50">
        <f>IF(ISNUMBER(SEARCH('1Př1'!$A$35,N50)),MAX($M$2:M49)+1,0)</f>
        <v>48</v>
      </c>
      <c r="S50" s="419" t="s">
        <v>1081</v>
      </c>
      <c r="T50" t="str">
        <f>IFERROR(VLOOKUP(ROWS($T$3:T50),$R$3:$S$992,2,0),"")</f>
        <v>Činnosti související s odpadními vodami</v>
      </c>
      <c r="U50">
        <f>IF(ISNUMBER(SEARCH('1Př1'!$A$36,N50)),MAX($M$2:M49)+1,0)</f>
        <v>48</v>
      </c>
      <c r="V50" s="419" t="s">
        <v>1081</v>
      </c>
      <c r="W50" t="str">
        <f>IFERROR(VLOOKUP(ROWS($W$3:W50),$U$3:$V$992,2,0),"")</f>
        <v>Činnosti související s odpadními vodami</v>
      </c>
      <c r="X50">
        <f>IF(ISNUMBER(SEARCH('1Př1'!$A$37,N50)),MAX($M$2:M49)+1,0)</f>
        <v>48</v>
      </c>
      <c r="Y50" s="419" t="s">
        <v>1081</v>
      </c>
      <c r="Z50" t="str">
        <f>IFERROR(VLOOKUP(ROWS($Z$3:Z50),$X$3:$Y$992,2,0),"")</f>
        <v>Činnosti související s odpadními vodami</v>
      </c>
    </row>
    <row r="51" spans="1:26" ht="12.75" customHeight="1">
      <c r="A51" s="395"/>
      <c r="B51" s="395"/>
      <c r="C51" s="395"/>
      <c r="D51" s="411">
        <f>IF(ISNUMBER(SEARCH(ZAKL_DATA!$B$14,E51)),MAX($D$2:D50)+1,0)</f>
        <v>49</v>
      </c>
      <c r="E51" s="425" t="s">
        <v>1083</v>
      </c>
      <c r="F51" s="426">
        <v>2211</v>
      </c>
      <c r="G51" s="427"/>
      <c r="H51" s="428" t="str">
        <f>IFERROR(VLOOKUP(ROWS($H$3:H51),$D$3:$E$204,2,0),"")</f>
        <v>STRAKONICE</v>
      </c>
      <c r="I51" s="395"/>
      <c r="J51" s="430" t="s">
        <v>1084</v>
      </c>
      <c r="K51" s="417" t="s">
        <v>1085</v>
      </c>
      <c r="M51" s="418">
        <f>IF(ISNUMBER(SEARCH(ZAKL_DATA!$B$29,N51)),MAX($M$2:M50)+1,0)</f>
        <v>49</v>
      </c>
      <c r="N51" s="419" t="s">
        <v>1086</v>
      </c>
      <c r="O51" s="420" t="s">
        <v>1087</v>
      </c>
      <c r="P51" s="421"/>
      <c r="Q51" s="422" t="str">
        <f>IFERROR(VLOOKUP(ROWS($Q$3:Q51),$M$3:$N$992,2,0),"")</f>
        <v>Shromažďování,sběr a odstraňování odpadů,úprava odpadů k dalšímu využití</v>
      </c>
      <c r="R51">
        <f>IF(ISNUMBER(SEARCH('1Př1'!$A$35,N51)),MAX($M$2:M50)+1,0)</f>
        <v>49</v>
      </c>
      <c r="S51" s="419" t="s">
        <v>1086</v>
      </c>
      <c r="T51" t="str">
        <f>IFERROR(VLOOKUP(ROWS($T$3:T51),$R$3:$S$992,2,0),"")</f>
        <v>Shromažďování,sběr a odstraňování odpadů,úprava odpadů k dalšímu využití</v>
      </c>
      <c r="U51">
        <f>IF(ISNUMBER(SEARCH('1Př1'!$A$36,N51)),MAX($M$2:M50)+1,0)</f>
        <v>49</v>
      </c>
      <c r="V51" s="419" t="s">
        <v>1086</v>
      </c>
      <c r="W51" t="str">
        <f>IFERROR(VLOOKUP(ROWS($W$3:W51),$U$3:$V$992,2,0),"")</f>
        <v>Shromažďování,sběr a odstraňování odpadů,úprava odpadů k dalšímu využití</v>
      </c>
      <c r="X51">
        <f>IF(ISNUMBER(SEARCH('1Př1'!$A$37,N51)),MAX($M$2:M50)+1,0)</f>
        <v>49</v>
      </c>
      <c r="Y51" s="419" t="s">
        <v>1086</v>
      </c>
      <c r="Z51" t="str">
        <f>IFERROR(VLOOKUP(ROWS($Z$3:Z51),$X$3:$Y$992,2,0),"")</f>
        <v>Shromažďování,sběr a odstraňování odpadů,úprava odpadů k dalšímu využití</v>
      </c>
    </row>
    <row r="52" spans="1:26" ht="12.75" customHeight="1">
      <c r="A52" s="395"/>
      <c r="B52" s="395"/>
      <c r="C52" s="395"/>
      <c r="D52" s="411">
        <f>IF(ISNUMBER(SEARCH(ZAKL_DATA!$B$14,E52)),MAX($D$2:D51)+1,0)</f>
        <v>50</v>
      </c>
      <c r="E52" s="425" t="s">
        <v>1088</v>
      </c>
      <c r="F52" s="426">
        <v>2212</v>
      </c>
      <c r="G52" s="427"/>
      <c r="H52" s="428" t="str">
        <f>IFERROR(VLOOKUP(ROWS($H$3:H52),$D$3:$E$204,2,0),"")</f>
        <v>TÁBOR</v>
      </c>
      <c r="I52" s="395"/>
      <c r="J52" s="430" t="s">
        <v>1089</v>
      </c>
      <c r="K52" s="417" t="s">
        <v>1090</v>
      </c>
      <c r="M52" s="418">
        <f>IF(ISNUMBER(SEARCH(ZAKL_DATA!$B$29,N52)),MAX($M$2:M51)+1,0)</f>
        <v>50</v>
      </c>
      <c r="N52" s="419" t="s">
        <v>1091</v>
      </c>
      <c r="O52" s="420" t="s">
        <v>1092</v>
      </c>
      <c r="P52" s="421"/>
      <c r="Q52" s="422" t="str">
        <f>IFERROR(VLOOKUP(ROWS($Q$3:Q52),$M$3:$N$992,2,0),"")</f>
        <v>Sanace a jiné činnosti související s odpady</v>
      </c>
      <c r="R52">
        <f>IF(ISNUMBER(SEARCH('1Př1'!$A$35,N52)),MAX($M$2:M51)+1,0)</f>
        <v>50</v>
      </c>
      <c r="S52" s="419" t="s">
        <v>1091</v>
      </c>
      <c r="T52" t="str">
        <f>IFERROR(VLOOKUP(ROWS($T$3:T52),$R$3:$S$992,2,0),"")</f>
        <v>Sanace a jiné činnosti související s odpady</v>
      </c>
      <c r="U52">
        <f>IF(ISNUMBER(SEARCH('1Př1'!$A$36,N52)),MAX($M$2:M51)+1,0)</f>
        <v>50</v>
      </c>
      <c r="V52" s="419" t="s">
        <v>1091</v>
      </c>
      <c r="W52" t="str">
        <f>IFERROR(VLOOKUP(ROWS($W$3:W52),$U$3:$V$992,2,0),"")</f>
        <v>Sanace a jiné činnosti související s odpady</v>
      </c>
      <c r="X52">
        <f>IF(ISNUMBER(SEARCH('1Př1'!$A$37,N52)),MAX($M$2:M51)+1,0)</f>
        <v>50</v>
      </c>
      <c r="Y52" s="419" t="s">
        <v>1091</v>
      </c>
      <c r="Z52" t="str">
        <f>IFERROR(VLOOKUP(ROWS($Z$3:Z52),$X$3:$Y$992,2,0),"")</f>
        <v>Sanace a jiné činnosti související s odpady</v>
      </c>
    </row>
    <row r="53" spans="1:26" ht="12.75" customHeight="1">
      <c r="A53" s="395"/>
      <c r="B53" s="395"/>
      <c r="C53" s="395"/>
      <c r="D53" s="411">
        <f>IF(ISNUMBER(SEARCH(ZAKL_DATA!$B$14,E53)),MAX($D$2:D52)+1,0)</f>
        <v>51</v>
      </c>
      <c r="E53" s="425" t="s">
        <v>1093</v>
      </c>
      <c r="F53" s="426">
        <v>2213</v>
      </c>
      <c r="G53" s="427"/>
      <c r="H53" s="428" t="str">
        <f>IFERROR(VLOOKUP(ROWS($H$3:H53),$D$3:$E$204,2,0),"")</f>
        <v>TRHOVÉ SVINY</v>
      </c>
      <c r="I53" s="395"/>
      <c r="J53" s="430" t="s">
        <v>1094</v>
      </c>
      <c r="K53" s="417" t="s">
        <v>1095</v>
      </c>
      <c r="M53" s="418">
        <f>IF(ISNUMBER(SEARCH(ZAKL_DATA!$B$29,N53)),MAX($M$2:M52)+1,0)</f>
        <v>51</v>
      </c>
      <c r="N53" s="419" t="s">
        <v>1096</v>
      </c>
      <c r="O53" s="420" t="s">
        <v>1097</v>
      </c>
      <c r="P53" s="421"/>
      <c r="Q53" s="422" t="str">
        <f>IFERROR(VLOOKUP(ROWS($Q$3:Q53),$M$3:$N$992,2,0),"")</f>
        <v>Výstavba budov</v>
      </c>
      <c r="R53">
        <f>IF(ISNUMBER(SEARCH('1Př1'!$A$35,N53)),MAX($M$2:M52)+1,0)</f>
        <v>51</v>
      </c>
      <c r="S53" s="419" t="s">
        <v>1096</v>
      </c>
      <c r="T53" t="str">
        <f>IFERROR(VLOOKUP(ROWS($T$3:T53),$R$3:$S$992,2,0),"")</f>
        <v>Výstavba budov</v>
      </c>
      <c r="U53">
        <f>IF(ISNUMBER(SEARCH('1Př1'!$A$36,N53)),MAX($M$2:M52)+1,0)</f>
        <v>51</v>
      </c>
      <c r="V53" s="419" t="s">
        <v>1096</v>
      </c>
      <c r="W53" t="str">
        <f>IFERROR(VLOOKUP(ROWS($W$3:W53),$U$3:$V$992,2,0),"")</f>
        <v>Výstavba budov</v>
      </c>
      <c r="X53">
        <f>IF(ISNUMBER(SEARCH('1Př1'!$A$37,N53)),MAX($M$2:M52)+1,0)</f>
        <v>51</v>
      </c>
      <c r="Y53" s="419" t="s">
        <v>1096</v>
      </c>
      <c r="Z53" t="str">
        <f>IFERROR(VLOOKUP(ROWS($Z$3:Z53),$X$3:$Y$992,2,0),"")</f>
        <v>Výstavba budov</v>
      </c>
    </row>
    <row r="54" spans="1:26" ht="12.75" customHeight="1">
      <c r="A54" s="395"/>
      <c r="B54" s="395"/>
      <c r="C54" s="395"/>
      <c r="D54" s="411">
        <f>IF(ISNUMBER(SEARCH(ZAKL_DATA!$B$14,E54)),MAX($D$2:D53)+1,0)</f>
        <v>52</v>
      </c>
      <c r="E54" s="425" t="s">
        <v>1098</v>
      </c>
      <c r="F54" s="426">
        <v>2214</v>
      </c>
      <c r="G54" s="427"/>
      <c r="H54" s="428" t="str">
        <f>IFERROR(VLOOKUP(ROWS($H$3:H54),$D$3:$E$204,2,0),"")</f>
        <v>TŘEBOŇ</v>
      </c>
      <c r="I54" s="395"/>
      <c r="J54" s="430" t="s">
        <v>1099</v>
      </c>
      <c r="K54" s="417" t="s">
        <v>1100</v>
      </c>
      <c r="M54" s="418">
        <f>IF(ISNUMBER(SEARCH(ZAKL_DATA!$B$29,N54)),MAX($M$2:M53)+1,0)</f>
        <v>52</v>
      </c>
      <c r="N54" s="419" t="s">
        <v>1101</v>
      </c>
      <c r="O54" s="420" t="s">
        <v>1102</v>
      </c>
      <c r="P54" s="421"/>
      <c r="Q54" s="422" t="str">
        <f>IFERROR(VLOOKUP(ROWS($Q$3:Q54),$M$3:$N$992,2,0),"")</f>
        <v>Inženýrské stavitelství</v>
      </c>
      <c r="R54">
        <f>IF(ISNUMBER(SEARCH('1Př1'!$A$35,N54)),MAX($M$2:M53)+1,0)</f>
        <v>52</v>
      </c>
      <c r="S54" s="419" t="s">
        <v>1101</v>
      </c>
      <c r="T54" t="str">
        <f>IFERROR(VLOOKUP(ROWS($T$3:T54),$R$3:$S$992,2,0),"")</f>
        <v>Inženýrské stavitelství</v>
      </c>
      <c r="U54">
        <f>IF(ISNUMBER(SEARCH('1Př1'!$A$36,N54)),MAX($M$2:M53)+1,0)</f>
        <v>52</v>
      </c>
      <c r="V54" s="419" t="s">
        <v>1101</v>
      </c>
      <c r="W54" t="str">
        <f>IFERROR(VLOOKUP(ROWS($W$3:W54),$U$3:$V$992,2,0),"")</f>
        <v>Inženýrské stavitelství</v>
      </c>
      <c r="X54">
        <f>IF(ISNUMBER(SEARCH('1Př1'!$A$37,N54)),MAX($M$2:M53)+1,0)</f>
        <v>52</v>
      </c>
      <c r="Y54" s="419" t="s">
        <v>1101</v>
      </c>
      <c r="Z54" t="str">
        <f>IFERROR(VLOOKUP(ROWS($Z$3:Z54),$X$3:$Y$992,2,0),"")</f>
        <v>Inženýrské stavitelství</v>
      </c>
    </row>
    <row r="55" spans="1:26" ht="12.75" customHeight="1">
      <c r="A55" s="395"/>
      <c r="B55" s="395"/>
      <c r="C55" s="395"/>
      <c r="D55" s="411">
        <f>IF(ISNUMBER(SEARCH(ZAKL_DATA!$B$14,E55)),MAX($D$2:D54)+1,0)</f>
        <v>53</v>
      </c>
      <c r="E55" s="425" t="s">
        <v>1103</v>
      </c>
      <c r="F55" s="426">
        <v>2215</v>
      </c>
      <c r="G55" s="427"/>
      <c r="H55" s="428" t="str">
        <f>IFERROR(VLOOKUP(ROWS($H$3:H55),$D$3:$E$204,2,0),"")</f>
        <v>TÝN NAD VLTAVOU</v>
      </c>
      <c r="I55" s="395"/>
      <c r="J55" s="430" t="s">
        <v>1104</v>
      </c>
      <c r="K55" s="417" t="s">
        <v>1105</v>
      </c>
      <c r="M55" s="418">
        <f>IF(ISNUMBER(SEARCH(ZAKL_DATA!$B$29,N55)),MAX($M$2:M54)+1,0)</f>
        <v>53</v>
      </c>
      <c r="N55" s="419" t="s">
        <v>1106</v>
      </c>
      <c r="O55" s="420" t="s">
        <v>1107</v>
      </c>
      <c r="P55" s="421"/>
      <c r="Q55" s="422" t="str">
        <f>IFERROR(VLOOKUP(ROWS($Q$3:Q55),$M$3:$N$992,2,0),"")</f>
        <v>Specializované stavební činnosti</v>
      </c>
      <c r="R55">
        <f>IF(ISNUMBER(SEARCH('1Př1'!$A$35,N55)),MAX($M$2:M54)+1,0)</f>
        <v>53</v>
      </c>
      <c r="S55" s="419" t="s">
        <v>1106</v>
      </c>
      <c r="T55" t="str">
        <f>IFERROR(VLOOKUP(ROWS($T$3:T55),$R$3:$S$992,2,0),"")</f>
        <v>Specializované stavební činnosti</v>
      </c>
      <c r="U55">
        <f>IF(ISNUMBER(SEARCH('1Př1'!$A$36,N55)),MAX($M$2:M54)+1,0)</f>
        <v>53</v>
      </c>
      <c r="V55" s="419" t="s">
        <v>1106</v>
      </c>
      <c r="W55" t="str">
        <f>IFERROR(VLOOKUP(ROWS($W$3:W55),$U$3:$V$992,2,0),"")</f>
        <v>Specializované stavební činnosti</v>
      </c>
      <c r="X55">
        <f>IF(ISNUMBER(SEARCH('1Př1'!$A$37,N55)),MAX($M$2:M54)+1,0)</f>
        <v>53</v>
      </c>
      <c r="Y55" s="419" t="s">
        <v>1106</v>
      </c>
      <c r="Z55" t="str">
        <f>IFERROR(VLOOKUP(ROWS($Z$3:Z55),$X$3:$Y$992,2,0),"")</f>
        <v>Specializované stavební činnosti</v>
      </c>
    </row>
    <row r="56" spans="1:26" ht="12.75" customHeight="1">
      <c r="A56" s="395"/>
      <c r="B56" s="395"/>
      <c r="C56" s="395"/>
      <c r="D56" s="411">
        <f>IF(ISNUMBER(SEARCH(ZAKL_DATA!$B$14,E56)),MAX($D$2:D55)+1,0)</f>
        <v>54</v>
      </c>
      <c r="E56" s="425" t="s">
        <v>1108</v>
      </c>
      <c r="F56" s="426">
        <v>2216</v>
      </c>
      <c r="G56" s="427"/>
      <c r="H56" s="428" t="str">
        <f>IFERROR(VLOOKUP(ROWS($H$3:H56),$D$3:$E$204,2,0),"")</f>
        <v>VIMPERK</v>
      </c>
      <c r="I56" s="395"/>
      <c r="J56" s="430" t="s">
        <v>1109</v>
      </c>
      <c r="K56" s="417" t="s">
        <v>1110</v>
      </c>
      <c r="M56" s="418">
        <f>IF(ISNUMBER(SEARCH(ZAKL_DATA!$B$29,N56)),MAX($M$2:M55)+1,0)</f>
        <v>54</v>
      </c>
      <c r="N56" s="419" t="s">
        <v>1111</v>
      </c>
      <c r="O56" s="420" t="s">
        <v>1112</v>
      </c>
      <c r="P56" s="421"/>
      <c r="Q56" s="422" t="str">
        <f>IFERROR(VLOOKUP(ROWS($Q$3:Q56),$M$3:$N$992,2,0),"")</f>
        <v>Velkoobchod, maloobchod a opravy motorových vozidel</v>
      </c>
      <c r="R56">
        <f>IF(ISNUMBER(SEARCH('1Př1'!$A$35,N56)),MAX($M$2:M55)+1,0)</f>
        <v>54</v>
      </c>
      <c r="S56" s="419" t="s">
        <v>1111</v>
      </c>
      <c r="T56" t="str">
        <f>IFERROR(VLOOKUP(ROWS($T$3:T56),$R$3:$S$992,2,0),"")</f>
        <v>Velkoobchod, maloobchod a opravy motorových vozidel</v>
      </c>
      <c r="U56">
        <f>IF(ISNUMBER(SEARCH('1Př1'!$A$36,N56)),MAX($M$2:M55)+1,0)</f>
        <v>54</v>
      </c>
      <c r="V56" s="419" t="s">
        <v>1111</v>
      </c>
      <c r="W56" t="str">
        <f>IFERROR(VLOOKUP(ROWS($W$3:W56),$U$3:$V$992,2,0),"")</f>
        <v>Velkoobchod, maloobchod a opravy motorových vozidel</v>
      </c>
      <c r="X56">
        <f>IF(ISNUMBER(SEARCH('1Př1'!$A$37,N56)),MAX($M$2:M55)+1,0)</f>
        <v>54</v>
      </c>
      <c r="Y56" s="419" t="s">
        <v>1111</v>
      </c>
      <c r="Z56" t="str">
        <f>IFERROR(VLOOKUP(ROWS($Z$3:Z56),$X$3:$Y$992,2,0),"")</f>
        <v>Velkoobchod, maloobchod a opravy motorových vozidel</v>
      </c>
    </row>
    <row r="57" spans="1:26" ht="12.75" customHeight="1">
      <c r="A57" s="395"/>
      <c r="B57" s="395"/>
      <c r="C57" s="395"/>
      <c r="D57" s="411">
        <f>IF(ISNUMBER(SEARCH(ZAKL_DATA!$B$14,E57)),MAX($D$2:D56)+1,0)</f>
        <v>55</v>
      </c>
      <c r="E57" s="425" t="s">
        <v>1113</v>
      </c>
      <c r="F57" s="426">
        <v>2217</v>
      </c>
      <c r="G57" s="427"/>
      <c r="H57" s="428" t="str">
        <f>IFERROR(VLOOKUP(ROWS($H$3:H57),$D$3:$E$204,2,0),"")</f>
        <v>VODŇANY</v>
      </c>
      <c r="I57" s="395"/>
      <c r="J57" s="430" t="s">
        <v>1114</v>
      </c>
      <c r="K57" s="417" t="s">
        <v>1115</v>
      </c>
      <c r="M57" s="418">
        <f>IF(ISNUMBER(SEARCH(ZAKL_DATA!$B$29,N57)),MAX($M$2:M56)+1,0)</f>
        <v>55</v>
      </c>
      <c r="N57" s="419" t="s">
        <v>1116</v>
      </c>
      <c r="O57" s="420" t="s">
        <v>1117</v>
      </c>
      <c r="P57" s="421"/>
      <c r="Q57" s="422" t="str">
        <f>IFERROR(VLOOKUP(ROWS($Q$3:Q57),$M$3:$N$992,2,0),"")</f>
        <v>Velkoobchod, kromě motorových vozidel</v>
      </c>
      <c r="R57">
        <f>IF(ISNUMBER(SEARCH('1Př1'!$A$35,N57)),MAX($M$2:M56)+1,0)</f>
        <v>55</v>
      </c>
      <c r="S57" s="419" t="s">
        <v>1116</v>
      </c>
      <c r="T57" t="str">
        <f>IFERROR(VLOOKUP(ROWS($T$3:T57),$R$3:$S$992,2,0),"")</f>
        <v>Velkoobchod, kromě motorových vozidel</v>
      </c>
      <c r="U57">
        <f>IF(ISNUMBER(SEARCH('1Př1'!$A$36,N57)),MAX($M$2:M56)+1,0)</f>
        <v>55</v>
      </c>
      <c r="V57" s="419" t="s">
        <v>1116</v>
      </c>
      <c r="W57" t="str">
        <f>IFERROR(VLOOKUP(ROWS($W$3:W57),$U$3:$V$992,2,0),"")</f>
        <v>Velkoobchod, kromě motorových vozidel</v>
      </c>
      <c r="X57">
        <f>IF(ISNUMBER(SEARCH('1Př1'!$A$37,N57)),MAX($M$2:M56)+1,0)</f>
        <v>55</v>
      </c>
      <c r="Y57" s="419" t="s">
        <v>1116</v>
      </c>
      <c r="Z57" t="str">
        <f>IFERROR(VLOOKUP(ROWS($Z$3:Z57),$X$3:$Y$992,2,0),"")</f>
        <v>Velkoobchod, kromě motorových vozidel</v>
      </c>
    </row>
    <row r="58" spans="1:26" ht="12.75" customHeight="1">
      <c r="A58" s="395"/>
      <c r="B58" s="395"/>
      <c r="C58" s="395"/>
      <c r="D58" s="411">
        <f>IF(ISNUMBER(SEARCH(ZAKL_DATA!$B$14,E58)),MAX($D$2:D57)+1,0)</f>
        <v>56</v>
      </c>
      <c r="E58" s="425" t="s">
        <v>1118</v>
      </c>
      <c r="F58" s="426">
        <v>2301</v>
      </c>
      <c r="G58" s="427"/>
      <c r="H58" s="428" t="str">
        <f>IFERROR(VLOOKUP(ROWS($H$3:H58),$D$3:$E$204,2,0),"")</f>
        <v>PLZEŇ</v>
      </c>
      <c r="I58" s="395"/>
      <c r="J58" s="430" t="s">
        <v>1119</v>
      </c>
      <c r="K58" s="417" t="s">
        <v>1120</v>
      </c>
      <c r="M58" s="418">
        <f>IF(ISNUMBER(SEARCH(ZAKL_DATA!$B$29,N58)),MAX($M$2:M57)+1,0)</f>
        <v>56</v>
      </c>
      <c r="N58" s="419" t="s">
        <v>1121</v>
      </c>
      <c r="O58" s="420" t="s">
        <v>1122</v>
      </c>
      <c r="P58" s="421"/>
      <c r="Q58" s="422" t="str">
        <f>IFERROR(VLOOKUP(ROWS($Q$3:Q58),$M$3:$N$992,2,0),"")</f>
        <v>Maloobchod, kromě motorových vozidel</v>
      </c>
      <c r="R58">
        <f>IF(ISNUMBER(SEARCH('1Př1'!$A$35,N58)),MAX($M$2:M57)+1,0)</f>
        <v>56</v>
      </c>
      <c r="S58" s="419" t="s">
        <v>1121</v>
      </c>
      <c r="T58" t="str">
        <f>IFERROR(VLOOKUP(ROWS($T$3:T58),$R$3:$S$992,2,0),"")</f>
        <v>Maloobchod, kromě motorových vozidel</v>
      </c>
      <c r="U58">
        <f>IF(ISNUMBER(SEARCH('1Př1'!$A$36,N58)),MAX($M$2:M57)+1,0)</f>
        <v>56</v>
      </c>
      <c r="V58" s="419" t="s">
        <v>1121</v>
      </c>
      <c r="W58" t="str">
        <f>IFERROR(VLOOKUP(ROWS($W$3:W58),$U$3:$V$992,2,0),"")</f>
        <v>Maloobchod, kromě motorových vozidel</v>
      </c>
      <c r="X58">
        <f>IF(ISNUMBER(SEARCH('1Př1'!$A$37,N58)),MAX($M$2:M57)+1,0)</f>
        <v>56</v>
      </c>
      <c r="Y58" s="419" t="s">
        <v>1121</v>
      </c>
      <c r="Z58" t="str">
        <f>IFERROR(VLOOKUP(ROWS($Z$3:Z58),$X$3:$Y$992,2,0),"")</f>
        <v>Maloobchod, kromě motorových vozidel</v>
      </c>
    </row>
    <row r="59" spans="1:26" ht="12.75" customHeight="1">
      <c r="A59" s="395"/>
      <c r="B59" s="395"/>
      <c r="C59" s="395"/>
      <c r="D59" s="411">
        <f>IF(ISNUMBER(SEARCH(ZAKL_DATA!$B$14,E59)),MAX($D$2:D58)+1,0)</f>
        <v>57</v>
      </c>
      <c r="E59" s="425" t="s">
        <v>1123</v>
      </c>
      <c r="F59" s="426">
        <v>2302</v>
      </c>
      <c r="G59" s="427"/>
      <c r="H59" s="428" t="str">
        <f>IFERROR(VLOOKUP(ROWS($H$3:H59),$D$3:$E$204,2,0),"")</f>
        <v>PLZEŇ-SEVER</v>
      </c>
      <c r="I59" s="395"/>
      <c r="J59" s="429" t="s">
        <v>1124</v>
      </c>
      <c r="K59" s="417" t="s">
        <v>1125</v>
      </c>
      <c r="M59" s="418">
        <f>IF(ISNUMBER(SEARCH(ZAKL_DATA!$B$29,N59)),MAX($M$2:M58)+1,0)</f>
        <v>57</v>
      </c>
      <c r="N59" s="419" t="s">
        <v>1126</v>
      </c>
      <c r="O59" s="420" t="s">
        <v>1127</v>
      </c>
      <c r="P59" s="421"/>
      <c r="Q59" s="422" t="str">
        <f>IFERROR(VLOOKUP(ROWS($Q$3:Q59),$M$3:$N$992,2,0),"")</f>
        <v>Pozemní a potrubní doprava</v>
      </c>
      <c r="R59">
        <f>IF(ISNUMBER(SEARCH('1Př1'!$A$35,N59)),MAX($M$2:M58)+1,0)</f>
        <v>57</v>
      </c>
      <c r="S59" s="419" t="s">
        <v>1126</v>
      </c>
      <c r="T59" t="str">
        <f>IFERROR(VLOOKUP(ROWS($T$3:T59),$R$3:$S$992,2,0),"")</f>
        <v>Pozemní a potrubní doprava</v>
      </c>
      <c r="U59">
        <f>IF(ISNUMBER(SEARCH('1Př1'!$A$36,N59)),MAX($M$2:M58)+1,0)</f>
        <v>57</v>
      </c>
      <c r="V59" s="419" t="s">
        <v>1126</v>
      </c>
      <c r="W59" t="str">
        <f>IFERROR(VLOOKUP(ROWS($W$3:W59),$U$3:$V$992,2,0),"")</f>
        <v>Pozemní a potrubní doprava</v>
      </c>
      <c r="X59">
        <f>IF(ISNUMBER(SEARCH('1Př1'!$A$37,N59)),MAX($M$2:M58)+1,0)</f>
        <v>57</v>
      </c>
      <c r="Y59" s="419" t="s">
        <v>1126</v>
      </c>
      <c r="Z59" t="str">
        <f>IFERROR(VLOOKUP(ROWS($Z$3:Z59),$X$3:$Y$992,2,0),"")</f>
        <v>Pozemní a potrubní doprava</v>
      </c>
    </row>
    <row r="60" spans="1:26" ht="12.75" customHeight="1">
      <c r="A60" s="395"/>
      <c r="B60" s="395"/>
      <c r="C60" s="395"/>
      <c r="D60" s="411">
        <f>IF(ISNUMBER(SEARCH(ZAKL_DATA!$B$14,E60)),MAX($D$2:D59)+1,0)</f>
        <v>58</v>
      </c>
      <c r="E60" s="425" t="s">
        <v>1128</v>
      </c>
      <c r="F60" s="426">
        <v>2303</v>
      </c>
      <c r="G60" s="427"/>
      <c r="H60" s="428" t="str">
        <f>IFERROR(VLOOKUP(ROWS($H$3:H60),$D$3:$E$204,2,0),"")</f>
        <v>PLZEŇ-JIH</v>
      </c>
      <c r="I60" s="395"/>
      <c r="J60" s="430" t="s">
        <v>1129</v>
      </c>
      <c r="K60" s="417" t="s">
        <v>1130</v>
      </c>
      <c r="M60" s="418">
        <f>IF(ISNUMBER(SEARCH(ZAKL_DATA!$B$29,N60)),MAX($M$2:M59)+1,0)</f>
        <v>58</v>
      </c>
      <c r="N60" s="419" t="s">
        <v>1131</v>
      </c>
      <c r="O60" s="420" t="s">
        <v>1132</v>
      </c>
      <c r="P60" s="421"/>
      <c r="Q60" s="422" t="str">
        <f>IFERROR(VLOOKUP(ROWS($Q$3:Q60),$M$3:$N$992,2,0),"")</f>
        <v>Vodní doprava</v>
      </c>
      <c r="R60">
        <f>IF(ISNUMBER(SEARCH('1Př1'!$A$35,N60)),MAX($M$2:M59)+1,0)</f>
        <v>58</v>
      </c>
      <c r="S60" s="419" t="s">
        <v>1131</v>
      </c>
      <c r="T60" t="str">
        <f>IFERROR(VLOOKUP(ROWS($T$3:T60),$R$3:$S$992,2,0),"")</f>
        <v>Vodní doprava</v>
      </c>
      <c r="U60">
        <f>IF(ISNUMBER(SEARCH('1Př1'!$A$36,N60)),MAX($M$2:M59)+1,0)</f>
        <v>58</v>
      </c>
      <c r="V60" s="419" t="s">
        <v>1131</v>
      </c>
      <c r="W60" t="str">
        <f>IFERROR(VLOOKUP(ROWS($W$3:W60),$U$3:$V$992,2,0),"")</f>
        <v>Vodní doprava</v>
      </c>
      <c r="X60">
        <f>IF(ISNUMBER(SEARCH('1Př1'!$A$37,N60)),MAX($M$2:M59)+1,0)</f>
        <v>58</v>
      </c>
      <c r="Y60" s="419" t="s">
        <v>1131</v>
      </c>
      <c r="Z60" t="str">
        <f>IFERROR(VLOOKUP(ROWS($Z$3:Z60),$X$3:$Y$992,2,0),"")</f>
        <v>Vodní doprava</v>
      </c>
    </row>
    <row r="61" spans="1:26" ht="12.75" customHeight="1">
      <c r="A61" s="395"/>
      <c r="B61" s="395"/>
      <c r="C61" s="395"/>
      <c r="D61" s="411">
        <f>IF(ISNUMBER(SEARCH(ZAKL_DATA!$B$14,E61)),MAX($D$2:D60)+1,0)</f>
        <v>59</v>
      </c>
      <c r="E61" s="425" t="s">
        <v>1133</v>
      </c>
      <c r="F61" s="426">
        <v>2304</v>
      </c>
      <c r="G61" s="427"/>
      <c r="H61" s="428" t="str">
        <f>IFERROR(VLOOKUP(ROWS($H$3:H61),$D$3:$E$204,2,0),"")</f>
        <v>BLOVICE</v>
      </c>
      <c r="I61" s="395"/>
      <c r="J61" s="430" t="s">
        <v>1134</v>
      </c>
      <c r="K61" s="417" t="s">
        <v>1135</v>
      </c>
      <c r="M61" s="418">
        <f>IF(ISNUMBER(SEARCH(ZAKL_DATA!$B$29,N61)),MAX($M$2:M60)+1,0)</f>
        <v>59</v>
      </c>
      <c r="N61" s="419" t="s">
        <v>1136</v>
      </c>
      <c r="O61" s="420" t="s">
        <v>1137</v>
      </c>
      <c r="P61" s="421"/>
      <c r="Q61" s="422" t="str">
        <f>IFERROR(VLOOKUP(ROWS($Q$3:Q61),$M$3:$N$992,2,0),"")</f>
        <v>Letecká doprava</v>
      </c>
      <c r="R61">
        <f>IF(ISNUMBER(SEARCH('1Př1'!$A$35,N61)),MAX($M$2:M60)+1,0)</f>
        <v>59</v>
      </c>
      <c r="S61" s="419" t="s">
        <v>1136</v>
      </c>
      <c r="T61" t="str">
        <f>IFERROR(VLOOKUP(ROWS($T$3:T61),$R$3:$S$992,2,0),"")</f>
        <v>Letecká doprava</v>
      </c>
      <c r="U61">
        <f>IF(ISNUMBER(SEARCH('1Př1'!$A$36,N61)),MAX($M$2:M60)+1,0)</f>
        <v>59</v>
      </c>
      <c r="V61" s="419" t="s">
        <v>1136</v>
      </c>
      <c r="W61" t="str">
        <f>IFERROR(VLOOKUP(ROWS($W$3:W61),$U$3:$V$992,2,0),"")</f>
        <v>Letecká doprava</v>
      </c>
      <c r="X61">
        <f>IF(ISNUMBER(SEARCH('1Př1'!$A$37,N61)),MAX($M$2:M60)+1,0)</f>
        <v>59</v>
      </c>
      <c r="Y61" s="419" t="s">
        <v>1136</v>
      </c>
      <c r="Z61" t="str">
        <f>IFERROR(VLOOKUP(ROWS($Z$3:Z61),$X$3:$Y$992,2,0),"")</f>
        <v>Letecká doprava</v>
      </c>
    </row>
    <row r="62" spans="1:26" ht="12.75" customHeight="1">
      <c r="A62" s="395"/>
      <c r="B62" s="395"/>
      <c r="C62" s="395"/>
      <c r="D62" s="411">
        <f>IF(ISNUMBER(SEARCH(ZAKL_DATA!$B$14,E62)),MAX($D$2:D61)+1,0)</f>
        <v>60</v>
      </c>
      <c r="E62" s="425" t="s">
        <v>1138</v>
      </c>
      <c r="F62" s="426">
        <v>2305</v>
      </c>
      <c r="G62" s="427"/>
      <c r="H62" s="428" t="str">
        <f>IFERROR(VLOOKUP(ROWS($H$3:H62),$D$3:$E$204,2,0),"")</f>
        <v>DOMAŽLICE</v>
      </c>
      <c r="I62" s="395"/>
      <c r="J62" s="430" t="s">
        <v>1139</v>
      </c>
      <c r="K62" s="417" t="s">
        <v>1140</v>
      </c>
      <c r="M62" s="418">
        <f>IF(ISNUMBER(SEARCH(ZAKL_DATA!$B$29,N62)),MAX($M$2:M61)+1,0)</f>
        <v>60</v>
      </c>
      <c r="N62" s="419" t="s">
        <v>1141</v>
      </c>
      <c r="O62" s="420" t="s">
        <v>1142</v>
      </c>
      <c r="P62" s="421"/>
      <c r="Q62" s="422" t="str">
        <f>IFERROR(VLOOKUP(ROWS($Q$3:Q62),$M$3:$N$992,2,0),"")</f>
        <v>Těžba a úprava černého uhlí</v>
      </c>
      <c r="R62">
        <f>IF(ISNUMBER(SEARCH('1Př1'!$A$35,N62)),MAX($M$2:M61)+1,0)</f>
        <v>60</v>
      </c>
      <c r="S62" s="419" t="s">
        <v>1141</v>
      </c>
      <c r="T62" t="str">
        <f>IFERROR(VLOOKUP(ROWS($T$3:T62),$R$3:$S$992,2,0),"")</f>
        <v>Těžba a úprava černého uhlí</v>
      </c>
      <c r="U62">
        <f>IF(ISNUMBER(SEARCH('1Př1'!$A$36,N62)),MAX($M$2:M61)+1,0)</f>
        <v>60</v>
      </c>
      <c r="V62" s="419" t="s">
        <v>1141</v>
      </c>
      <c r="W62" t="str">
        <f>IFERROR(VLOOKUP(ROWS($W$3:W62),$U$3:$V$992,2,0),"")</f>
        <v>Těžba a úprava černého uhlí</v>
      </c>
      <c r="X62">
        <f>IF(ISNUMBER(SEARCH('1Př1'!$A$37,N62)),MAX($M$2:M61)+1,0)</f>
        <v>60</v>
      </c>
      <c r="Y62" s="419" t="s">
        <v>1141</v>
      </c>
      <c r="Z62" t="str">
        <f>IFERROR(VLOOKUP(ROWS($Z$3:Z62),$X$3:$Y$992,2,0),"")</f>
        <v>Těžba a úprava černého uhlí</v>
      </c>
    </row>
    <row r="63" spans="1:26" ht="12.75" customHeight="1">
      <c r="A63" s="395"/>
      <c r="B63" s="395"/>
      <c r="C63" s="395"/>
      <c r="D63" s="411">
        <f>IF(ISNUMBER(SEARCH(ZAKL_DATA!$B$14,E63)),MAX($D$2:D62)+1,0)</f>
        <v>61</v>
      </c>
      <c r="E63" s="425" t="s">
        <v>1143</v>
      </c>
      <c r="F63" s="426">
        <v>2306</v>
      </c>
      <c r="G63" s="427"/>
      <c r="H63" s="428" t="str">
        <f>IFERROR(VLOOKUP(ROWS($H$3:H63),$D$3:$E$204,2,0),"")</f>
        <v>HORAŽĎOVICE</v>
      </c>
      <c r="I63" s="395"/>
      <c r="J63" s="430" t="s">
        <v>1144</v>
      </c>
      <c r="K63" s="417" t="s">
        <v>1145</v>
      </c>
      <c r="M63" s="418">
        <f>IF(ISNUMBER(SEARCH(ZAKL_DATA!$B$29,N63)),MAX($M$2:M62)+1,0)</f>
        <v>61</v>
      </c>
      <c r="N63" s="419" t="s">
        <v>1146</v>
      </c>
      <c r="O63" s="420" t="s">
        <v>1147</v>
      </c>
      <c r="P63" s="421"/>
      <c r="Q63" s="422" t="str">
        <f>IFERROR(VLOOKUP(ROWS($Q$3:Q63),$M$3:$N$992,2,0),"")</f>
        <v>Skladování a vedlejší činnosti v dopravě</v>
      </c>
      <c r="R63">
        <f>IF(ISNUMBER(SEARCH('1Př1'!$A$35,N63)),MAX($M$2:M62)+1,0)</f>
        <v>61</v>
      </c>
      <c r="S63" s="419" t="s">
        <v>1146</v>
      </c>
      <c r="T63" t="str">
        <f>IFERROR(VLOOKUP(ROWS($T$3:T63),$R$3:$S$992,2,0),"")</f>
        <v>Skladování a vedlejší činnosti v dopravě</v>
      </c>
      <c r="U63">
        <f>IF(ISNUMBER(SEARCH('1Př1'!$A$36,N63)),MAX($M$2:M62)+1,0)</f>
        <v>61</v>
      </c>
      <c r="V63" s="419" t="s">
        <v>1146</v>
      </c>
      <c r="W63" t="str">
        <f>IFERROR(VLOOKUP(ROWS($W$3:W63),$U$3:$V$992,2,0),"")</f>
        <v>Skladování a vedlejší činnosti v dopravě</v>
      </c>
      <c r="X63">
        <f>IF(ISNUMBER(SEARCH('1Př1'!$A$37,N63)),MAX($M$2:M62)+1,0)</f>
        <v>61</v>
      </c>
      <c r="Y63" s="419" t="s">
        <v>1146</v>
      </c>
      <c r="Z63" t="str">
        <f>IFERROR(VLOOKUP(ROWS($Z$3:Z63),$X$3:$Y$992,2,0),"")</f>
        <v>Skladování a vedlejší činnosti v dopravě</v>
      </c>
    </row>
    <row r="64" spans="1:26" ht="12.75" customHeight="1">
      <c r="A64" s="395"/>
      <c r="B64" s="395"/>
      <c r="C64" s="395"/>
      <c r="D64" s="411">
        <f>IF(ISNUMBER(SEARCH(ZAKL_DATA!$B$14,E64)),MAX($D$2:D63)+1,0)</f>
        <v>62</v>
      </c>
      <c r="E64" s="425" t="s">
        <v>1148</v>
      </c>
      <c r="F64" s="426">
        <v>2307</v>
      </c>
      <c r="G64" s="427"/>
      <c r="H64" s="428" t="str">
        <f>IFERROR(VLOOKUP(ROWS($H$3:H64),$D$3:$E$204,2,0),"")</f>
        <v>HORŠOVSKÝ TÝN</v>
      </c>
      <c r="I64" s="395"/>
      <c r="J64" s="430" t="s">
        <v>1149</v>
      </c>
      <c r="K64" s="417" t="s">
        <v>1150</v>
      </c>
      <c r="M64" s="418">
        <f>IF(ISNUMBER(SEARCH(ZAKL_DATA!$B$29,N64)),MAX($M$2:M63)+1,0)</f>
        <v>62</v>
      </c>
      <c r="N64" s="419" t="s">
        <v>1151</v>
      </c>
      <c r="O64" s="420" t="s">
        <v>1152</v>
      </c>
      <c r="P64" s="421"/>
      <c r="Q64" s="422" t="str">
        <f>IFERROR(VLOOKUP(ROWS($Q$3:Q64),$M$3:$N$992,2,0),"")</f>
        <v>Těžba a úprava hnědého uhlí</v>
      </c>
      <c r="R64">
        <f>IF(ISNUMBER(SEARCH('1Př1'!$A$35,N64)),MAX($M$2:M63)+1,0)</f>
        <v>62</v>
      </c>
      <c r="S64" s="419" t="s">
        <v>1151</v>
      </c>
      <c r="T64" t="str">
        <f>IFERROR(VLOOKUP(ROWS($T$3:T64),$R$3:$S$992,2,0),"")</f>
        <v>Těžba a úprava hnědého uhlí</v>
      </c>
      <c r="U64">
        <f>IF(ISNUMBER(SEARCH('1Př1'!$A$36,N64)),MAX($M$2:M63)+1,0)</f>
        <v>62</v>
      </c>
      <c r="V64" s="419" t="s">
        <v>1151</v>
      </c>
      <c r="W64" t="str">
        <f>IFERROR(VLOOKUP(ROWS($W$3:W64),$U$3:$V$992,2,0),"")</f>
        <v>Těžba a úprava hnědého uhlí</v>
      </c>
      <c r="X64">
        <f>IF(ISNUMBER(SEARCH('1Př1'!$A$37,N64)),MAX($M$2:M63)+1,0)</f>
        <v>62</v>
      </c>
      <c r="Y64" s="419" t="s">
        <v>1151</v>
      </c>
      <c r="Z64" t="str">
        <f>IFERROR(VLOOKUP(ROWS($Z$3:Z64),$X$3:$Y$992,2,0),"")</f>
        <v>Těžba a úprava hnědého uhlí</v>
      </c>
    </row>
    <row r="65" spans="1:26" ht="12.75" customHeight="1">
      <c r="A65" s="395"/>
      <c r="B65" s="395"/>
      <c r="C65" s="395"/>
      <c r="D65" s="411">
        <f>IF(ISNUMBER(SEARCH(ZAKL_DATA!$B$14,E65)),MAX($D$2:D64)+1,0)</f>
        <v>63</v>
      </c>
      <c r="E65" s="425" t="s">
        <v>1153</v>
      </c>
      <c r="F65" s="426">
        <v>2308</v>
      </c>
      <c r="G65" s="427"/>
      <c r="H65" s="428" t="str">
        <f>IFERROR(VLOOKUP(ROWS($H$3:H65),$D$3:$E$204,2,0),"")</f>
        <v>KLATOVY</v>
      </c>
      <c r="I65" s="395"/>
      <c r="J65" s="430" t="s">
        <v>1154</v>
      </c>
      <c r="K65" s="417" t="s">
        <v>827</v>
      </c>
      <c r="M65" s="418">
        <f>IF(ISNUMBER(SEARCH(ZAKL_DATA!$B$29,N65)),MAX($M$2:M64)+1,0)</f>
        <v>63</v>
      </c>
      <c r="N65" s="419" t="s">
        <v>1155</v>
      </c>
      <c r="O65" s="420" t="s">
        <v>1156</v>
      </c>
      <c r="P65" s="421"/>
      <c r="Q65" s="422" t="str">
        <f>IFERROR(VLOOKUP(ROWS($Q$3:Q65),$M$3:$N$992,2,0),"")</f>
        <v>Poštovní a kurýrní činnosti</v>
      </c>
      <c r="R65">
        <f>IF(ISNUMBER(SEARCH('1Př1'!$A$35,N65)),MAX($M$2:M64)+1,0)</f>
        <v>63</v>
      </c>
      <c r="S65" s="419" t="s">
        <v>1155</v>
      </c>
      <c r="T65" t="str">
        <f>IFERROR(VLOOKUP(ROWS($T$3:T65),$R$3:$S$992,2,0),"")</f>
        <v>Poštovní a kurýrní činnosti</v>
      </c>
      <c r="U65">
        <f>IF(ISNUMBER(SEARCH('1Př1'!$A$36,N65)),MAX($M$2:M64)+1,0)</f>
        <v>63</v>
      </c>
      <c r="V65" s="419" t="s">
        <v>1155</v>
      </c>
      <c r="W65" t="str">
        <f>IFERROR(VLOOKUP(ROWS($W$3:W65),$U$3:$V$992,2,0),"")</f>
        <v>Poštovní a kurýrní činnosti</v>
      </c>
      <c r="X65">
        <f>IF(ISNUMBER(SEARCH('1Př1'!$A$37,N65)),MAX($M$2:M64)+1,0)</f>
        <v>63</v>
      </c>
      <c r="Y65" s="419" t="s">
        <v>1155</v>
      </c>
      <c r="Z65" t="str">
        <f>IFERROR(VLOOKUP(ROWS($Z$3:Z65),$X$3:$Y$992,2,0),"")</f>
        <v>Poštovní a kurýrní činnosti</v>
      </c>
    </row>
    <row r="66" spans="1:26" ht="12.75" customHeight="1">
      <c r="A66" s="395"/>
      <c r="B66" s="395"/>
      <c r="C66" s="395"/>
      <c r="D66" s="411">
        <f>IF(ISNUMBER(SEARCH(ZAKL_DATA!$B$14,E66)),MAX($D$2:D65)+1,0)</f>
        <v>64</v>
      </c>
      <c r="E66" s="425" t="s">
        <v>1157</v>
      </c>
      <c r="F66" s="426">
        <v>2309</v>
      </c>
      <c r="G66" s="427"/>
      <c r="H66" s="428" t="str">
        <f>IFERROR(VLOOKUP(ROWS($H$3:H66),$D$3:$E$204,2,0),"")</f>
        <v>KRALOVICE</v>
      </c>
      <c r="I66" s="395"/>
      <c r="J66" s="430" t="s">
        <v>1158</v>
      </c>
      <c r="K66" s="417" t="s">
        <v>1159</v>
      </c>
      <c r="M66" s="418">
        <f>IF(ISNUMBER(SEARCH(ZAKL_DATA!$B$29,N66)),MAX($M$2:M65)+1,0)</f>
        <v>64</v>
      </c>
      <c r="N66" s="419" t="s">
        <v>1160</v>
      </c>
      <c r="O66" s="420" t="s">
        <v>1161</v>
      </c>
      <c r="P66" s="421"/>
      <c r="Q66" s="422" t="str">
        <f>IFERROR(VLOOKUP(ROWS($Q$3:Q66),$M$3:$N$992,2,0),"")</f>
        <v>Ubytování</v>
      </c>
      <c r="R66">
        <f>IF(ISNUMBER(SEARCH('1Př1'!$A$35,N66)),MAX($M$2:M65)+1,0)</f>
        <v>64</v>
      </c>
      <c r="S66" s="419" t="s">
        <v>1160</v>
      </c>
      <c r="T66" t="str">
        <f>IFERROR(VLOOKUP(ROWS($T$3:T66),$R$3:$S$992,2,0),"")</f>
        <v>Ubytování</v>
      </c>
      <c r="U66">
        <f>IF(ISNUMBER(SEARCH('1Př1'!$A$36,N66)),MAX($M$2:M65)+1,0)</f>
        <v>64</v>
      </c>
      <c r="V66" s="419" t="s">
        <v>1160</v>
      </c>
      <c r="W66" t="str">
        <f>IFERROR(VLOOKUP(ROWS($W$3:W66),$U$3:$V$992,2,0),"")</f>
        <v>Ubytování</v>
      </c>
      <c r="X66">
        <f>IF(ISNUMBER(SEARCH('1Př1'!$A$37,N66)),MAX($M$2:M65)+1,0)</f>
        <v>64</v>
      </c>
      <c r="Y66" s="419" t="s">
        <v>1160</v>
      </c>
      <c r="Z66" t="str">
        <f>IFERROR(VLOOKUP(ROWS($Z$3:Z66),$X$3:$Y$992,2,0),"")</f>
        <v>Ubytování</v>
      </c>
    </row>
    <row r="67" spans="1:26" ht="12.75" customHeight="1">
      <c r="A67" s="395"/>
      <c r="B67" s="395"/>
      <c r="C67" s="395"/>
      <c r="D67" s="411">
        <f>IF(ISNUMBER(SEARCH(ZAKL_DATA!$B$14,E67)),MAX($D$2:D66)+1,0)</f>
        <v>65</v>
      </c>
      <c r="E67" s="425" t="s">
        <v>1162</v>
      </c>
      <c r="F67" s="426">
        <v>2310</v>
      </c>
      <c r="G67" s="427"/>
      <c r="H67" s="428" t="str">
        <f>IFERROR(VLOOKUP(ROWS($H$3:H67),$D$3:$E$204,2,0),"")</f>
        <v>NEPOMUK</v>
      </c>
      <c r="I67" s="395"/>
      <c r="J67" s="430" t="s">
        <v>1163</v>
      </c>
      <c r="K67" s="417" t="s">
        <v>1164</v>
      </c>
      <c r="M67" s="418">
        <f>IF(ISNUMBER(SEARCH(ZAKL_DATA!$B$29,N67)),MAX($M$2:M66)+1,0)</f>
        <v>65</v>
      </c>
      <c r="N67" s="419" t="s">
        <v>1165</v>
      </c>
      <c r="O67" s="420" t="s">
        <v>1166</v>
      </c>
      <c r="P67" s="421"/>
      <c r="Q67" s="422" t="str">
        <f>IFERROR(VLOOKUP(ROWS($Q$3:Q67),$M$3:$N$992,2,0),"")</f>
        <v>Stravování a pohostinství</v>
      </c>
      <c r="R67">
        <f>IF(ISNUMBER(SEARCH('1Př1'!$A$35,N67)),MAX($M$2:M66)+1,0)</f>
        <v>65</v>
      </c>
      <c r="S67" s="419" t="s">
        <v>1165</v>
      </c>
      <c r="T67" t="str">
        <f>IFERROR(VLOOKUP(ROWS($T$3:T67),$R$3:$S$992,2,0),"")</f>
        <v>Stravování a pohostinství</v>
      </c>
      <c r="U67">
        <f>IF(ISNUMBER(SEARCH('1Př1'!$A$36,N67)),MAX($M$2:M66)+1,0)</f>
        <v>65</v>
      </c>
      <c r="V67" s="419" t="s">
        <v>1165</v>
      </c>
      <c r="W67" t="str">
        <f>IFERROR(VLOOKUP(ROWS($W$3:W67),$U$3:$V$992,2,0),"")</f>
        <v>Stravování a pohostinství</v>
      </c>
      <c r="X67">
        <f>IF(ISNUMBER(SEARCH('1Př1'!$A$37,N67)),MAX($M$2:M66)+1,0)</f>
        <v>65</v>
      </c>
      <c r="Y67" s="419" t="s">
        <v>1165</v>
      </c>
      <c r="Z67" t="str">
        <f>IFERROR(VLOOKUP(ROWS($Z$3:Z67),$X$3:$Y$992,2,0),"")</f>
        <v>Stravování a pohostinství</v>
      </c>
    </row>
    <row r="68" spans="1:26" ht="12.75" customHeight="1">
      <c r="A68" s="395"/>
      <c r="B68" s="395"/>
      <c r="C68" s="395"/>
      <c r="D68" s="411">
        <f>IF(ISNUMBER(SEARCH(ZAKL_DATA!$B$14,E68)),MAX($D$2:D67)+1,0)</f>
        <v>66</v>
      </c>
      <c r="E68" s="425" t="s">
        <v>1167</v>
      </c>
      <c r="F68" s="426">
        <v>2311</v>
      </c>
      <c r="G68" s="427"/>
      <c r="H68" s="428" t="str">
        <f>IFERROR(VLOOKUP(ROWS($H$3:H68),$D$3:$E$204,2,0),"")</f>
        <v>PŘEŠTICE</v>
      </c>
      <c r="I68" s="395"/>
      <c r="J68" s="430" t="s">
        <v>1168</v>
      </c>
      <c r="K68" s="417" t="s">
        <v>1169</v>
      </c>
      <c r="M68" s="418">
        <f>IF(ISNUMBER(SEARCH(ZAKL_DATA!$B$29,N68)),MAX($M$2:M67)+1,0)</f>
        <v>66</v>
      </c>
      <c r="N68" s="419" t="s">
        <v>1170</v>
      </c>
      <c r="O68" s="420" t="s">
        <v>1171</v>
      </c>
      <c r="P68" s="421"/>
      <c r="Q68" s="422" t="str">
        <f>IFERROR(VLOOKUP(ROWS($Q$3:Q68),$M$3:$N$992,2,0),"")</f>
        <v>Vydavatelské činnosti</v>
      </c>
      <c r="R68">
        <f>IF(ISNUMBER(SEARCH('1Př1'!$A$35,N68)),MAX($M$2:M67)+1,0)</f>
        <v>66</v>
      </c>
      <c r="S68" s="419" t="s">
        <v>1170</v>
      </c>
      <c r="T68" t="str">
        <f>IFERROR(VLOOKUP(ROWS($T$3:T68),$R$3:$S$992,2,0),"")</f>
        <v>Vydavatelské činnosti</v>
      </c>
      <c r="U68">
        <f>IF(ISNUMBER(SEARCH('1Př1'!$A$36,N68)),MAX($M$2:M67)+1,0)</f>
        <v>66</v>
      </c>
      <c r="V68" s="419" t="s">
        <v>1170</v>
      </c>
      <c r="W68" t="str">
        <f>IFERROR(VLOOKUP(ROWS($W$3:W68),$U$3:$V$992,2,0),"")</f>
        <v>Vydavatelské činnosti</v>
      </c>
      <c r="X68">
        <f>IF(ISNUMBER(SEARCH('1Př1'!$A$37,N68)),MAX($M$2:M67)+1,0)</f>
        <v>66</v>
      </c>
      <c r="Y68" s="419" t="s">
        <v>1170</v>
      </c>
      <c r="Z68" t="str">
        <f>IFERROR(VLOOKUP(ROWS($Z$3:Z68),$X$3:$Y$992,2,0),"")</f>
        <v>Vydavatelské činnosti</v>
      </c>
    </row>
    <row r="69" spans="1:26" ht="12.75" customHeight="1">
      <c r="A69" s="395"/>
      <c r="B69" s="395"/>
      <c r="C69" s="395"/>
      <c r="D69" s="411">
        <f>IF(ISNUMBER(SEARCH(ZAKL_DATA!$B$14,E69)),MAX($D$2:D68)+1,0)</f>
        <v>67</v>
      </c>
      <c r="E69" s="425" t="s">
        <v>1172</v>
      </c>
      <c r="F69" s="426">
        <v>2312</v>
      </c>
      <c r="G69" s="427"/>
      <c r="H69" s="428" t="str">
        <f>IFERROR(VLOOKUP(ROWS($H$3:H69),$D$3:$E$204,2,0),"")</f>
        <v>ROKYCANY</v>
      </c>
      <c r="I69" s="395"/>
      <c r="J69" s="430" t="s">
        <v>1173</v>
      </c>
      <c r="K69" s="417" t="s">
        <v>1174</v>
      </c>
      <c r="M69" s="418">
        <f>IF(ISNUMBER(SEARCH(ZAKL_DATA!$B$29,N69)),MAX($M$2:M68)+1,0)</f>
        <v>67</v>
      </c>
      <c r="N69" s="419" t="s">
        <v>1175</v>
      </c>
      <c r="O69" s="420" t="s">
        <v>1176</v>
      </c>
      <c r="P69" s="421"/>
      <c r="Q69" s="422" t="str">
        <f>IFERROR(VLOOKUP(ROWS($Q$3:Q69),$M$3:$N$992,2,0),"")</f>
        <v>Čin.v obl.filmů,videozázn.a tel.programů,pořiz.zvuk.nahr.a hudeb.vyd.čin.</v>
      </c>
      <c r="R69">
        <f>IF(ISNUMBER(SEARCH('1Př1'!$A$35,N69)),MAX($M$2:M68)+1,0)</f>
        <v>67</v>
      </c>
      <c r="S69" s="419" t="s">
        <v>1175</v>
      </c>
      <c r="T69" t="str">
        <f>IFERROR(VLOOKUP(ROWS($T$3:T69),$R$3:$S$992,2,0),"")</f>
        <v>Čin.v obl.filmů,videozázn.a tel.programů,pořiz.zvuk.nahr.a hudeb.vyd.čin.</v>
      </c>
      <c r="U69">
        <f>IF(ISNUMBER(SEARCH('1Př1'!$A$36,N69)),MAX($M$2:M68)+1,0)</f>
        <v>67</v>
      </c>
      <c r="V69" s="419" t="s">
        <v>1175</v>
      </c>
      <c r="W69" t="str">
        <f>IFERROR(VLOOKUP(ROWS($W$3:W69),$U$3:$V$992,2,0),"")</f>
        <v>Čin.v obl.filmů,videozázn.a tel.programů,pořiz.zvuk.nahr.a hudeb.vyd.čin.</v>
      </c>
      <c r="X69">
        <f>IF(ISNUMBER(SEARCH('1Př1'!$A$37,N69)),MAX($M$2:M68)+1,0)</f>
        <v>67</v>
      </c>
      <c r="Y69" s="419" t="s">
        <v>1175</v>
      </c>
      <c r="Z69" t="str">
        <f>IFERROR(VLOOKUP(ROWS($Z$3:Z69),$X$3:$Y$992,2,0),"")</f>
        <v>Čin.v obl.filmů,videozázn.a tel.programů,pořiz.zvuk.nahr.a hudeb.vyd.čin.</v>
      </c>
    </row>
    <row r="70" spans="1:26" ht="12.75" customHeight="1">
      <c r="A70" s="395"/>
      <c r="B70" s="395"/>
      <c r="C70" s="395"/>
      <c r="D70" s="411">
        <f>IF(ISNUMBER(SEARCH(ZAKL_DATA!$B$14,E70)),MAX($D$2:D69)+1,0)</f>
        <v>68</v>
      </c>
      <c r="E70" s="425" t="s">
        <v>1177</v>
      </c>
      <c r="F70" s="426">
        <v>2313</v>
      </c>
      <c r="G70" s="427"/>
      <c r="H70" s="428" t="str">
        <f>IFERROR(VLOOKUP(ROWS($H$3:H70),$D$3:$E$204,2,0),"")</f>
        <v>TACHOV</v>
      </c>
      <c r="I70" s="395"/>
      <c r="J70" s="430" t="s">
        <v>1178</v>
      </c>
      <c r="K70" s="417" t="s">
        <v>1179</v>
      </c>
      <c r="M70" s="418">
        <f>IF(ISNUMBER(SEARCH(ZAKL_DATA!$B$29,N70)),MAX($M$2:M69)+1,0)</f>
        <v>68</v>
      </c>
      <c r="N70" s="419" t="s">
        <v>1180</v>
      </c>
      <c r="O70" s="420" t="s">
        <v>1181</v>
      </c>
      <c r="P70" s="421"/>
      <c r="Q70" s="422" t="str">
        <f>IFERROR(VLOOKUP(ROWS($Q$3:Q70),$M$3:$N$992,2,0),"")</f>
        <v>Tvorba programů a vysílání</v>
      </c>
      <c r="R70">
        <f>IF(ISNUMBER(SEARCH('1Př1'!$A$35,N70)),MAX($M$2:M69)+1,0)</f>
        <v>68</v>
      </c>
      <c r="S70" s="419" t="s">
        <v>1180</v>
      </c>
      <c r="T70" t="str">
        <f>IFERROR(VLOOKUP(ROWS($T$3:T70),$R$3:$S$992,2,0),"")</f>
        <v>Tvorba programů a vysílání</v>
      </c>
      <c r="U70">
        <f>IF(ISNUMBER(SEARCH('1Př1'!$A$36,N70)),MAX($M$2:M69)+1,0)</f>
        <v>68</v>
      </c>
      <c r="V70" s="419" t="s">
        <v>1180</v>
      </c>
      <c r="W70" t="str">
        <f>IFERROR(VLOOKUP(ROWS($W$3:W70),$U$3:$V$992,2,0),"")</f>
        <v>Tvorba programů a vysílání</v>
      </c>
      <c r="X70">
        <f>IF(ISNUMBER(SEARCH('1Př1'!$A$37,N70)),MAX($M$2:M69)+1,0)</f>
        <v>68</v>
      </c>
      <c r="Y70" s="419" t="s">
        <v>1180</v>
      </c>
      <c r="Z70" t="str">
        <f>IFERROR(VLOOKUP(ROWS($Z$3:Z70),$X$3:$Y$992,2,0),"")</f>
        <v>Tvorba programů a vysílání</v>
      </c>
    </row>
    <row r="71" spans="1:26" ht="12.75" customHeight="1">
      <c r="A71" s="395"/>
      <c r="B71" s="395"/>
      <c r="C71" s="395"/>
      <c r="D71" s="411">
        <f>IF(ISNUMBER(SEARCH(ZAKL_DATA!$B$14,E71)),MAX($D$2:D70)+1,0)</f>
        <v>69</v>
      </c>
      <c r="E71" s="425" t="s">
        <v>1182</v>
      </c>
      <c r="F71" s="426">
        <v>2314</v>
      </c>
      <c r="G71" s="427"/>
      <c r="H71" s="428" t="str">
        <f>IFERROR(VLOOKUP(ROWS($H$3:H71),$D$3:$E$204,2,0),"")</f>
        <v>STŘÍBRO</v>
      </c>
      <c r="I71" s="395"/>
      <c r="J71" s="430" t="s">
        <v>1183</v>
      </c>
      <c r="K71" s="417" t="s">
        <v>1184</v>
      </c>
      <c r="M71" s="418">
        <f>IF(ISNUMBER(SEARCH(ZAKL_DATA!$B$29,N71)),MAX($M$2:M70)+1,0)</f>
        <v>69</v>
      </c>
      <c r="N71" s="419" t="s">
        <v>1185</v>
      </c>
      <c r="O71" s="420" t="s">
        <v>1186</v>
      </c>
      <c r="P71" s="421"/>
      <c r="Q71" s="422" t="str">
        <f>IFERROR(VLOOKUP(ROWS($Q$3:Q71),$M$3:$N$992,2,0),"")</f>
        <v>Telekomunikační činnosti</v>
      </c>
      <c r="R71">
        <f>IF(ISNUMBER(SEARCH('1Př1'!$A$35,N71)),MAX($M$2:M70)+1,0)</f>
        <v>69</v>
      </c>
      <c r="S71" s="419" t="s">
        <v>1185</v>
      </c>
      <c r="T71" t="str">
        <f>IFERROR(VLOOKUP(ROWS($T$3:T71),$R$3:$S$992,2,0),"")</f>
        <v>Telekomunikační činnosti</v>
      </c>
      <c r="U71">
        <f>IF(ISNUMBER(SEARCH('1Př1'!$A$36,N71)),MAX($M$2:M70)+1,0)</f>
        <v>69</v>
      </c>
      <c r="V71" s="419" t="s">
        <v>1185</v>
      </c>
      <c r="W71" t="str">
        <f>IFERROR(VLOOKUP(ROWS($W$3:W71),$U$3:$V$992,2,0),"")</f>
        <v>Telekomunikační činnosti</v>
      </c>
      <c r="X71">
        <f>IF(ISNUMBER(SEARCH('1Př1'!$A$37,N71)),MAX($M$2:M70)+1,0)</f>
        <v>69</v>
      </c>
      <c r="Y71" s="419" t="s">
        <v>1185</v>
      </c>
      <c r="Z71" t="str">
        <f>IFERROR(VLOOKUP(ROWS($Z$3:Z71),$X$3:$Y$992,2,0),"")</f>
        <v>Telekomunikační činnosti</v>
      </c>
    </row>
    <row r="72" spans="1:26" ht="12.75" customHeight="1">
      <c r="A72" s="395"/>
      <c r="B72" s="395"/>
      <c r="C72" s="395"/>
      <c r="D72" s="411">
        <f>IF(ISNUMBER(SEARCH(ZAKL_DATA!$B$14,E72)),MAX($D$2:D71)+1,0)</f>
        <v>70</v>
      </c>
      <c r="E72" s="425" t="s">
        <v>1187</v>
      </c>
      <c r="F72" s="426">
        <v>2315</v>
      </c>
      <c r="G72" s="427"/>
      <c r="H72" s="428" t="str">
        <f>IFERROR(VLOOKUP(ROWS($H$3:H72),$D$3:$E$204,2,0),"")</f>
        <v>SUŠICE</v>
      </c>
      <c r="I72" s="395"/>
      <c r="J72" s="430" t="s">
        <v>1188</v>
      </c>
      <c r="K72" s="417" t="s">
        <v>1189</v>
      </c>
      <c r="M72" s="418">
        <f>IF(ISNUMBER(SEARCH(ZAKL_DATA!$B$29,N72)),MAX($M$2:M71)+1,0)</f>
        <v>70</v>
      </c>
      <c r="N72" s="419" t="s">
        <v>1190</v>
      </c>
      <c r="O72" s="420" t="s">
        <v>1191</v>
      </c>
      <c r="P72" s="421"/>
      <c r="Q72" s="422" t="str">
        <f>IFERROR(VLOOKUP(ROWS($Q$3:Q72),$M$3:$N$992,2,0),"")</f>
        <v>Těžba ropy</v>
      </c>
      <c r="R72">
        <f>IF(ISNUMBER(SEARCH('1Př1'!$A$35,N72)),MAX($M$2:M71)+1,0)</f>
        <v>70</v>
      </c>
      <c r="S72" s="419" t="s">
        <v>1190</v>
      </c>
      <c r="T72" t="str">
        <f>IFERROR(VLOOKUP(ROWS($T$3:T72),$R$3:$S$992,2,0),"")</f>
        <v>Těžba ropy</v>
      </c>
      <c r="U72">
        <f>IF(ISNUMBER(SEARCH('1Př1'!$A$36,N72)),MAX($M$2:M71)+1,0)</f>
        <v>70</v>
      </c>
      <c r="V72" s="419" t="s">
        <v>1190</v>
      </c>
      <c r="W72" t="str">
        <f>IFERROR(VLOOKUP(ROWS($W$3:W72),$U$3:$V$992,2,0),"")</f>
        <v>Těžba ropy</v>
      </c>
      <c r="X72">
        <f>IF(ISNUMBER(SEARCH('1Př1'!$A$37,N72)),MAX($M$2:M71)+1,0)</f>
        <v>70</v>
      </c>
      <c r="Y72" s="419" t="s">
        <v>1190</v>
      </c>
      <c r="Z72" t="str">
        <f>IFERROR(VLOOKUP(ROWS($Z$3:Z72),$X$3:$Y$992,2,0),"")</f>
        <v>Těžba ropy</v>
      </c>
    </row>
    <row r="73" spans="1:26" ht="12.75" customHeight="1">
      <c r="A73" s="395"/>
      <c r="B73" s="395"/>
      <c r="C73" s="395"/>
      <c r="D73" s="411">
        <f>IF(ISNUMBER(SEARCH(ZAKL_DATA!$B$14,E73)),MAX($D$2:D72)+1,0)</f>
        <v>71</v>
      </c>
      <c r="E73" s="425" t="s">
        <v>1192</v>
      </c>
      <c r="F73" s="426">
        <v>2401</v>
      </c>
      <c r="G73" s="427"/>
      <c r="H73" s="428" t="str">
        <f>IFERROR(VLOOKUP(ROWS($H$3:H73),$D$3:$E$204,2,0),"")</f>
        <v>KARLOVY VARY</v>
      </c>
      <c r="I73" s="395"/>
      <c r="J73" s="430" t="s">
        <v>1193</v>
      </c>
      <c r="K73" s="417" t="s">
        <v>1194</v>
      </c>
      <c r="M73" s="418">
        <f>IF(ISNUMBER(SEARCH(ZAKL_DATA!$B$29,N73)),MAX($M$2:M72)+1,0)</f>
        <v>71</v>
      </c>
      <c r="N73" s="419" t="s">
        <v>1195</v>
      </c>
      <c r="O73" s="420" t="s">
        <v>1196</v>
      </c>
      <c r="P73" s="421"/>
      <c r="Q73" s="422" t="str">
        <f>IFERROR(VLOOKUP(ROWS($Q$3:Q73),$M$3:$N$992,2,0),"")</f>
        <v>Činnosti v oblasti informačních technologií</v>
      </c>
      <c r="R73">
        <f>IF(ISNUMBER(SEARCH('1Př1'!$A$35,N73)),MAX($M$2:M72)+1,0)</f>
        <v>71</v>
      </c>
      <c r="S73" s="419" t="s">
        <v>1195</v>
      </c>
      <c r="T73" t="str">
        <f>IFERROR(VLOOKUP(ROWS($T$3:T73),$R$3:$S$992,2,0),"")</f>
        <v>Činnosti v oblasti informačních technologií</v>
      </c>
      <c r="U73">
        <f>IF(ISNUMBER(SEARCH('1Př1'!$A$36,N73)),MAX($M$2:M72)+1,0)</f>
        <v>71</v>
      </c>
      <c r="V73" s="419" t="s">
        <v>1195</v>
      </c>
      <c r="W73" t="str">
        <f>IFERROR(VLOOKUP(ROWS($W$3:W73),$U$3:$V$992,2,0),"")</f>
        <v>Činnosti v oblasti informačních technologií</v>
      </c>
      <c r="X73">
        <f>IF(ISNUMBER(SEARCH('1Př1'!$A$37,N73)),MAX($M$2:M72)+1,0)</f>
        <v>71</v>
      </c>
      <c r="Y73" s="419" t="s">
        <v>1195</v>
      </c>
      <c r="Z73" t="str">
        <f>IFERROR(VLOOKUP(ROWS($Z$3:Z73),$X$3:$Y$992,2,0),"")</f>
        <v>Činnosti v oblasti informačních technologií</v>
      </c>
    </row>
    <row r="74" spans="1:26" ht="12.75" customHeight="1">
      <c r="A74" s="395"/>
      <c r="B74" s="395"/>
      <c r="C74" s="395"/>
      <c r="D74" s="411">
        <f>IF(ISNUMBER(SEARCH(ZAKL_DATA!$B$14,E74)),MAX($D$2:D73)+1,0)</f>
        <v>72</v>
      </c>
      <c r="E74" s="425" t="s">
        <v>1197</v>
      </c>
      <c r="F74" s="426">
        <v>2402</v>
      </c>
      <c r="G74" s="427"/>
      <c r="H74" s="428" t="str">
        <f>IFERROR(VLOOKUP(ROWS($H$3:H74),$D$3:$E$204,2,0),"")</f>
        <v>AŠ</v>
      </c>
      <c r="I74" s="395"/>
      <c r="J74" s="430" t="s">
        <v>1198</v>
      </c>
      <c r="K74" s="417" t="s">
        <v>1199</v>
      </c>
      <c r="M74" s="418">
        <f>IF(ISNUMBER(SEARCH(ZAKL_DATA!$B$29,N74)),MAX($M$2:M73)+1,0)</f>
        <v>72</v>
      </c>
      <c r="N74" s="419" t="s">
        <v>1200</v>
      </c>
      <c r="O74" s="420" t="s">
        <v>1201</v>
      </c>
      <c r="P74" s="421"/>
      <c r="Q74" s="422" t="str">
        <f>IFERROR(VLOOKUP(ROWS($Q$3:Q74),$M$3:$N$992,2,0),"")</f>
        <v>Těžba zemního plynu</v>
      </c>
      <c r="R74">
        <f>IF(ISNUMBER(SEARCH('1Př1'!$A$35,N74)),MAX($M$2:M73)+1,0)</f>
        <v>72</v>
      </c>
      <c r="S74" s="419" t="s">
        <v>1200</v>
      </c>
      <c r="T74" t="str">
        <f>IFERROR(VLOOKUP(ROWS($T$3:T74),$R$3:$S$992,2,0),"")</f>
        <v>Těžba zemního plynu</v>
      </c>
      <c r="U74">
        <f>IF(ISNUMBER(SEARCH('1Př1'!$A$36,N74)),MAX($M$2:M73)+1,0)</f>
        <v>72</v>
      </c>
      <c r="V74" s="419" t="s">
        <v>1200</v>
      </c>
      <c r="W74" t="str">
        <f>IFERROR(VLOOKUP(ROWS($W$3:W74),$U$3:$V$992,2,0),"")</f>
        <v>Těžba zemního plynu</v>
      </c>
      <c r="X74">
        <f>IF(ISNUMBER(SEARCH('1Př1'!$A$37,N74)),MAX($M$2:M73)+1,0)</f>
        <v>72</v>
      </c>
      <c r="Y74" s="419" t="s">
        <v>1200</v>
      </c>
      <c r="Z74" t="str">
        <f>IFERROR(VLOOKUP(ROWS($Z$3:Z74),$X$3:$Y$992,2,0),"")</f>
        <v>Těžba zemního plynu</v>
      </c>
    </row>
    <row r="75" spans="1:26" ht="12.75" customHeight="1">
      <c r="A75" s="395"/>
      <c r="B75" s="395"/>
      <c r="C75" s="395"/>
      <c r="D75" s="411">
        <f>IF(ISNUMBER(SEARCH(ZAKL_DATA!$B$14,E75)),MAX($D$2:D74)+1,0)</f>
        <v>73</v>
      </c>
      <c r="E75" s="425" t="s">
        <v>1202</v>
      </c>
      <c r="F75" s="426">
        <v>2403</v>
      </c>
      <c r="G75" s="427"/>
      <c r="H75" s="428" t="str">
        <f>IFERROR(VLOOKUP(ROWS($H$3:H75),$D$3:$E$204,2,0),"")</f>
        <v>CHEB</v>
      </c>
      <c r="I75" s="395"/>
      <c r="J75" s="430" t="s">
        <v>1203</v>
      </c>
      <c r="K75" s="417" t="s">
        <v>1204</v>
      </c>
      <c r="M75" s="418">
        <f>IF(ISNUMBER(SEARCH(ZAKL_DATA!$B$29,N75)),MAX($M$2:M74)+1,0)</f>
        <v>73</v>
      </c>
      <c r="N75" s="419" t="s">
        <v>1205</v>
      </c>
      <c r="O75" s="420" t="s">
        <v>1206</v>
      </c>
      <c r="P75" s="421"/>
      <c r="Q75" s="422" t="str">
        <f>IFERROR(VLOOKUP(ROWS($Q$3:Q75),$M$3:$N$992,2,0),"")</f>
        <v>Informační činnosti</v>
      </c>
      <c r="R75">
        <f>IF(ISNUMBER(SEARCH('1Př1'!$A$35,N75)),MAX($M$2:M74)+1,0)</f>
        <v>73</v>
      </c>
      <c r="S75" s="419" t="s">
        <v>1205</v>
      </c>
      <c r="T75" t="str">
        <f>IFERROR(VLOOKUP(ROWS($T$3:T75),$R$3:$S$992,2,0),"")</f>
        <v>Informační činnosti</v>
      </c>
      <c r="U75">
        <f>IF(ISNUMBER(SEARCH('1Př1'!$A$36,N75)),MAX($M$2:M74)+1,0)</f>
        <v>73</v>
      </c>
      <c r="V75" s="419" t="s">
        <v>1205</v>
      </c>
      <c r="W75" t="str">
        <f>IFERROR(VLOOKUP(ROWS($W$3:W75),$U$3:$V$992,2,0),"")</f>
        <v>Informační činnosti</v>
      </c>
      <c r="X75">
        <f>IF(ISNUMBER(SEARCH('1Př1'!$A$37,N75)),MAX($M$2:M74)+1,0)</f>
        <v>73</v>
      </c>
      <c r="Y75" s="419" t="s">
        <v>1205</v>
      </c>
      <c r="Z75" t="str">
        <f>IFERROR(VLOOKUP(ROWS($Z$3:Z75),$X$3:$Y$992,2,0),"")</f>
        <v>Informační činnosti</v>
      </c>
    </row>
    <row r="76" spans="1:26" ht="12.75" customHeight="1">
      <c r="A76" s="395"/>
      <c r="B76" s="395"/>
      <c r="C76" s="395"/>
      <c r="D76" s="411">
        <f>IF(ISNUMBER(SEARCH(ZAKL_DATA!$B$14,E76)),MAX($D$2:D75)+1,0)</f>
        <v>74</v>
      </c>
      <c r="E76" s="425" t="s">
        <v>1207</v>
      </c>
      <c r="F76" s="426">
        <v>2404</v>
      </c>
      <c r="G76" s="427"/>
      <c r="H76" s="428" t="str">
        <f>IFERROR(VLOOKUP(ROWS($H$3:H76),$D$3:$E$204,2,0),"")</f>
        <v>KRASLICE</v>
      </c>
      <c r="I76" s="395"/>
      <c r="J76" s="430" t="s">
        <v>1208</v>
      </c>
      <c r="K76" s="417" t="s">
        <v>1209</v>
      </c>
      <c r="M76" s="418">
        <f>IF(ISNUMBER(SEARCH(ZAKL_DATA!$B$29,N76)),MAX($M$2:M75)+1,0)</f>
        <v>74</v>
      </c>
      <c r="N76" s="419" t="s">
        <v>1210</v>
      </c>
      <c r="O76" s="420" t="s">
        <v>1211</v>
      </c>
      <c r="P76" s="421"/>
      <c r="Q76" s="422" t="str">
        <f>IFERROR(VLOOKUP(ROWS($Q$3:Q76),$M$3:$N$992,2,0),"")</f>
        <v>Finanční zprostředkování, kromě pojišťovnictví a penzijního financování</v>
      </c>
      <c r="R76">
        <f>IF(ISNUMBER(SEARCH('1Př1'!$A$35,N76)),MAX($M$2:M75)+1,0)</f>
        <v>74</v>
      </c>
      <c r="S76" s="419" t="s">
        <v>1210</v>
      </c>
      <c r="T76" t="str">
        <f>IFERROR(VLOOKUP(ROWS($T$3:T76),$R$3:$S$992,2,0),"")</f>
        <v>Finanční zprostředkování, kromě pojišťovnictví a penzijního financování</v>
      </c>
      <c r="U76">
        <f>IF(ISNUMBER(SEARCH('1Př1'!$A$36,N76)),MAX($M$2:M75)+1,0)</f>
        <v>74</v>
      </c>
      <c r="V76" s="419" t="s">
        <v>1210</v>
      </c>
      <c r="W76" t="str">
        <f>IFERROR(VLOOKUP(ROWS($W$3:W76),$U$3:$V$992,2,0),"")</f>
        <v>Finanční zprostředkování, kromě pojišťovnictví a penzijního financování</v>
      </c>
      <c r="X76">
        <f>IF(ISNUMBER(SEARCH('1Př1'!$A$37,N76)),MAX($M$2:M75)+1,0)</f>
        <v>74</v>
      </c>
      <c r="Y76" s="419" t="s">
        <v>1210</v>
      </c>
      <c r="Z76" t="str">
        <f>IFERROR(VLOOKUP(ROWS($Z$3:Z76),$X$3:$Y$992,2,0),"")</f>
        <v>Finanční zprostředkování, kromě pojišťovnictví a penzijního financování</v>
      </c>
    </row>
    <row r="77" spans="1:26" ht="12.75" customHeight="1">
      <c r="A77" s="395"/>
      <c r="B77" s="395"/>
      <c r="C77" s="395"/>
      <c r="D77" s="411">
        <f>IF(ISNUMBER(SEARCH(ZAKL_DATA!$B$14,E77)),MAX($D$2:D76)+1,0)</f>
        <v>75</v>
      </c>
      <c r="E77" s="425" t="s">
        <v>1212</v>
      </c>
      <c r="F77" s="426">
        <v>2405</v>
      </c>
      <c r="G77" s="427"/>
      <c r="H77" s="428" t="str">
        <f>IFERROR(VLOOKUP(ROWS($H$3:H77),$D$3:$E$204,2,0),"")</f>
        <v>MARIÁNSKÉ LÁZNĚ</v>
      </c>
      <c r="I77" s="395"/>
      <c r="J77" s="430" t="s">
        <v>1213</v>
      </c>
      <c r="K77" s="417" t="s">
        <v>1214</v>
      </c>
      <c r="M77" s="418">
        <f>IF(ISNUMBER(SEARCH(ZAKL_DATA!$B$29,N77)),MAX($M$2:M76)+1,0)</f>
        <v>75</v>
      </c>
      <c r="N77" s="419" t="s">
        <v>1215</v>
      </c>
      <c r="O77" s="420" t="s">
        <v>1216</v>
      </c>
      <c r="P77" s="421"/>
      <c r="Q77" s="422" t="str">
        <f>IFERROR(VLOOKUP(ROWS($Q$3:Q77),$M$3:$N$992,2,0),"")</f>
        <v>Pojištění,zajištění a penzijní financování,kromě povinného soc.zabezpečení</v>
      </c>
      <c r="R77">
        <f>IF(ISNUMBER(SEARCH('1Př1'!$A$35,N77)),MAX($M$2:M76)+1,0)</f>
        <v>75</v>
      </c>
      <c r="S77" s="419" t="s">
        <v>1215</v>
      </c>
      <c r="T77" t="str">
        <f>IFERROR(VLOOKUP(ROWS($T$3:T77),$R$3:$S$992,2,0),"")</f>
        <v>Pojištění,zajištění a penzijní financování,kromě povinného soc.zabezpečení</v>
      </c>
      <c r="U77">
        <f>IF(ISNUMBER(SEARCH('1Př1'!$A$36,N77)),MAX($M$2:M76)+1,0)</f>
        <v>75</v>
      </c>
      <c r="V77" s="419" t="s">
        <v>1215</v>
      </c>
      <c r="W77" t="str">
        <f>IFERROR(VLOOKUP(ROWS($W$3:W77),$U$3:$V$992,2,0),"")</f>
        <v>Pojištění,zajištění a penzijní financování,kromě povinného soc.zabezpečení</v>
      </c>
      <c r="X77">
        <f>IF(ISNUMBER(SEARCH('1Př1'!$A$37,N77)),MAX($M$2:M76)+1,0)</f>
        <v>75</v>
      </c>
      <c r="Y77" s="419" t="s">
        <v>1215</v>
      </c>
      <c r="Z77" t="str">
        <f>IFERROR(VLOOKUP(ROWS($Z$3:Z77),$X$3:$Y$992,2,0),"")</f>
        <v>Pojištění,zajištění a penzijní financování,kromě povinného soc.zabezpečení</v>
      </c>
    </row>
    <row r="78" spans="1:26" ht="12.75" customHeight="1">
      <c r="A78" s="395"/>
      <c r="B78" s="395"/>
      <c r="C78" s="395"/>
      <c r="D78" s="411">
        <f>IF(ISNUMBER(SEARCH(ZAKL_DATA!$B$14,E78)),MAX($D$2:D77)+1,0)</f>
        <v>76</v>
      </c>
      <c r="E78" s="425" t="s">
        <v>1217</v>
      </c>
      <c r="F78" s="426">
        <v>2406</v>
      </c>
      <c r="G78" s="427"/>
      <c r="H78" s="428" t="str">
        <f>IFERROR(VLOOKUP(ROWS($H$3:H78),$D$3:$E$204,2,0),"")</f>
        <v>OSTROV NAD OHŘÍ</v>
      </c>
      <c r="I78" s="395"/>
      <c r="J78" s="430" t="s">
        <v>1218</v>
      </c>
      <c r="K78" s="417" t="s">
        <v>1219</v>
      </c>
      <c r="M78" s="418">
        <f>IF(ISNUMBER(SEARCH(ZAKL_DATA!$B$29,N78)),MAX($M$2:M77)+1,0)</f>
        <v>76</v>
      </c>
      <c r="N78" s="419" t="s">
        <v>1220</v>
      </c>
      <c r="O78" s="420" t="s">
        <v>1221</v>
      </c>
      <c r="P78" s="421"/>
      <c r="Q78" s="422" t="str">
        <f>IFERROR(VLOOKUP(ROWS($Q$3:Q78),$M$3:$N$992,2,0),"")</f>
        <v>Ostatní finanční činnosti</v>
      </c>
      <c r="R78">
        <f>IF(ISNUMBER(SEARCH('1Př1'!$A$35,N78)),MAX($M$2:M77)+1,0)</f>
        <v>76</v>
      </c>
      <c r="S78" s="419" t="s">
        <v>1220</v>
      </c>
      <c r="T78" t="str">
        <f>IFERROR(VLOOKUP(ROWS($T$3:T78),$R$3:$S$992,2,0),"")</f>
        <v>Ostatní finanční činnosti</v>
      </c>
      <c r="U78">
        <f>IF(ISNUMBER(SEARCH('1Př1'!$A$36,N78)),MAX($M$2:M77)+1,0)</f>
        <v>76</v>
      </c>
      <c r="V78" s="419" t="s">
        <v>1220</v>
      </c>
      <c r="W78" t="str">
        <f>IFERROR(VLOOKUP(ROWS($W$3:W78),$U$3:$V$992,2,0),"")</f>
        <v>Ostatní finanční činnosti</v>
      </c>
      <c r="X78">
        <f>IF(ISNUMBER(SEARCH('1Př1'!$A$37,N78)),MAX($M$2:M77)+1,0)</f>
        <v>76</v>
      </c>
      <c r="Y78" s="419" t="s">
        <v>1220</v>
      </c>
      <c r="Z78" t="str">
        <f>IFERROR(VLOOKUP(ROWS($Z$3:Z78),$X$3:$Y$992,2,0),"")</f>
        <v>Ostatní finanční činnosti</v>
      </c>
    </row>
    <row r="79" spans="1:26" ht="12.75" customHeight="1">
      <c r="A79" s="395"/>
      <c r="B79" s="395"/>
      <c r="C79" s="395"/>
      <c r="D79" s="411">
        <f>IF(ISNUMBER(SEARCH(ZAKL_DATA!$B$14,E79)),MAX($D$2:D78)+1,0)</f>
        <v>77</v>
      </c>
      <c r="E79" s="425" t="s">
        <v>1222</v>
      </c>
      <c r="F79" s="426">
        <v>2407</v>
      </c>
      <c r="G79" s="427"/>
      <c r="H79" s="428" t="str">
        <f>IFERROR(VLOOKUP(ROWS($H$3:H79),$D$3:$E$204,2,0),"")</f>
        <v>SOKOLOV</v>
      </c>
      <c r="I79" s="395"/>
      <c r="J79" s="430" t="s">
        <v>1223</v>
      </c>
      <c r="K79" s="417" t="s">
        <v>1224</v>
      </c>
      <c r="M79" s="418">
        <f>IF(ISNUMBER(SEARCH(ZAKL_DATA!$B$29,N79)),MAX($M$2:M78)+1,0)</f>
        <v>77</v>
      </c>
      <c r="N79" s="419" t="s">
        <v>1225</v>
      </c>
      <c r="O79" s="420" t="s">
        <v>1226</v>
      </c>
      <c r="P79" s="421"/>
      <c r="Q79" s="422" t="str">
        <f>IFERROR(VLOOKUP(ROWS($Q$3:Q79),$M$3:$N$992,2,0),"")</f>
        <v>Činnosti v oblasti nemovitostí</v>
      </c>
      <c r="R79">
        <f>IF(ISNUMBER(SEARCH('1Př1'!$A$35,N79)),MAX($M$2:M78)+1,0)</f>
        <v>77</v>
      </c>
      <c r="S79" s="419" t="s">
        <v>1225</v>
      </c>
      <c r="T79" t="str">
        <f>IFERROR(VLOOKUP(ROWS($T$3:T79),$R$3:$S$992,2,0),"")</f>
        <v>Činnosti v oblasti nemovitostí</v>
      </c>
      <c r="U79">
        <f>IF(ISNUMBER(SEARCH('1Př1'!$A$36,N79)),MAX($M$2:M78)+1,0)</f>
        <v>77</v>
      </c>
      <c r="V79" s="419" t="s">
        <v>1225</v>
      </c>
      <c r="W79" t="str">
        <f>IFERROR(VLOOKUP(ROWS($W$3:W79),$U$3:$V$992,2,0),"")</f>
        <v>Činnosti v oblasti nemovitostí</v>
      </c>
      <c r="X79">
        <f>IF(ISNUMBER(SEARCH('1Př1'!$A$37,N79)),MAX($M$2:M78)+1,0)</f>
        <v>77</v>
      </c>
      <c r="Y79" s="419" t="s">
        <v>1225</v>
      </c>
      <c r="Z79" t="str">
        <f>IFERROR(VLOOKUP(ROWS($Z$3:Z79),$X$3:$Y$992,2,0),"")</f>
        <v>Činnosti v oblasti nemovitostí</v>
      </c>
    </row>
    <row r="80" spans="1:26" ht="12.75" customHeight="1">
      <c r="A80" s="395"/>
      <c r="B80" s="395"/>
      <c r="C80" s="395"/>
      <c r="D80" s="411">
        <f>IF(ISNUMBER(SEARCH(ZAKL_DATA!$B$14,E80)),MAX($D$2:D79)+1,0)</f>
        <v>78</v>
      </c>
      <c r="E80" s="425" t="s">
        <v>1227</v>
      </c>
      <c r="F80" s="426">
        <v>2501</v>
      </c>
      <c r="G80" s="427"/>
      <c r="H80" s="428" t="str">
        <f>IFERROR(VLOOKUP(ROWS($H$3:H80),$D$3:$E$204,2,0),"")</f>
        <v>ÚSTÍ NAD LABEM</v>
      </c>
      <c r="I80" s="395"/>
      <c r="J80" s="430" t="s">
        <v>1228</v>
      </c>
      <c r="K80" s="417" t="s">
        <v>1229</v>
      </c>
      <c r="M80" s="418">
        <f>IF(ISNUMBER(SEARCH(ZAKL_DATA!$B$29,N80)),MAX($M$2:M79)+1,0)</f>
        <v>78</v>
      </c>
      <c r="N80" s="419" t="s">
        <v>1230</v>
      </c>
      <c r="O80" s="420" t="s">
        <v>1231</v>
      </c>
      <c r="P80" s="421"/>
      <c r="Q80" s="422" t="str">
        <f>IFERROR(VLOOKUP(ROWS($Q$3:Q80),$M$3:$N$992,2,0),"")</f>
        <v>Právní a účetnické činnosti</v>
      </c>
      <c r="R80">
        <f>IF(ISNUMBER(SEARCH('1Př1'!$A$35,N80)),MAX($M$2:M79)+1,0)</f>
        <v>78</v>
      </c>
      <c r="S80" s="419" t="s">
        <v>1230</v>
      </c>
      <c r="T80" t="str">
        <f>IFERROR(VLOOKUP(ROWS($T$3:T80),$R$3:$S$992,2,0),"")</f>
        <v>Právní a účetnické činnosti</v>
      </c>
      <c r="U80">
        <f>IF(ISNUMBER(SEARCH('1Př1'!$A$36,N80)),MAX($M$2:M79)+1,0)</f>
        <v>78</v>
      </c>
      <c r="V80" s="419" t="s">
        <v>1230</v>
      </c>
      <c r="W80" t="str">
        <f>IFERROR(VLOOKUP(ROWS($W$3:W80),$U$3:$V$992,2,0),"")</f>
        <v>Právní a účetnické činnosti</v>
      </c>
      <c r="X80">
        <f>IF(ISNUMBER(SEARCH('1Př1'!$A$37,N80)),MAX($M$2:M79)+1,0)</f>
        <v>78</v>
      </c>
      <c r="Y80" s="419" t="s">
        <v>1230</v>
      </c>
      <c r="Z80" t="str">
        <f>IFERROR(VLOOKUP(ROWS($Z$3:Z80),$X$3:$Y$992,2,0),"")</f>
        <v>Právní a účetnické činnosti</v>
      </c>
    </row>
    <row r="81" spans="1:26" ht="12.75" customHeight="1">
      <c r="A81" s="395"/>
      <c r="B81" s="395"/>
      <c r="C81" s="395"/>
      <c r="D81" s="411">
        <f>IF(ISNUMBER(SEARCH(ZAKL_DATA!$B$14,E81)),MAX($D$2:D80)+1,0)</f>
        <v>79</v>
      </c>
      <c r="E81" s="425" t="s">
        <v>1232</v>
      </c>
      <c r="F81" s="426">
        <v>2502</v>
      </c>
      <c r="G81" s="427"/>
      <c r="H81" s="428" t="str">
        <f>IFERROR(VLOOKUP(ROWS($H$3:H81),$D$3:$E$204,2,0),"")</f>
        <v>BÍLINA</v>
      </c>
      <c r="I81" s="395"/>
      <c r="J81" s="430" t="s">
        <v>1233</v>
      </c>
      <c r="K81" s="417" t="s">
        <v>1234</v>
      </c>
      <c r="M81" s="418">
        <f>IF(ISNUMBER(SEARCH(ZAKL_DATA!$B$29,N81)),MAX($M$2:M80)+1,0)</f>
        <v>79</v>
      </c>
      <c r="N81" s="419" t="s">
        <v>1235</v>
      </c>
      <c r="O81" s="420" t="s">
        <v>1236</v>
      </c>
      <c r="P81" s="421"/>
      <c r="Q81" s="422" t="str">
        <f>IFERROR(VLOOKUP(ROWS($Q$3:Q81),$M$3:$N$992,2,0),"")</f>
        <v>Činnosti vedení podniků; poradenství v oblasti řízení</v>
      </c>
      <c r="R81">
        <f>IF(ISNUMBER(SEARCH('1Př1'!$A$35,N81)),MAX($M$2:M80)+1,0)</f>
        <v>79</v>
      </c>
      <c r="S81" s="419" t="s">
        <v>1235</v>
      </c>
      <c r="T81" t="str">
        <f>IFERROR(VLOOKUP(ROWS($T$3:T81),$R$3:$S$992,2,0),"")</f>
        <v>Činnosti vedení podniků; poradenství v oblasti řízení</v>
      </c>
      <c r="U81">
        <f>IF(ISNUMBER(SEARCH('1Př1'!$A$36,N81)),MAX($M$2:M80)+1,0)</f>
        <v>79</v>
      </c>
      <c r="V81" s="419" t="s">
        <v>1235</v>
      </c>
      <c r="W81" t="str">
        <f>IFERROR(VLOOKUP(ROWS($W$3:W81),$U$3:$V$992,2,0),"")</f>
        <v>Činnosti vedení podniků; poradenství v oblasti řízení</v>
      </c>
      <c r="X81">
        <f>IF(ISNUMBER(SEARCH('1Př1'!$A$37,N81)),MAX($M$2:M80)+1,0)</f>
        <v>79</v>
      </c>
      <c r="Y81" s="419" t="s">
        <v>1235</v>
      </c>
      <c r="Z81" t="str">
        <f>IFERROR(VLOOKUP(ROWS($Z$3:Z81),$X$3:$Y$992,2,0),"")</f>
        <v>Činnosti vedení podniků; poradenství v oblasti řízení</v>
      </c>
    </row>
    <row r="82" spans="1:26" ht="12.75" customHeight="1">
      <c r="A82" s="395"/>
      <c r="B82" s="395"/>
      <c r="C82" s="395"/>
      <c r="D82" s="411">
        <f>IF(ISNUMBER(SEARCH(ZAKL_DATA!$B$14,E82)),MAX($D$2:D81)+1,0)</f>
        <v>80</v>
      </c>
      <c r="E82" s="425" t="s">
        <v>1237</v>
      </c>
      <c r="F82" s="426">
        <v>2503</v>
      </c>
      <c r="G82" s="427"/>
      <c r="H82" s="428" t="str">
        <f>IFERROR(VLOOKUP(ROWS($H$3:H82),$D$3:$E$204,2,0),"")</f>
        <v>DĚČÍN</v>
      </c>
      <c r="I82" s="395"/>
      <c r="J82" s="430" t="s">
        <v>1238</v>
      </c>
      <c r="K82" s="417" t="s">
        <v>1239</v>
      </c>
      <c r="M82" s="418">
        <f>IF(ISNUMBER(SEARCH(ZAKL_DATA!$B$29,N82)),MAX($M$2:M81)+1,0)</f>
        <v>80</v>
      </c>
      <c r="N82" s="419" t="s">
        <v>1240</v>
      </c>
      <c r="O82" s="420" t="s">
        <v>1241</v>
      </c>
      <c r="P82" s="421"/>
      <c r="Q82" s="422" t="str">
        <f>IFERROR(VLOOKUP(ROWS($Q$3:Q82),$M$3:$N$992,2,0),"")</f>
        <v>Architektonické a inženýrské činnosti; technické zkoušky a analýzy</v>
      </c>
      <c r="R82">
        <f>IF(ISNUMBER(SEARCH('1Př1'!$A$35,N82)),MAX($M$2:M81)+1,0)</f>
        <v>80</v>
      </c>
      <c r="S82" s="419" t="s">
        <v>1240</v>
      </c>
      <c r="T82" t="str">
        <f>IFERROR(VLOOKUP(ROWS($T$3:T82),$R$3:$S$992,2,0),"")</f>
        <v>Architektonické a inženýrské činnosti; technické zkoušky a analýzy</v>
      </c>
      <c r="U82">
        <f>IF(ISNUMBER(SEARCH('1Př1'!$A$36,N82)),MAX($M$2:M81)+1,0)</f>
        <v>80</v>
      </c>
      <c r="V82" s="419" t="s">
        <v>1240</v>
      </c>
      <c r="W82" t="str">
        <f>IFERROR(VLOOKUP(ROWS($W$3:W82),$U$3:$V$992,2,0),"")</f>
        <v>Architektonické a inženýrské činnosti; technické zkoušky a analýzy</v>
      </c>
      <c r="X82">
        <f>IF(ISNUMBER(SEARCH('1Př1'!$A$37,N82)),MAX($M$2:M81)+1,0)</f>
        <v>80</v>
      </c>
      <c r="Y82" s="419" t="s">
        <v>1240</v>
      </c>
      <c r="Z82" t="str">
        <f>IFERROR(VLOOKUP(ROWS($Z$3:Z82),$X$3:$Y$992,2,0),"")</f>
        <v>Architektonické a inženýrské činnosti; technické zkoušky a analýzy</v>
      </c>
    </row>
    <row r="83" spans="1:26" ht="12.75" customHeight="1">
      <c r="A83" s="395"/>
      <c r="B83" s="395"/>
      <c r="C83" s="395"/>
      <c r="D83" s="411">
        <f>IF(ISNUMBER(SEARCH(ZAKL_DATA!$B$14,E83)),MAX($D$2:D82)+1,0)</f>
        <v>81</v>
      </c>
      <c r="E83" s="425" t="s">
        <v>1242</v>
      </c>
      <c r="F83" s="426">
        <v>2504</v>
      </c>
      <c r="G83" s="427"/>
      <c r="H83" s="428" t="str">
        <f>IFERROR(VLOOKUP(ROWS($H$3:H83),$D$3:$E$204,2,0),"")</f>
        <v>CHOMUTOV</v>
      </c>
      <c r="I83" s="395"/>
      <c r="J83" s="430" t="s">
        <v>1243</v>
      </c>
      <c r="K83" s="417" t="s">
        <v>1244</v>
      </c>
      <c r="M83" s="418">
        <f>IF(ISNUMBER(SEARCH(ZAKL_DATA!$B$29,N83)),MAX($M$2:M82)+1,0)</f>
        <v>81</v>
      </c>
      <c r="N83" s="419" t="s">
        <v>1245</v>
      </c>
      <c r="O83" s="420" t="s">
        <v>1246</v>
      </c>
      <c r="P83" s="421"/>
      <c r="Q83" s="422" t="str">
        <f>IFERROR(VLOOKUP(ROWS($Q$3:Q83),$M$3:$N$992,2,0),"")</f>
        <v>Těžba a úprava železných rud</v>
      </c>
      <c r="R83">
        <f>IF(ISNUMBER(SEARCH('1Př1'!$A$35,N83)),MAX($M$2:M82)+1,0)</f>
        <v>81</v>
      </c>
      <c r="S83" s="419" t="s">
        <v>1245</v>
      </c>
      <c r="T83" t="str">
        <f>IFERROR(VLOOKUP(ROWS($T$3:T83),$R$3:$S$992,2,0),"")</f>
        <v>Těžba a úprava železných rud</v>
      </c>
      <c r="U83">
        <f>IF(ISNUMBER(SEARCH('1Př1'!$A$36,N83)),MAX($M$2:M82)+1,0)</f>
        <v>81</v>
      </c>
      <c r="V83" s="419" t="s">
        <v>1245</v>
      </c>
      <c r="W83" t="str">
        <f>IFERROR(VLOOKUP(ROWS($W$3:W83),$U$3:$V$992,2,0),"")</f>
        <v>Těžba a úprava železných rud</v>
      </c>
      <c r="X83">
        <f>IF(ISNUMBER(SEARCH('1Př1'!$A$37,N83)),MAX($M$2:M82)+1,0)</f>
        <v>81</v>
      </c>
      <c r="Y83" s="419" t="s">
        <v>1245</v>
      </c>
      <c r="Z83" t="str">
        <f>IFERROR(VLOOKUP(ROWS($Z$3:Z83),$X$3:$Y$992,2,0),"")</f>
        <v>Těžba a úprava železných rud</v>
      </c>
    </row>
    <row r="84" spans="1:26" ht="12.75" customHeight="1">
      <c r="A84" s="395"/>
      <c r="B84" s="395"/>
      <c r="C84" s="395"/>
      <c r="D84" s="411">
        <f>IF(ISNUMBER(SEARCH(ZAKL_DATA!$B$14,E84)),MAX($D$2:D83)+1,0)</f>
        <v>82</v>
      </c>
      <c r="E84" s="425" t="s">
        <v>1247</v>
      </c>
      <c r="F84" s="426">
        <v>2505</v>
      </c>
      <c r="G84" s="427"/>
      <c r="H84" s="428" t="str">
        <f>IFERROR(VLOOKUP(ROWS($H$3:H84),$D$3:$E$204,2,0),"")</f>
        <v>KADAŇ</v>
      </c>
      <c r="I84" s="395"/>
      <c r="J84" s="434" t="s">
        <v>1248</v>
      </c>
      <c r="K84" s="435" t="s">
        <v>1249</v>
      </c>
      <c r="M84" s="418">
        <f>IF(ISNUMBER(SEARCH(ZAKL_DATA!$B$29,N84)),MAX($M$2:M83)+1,0)</f>
        <v>82</v>
      </c>
      <c r="N84" s="419" t="s">
        <v>1250</v>
      </c>
      <c r="O84" s="420" t="s">
        <v>1251</v>
      </c>
      <c r="P84" s="421"/>
      <c r="Q84" s="422" t="str">
        <f>IFERROR(VLOOKUP(ROWS($Q$3:Q84),$M$3:$N$992,2,0),"")</f>
        <v>Výzkum a vývoj</v>
      </c>
      <c r="R84">
        <f>IF(ISNUMBER(SEARCH('1Př1'!$A$35,N84)),MAX($M$2:M83)+1,0)</f>
        <v>82</v>
      </c>
      <c r="S84" s="419" t="s">
        <v>1250</v>
      </c>
      <c r="T84" t="str">
        <f>IFERROR(VLOOKUP(ROWS($T$3:T84),$R$3:$S$992,2,0),"")</f>
        <v>Výzkum a vývoj</v>
      </c>
      <c r="U84">
        <f>IF(ISNUMBER(SEARCH('1Př1'!$A$36,N84)),MAX($M$2:M83)+1,0)</f>
        <v>82</v>
      </c>
      <c r="V84" s="419" t="s">
        <v>1250</v>
      </c>
      <c r="W84" t="str">
        <f>IFERROR(VLOOKUP(ROWS($W$3:W84),$U$3:$V$992,2,0),"")</f>
        <v>Výzkum a vývoj</v>
      </c>
      <c r="X84">
        <f>IF(ISNUMBER(SEARCH('1Př1'!$A$37,N84)),MAX($M$2:M83)+1,0)</f>
        <v>82</v>
      </c>
      <c r="Y84" s="419" t="s">
        <v>1250</v>
      </c>
      <c r="Z84" t="str">
        <f>IFERROR(VLOOKUP(ROWS($Z$3:Z84),$X$3:$Y$992,2,0),"")</f>
        <v>Výzkum a vývoj</v>
      </c>
    </row>
    <row r="85" spans="1:26" ht="12.75" customHeight="1">
      <c r="A85" s="395"/>
      <c r="B85" s="395"/>
      <c r="C85" s="395"/>
      <c r="D85" s="411">
        <f>IF(ISNUMBER(SEARCH(ZAKL_DATA!$B$14,E85)),MAX($D$2:D84)+1,0)</f>
        <v>83</v>
      </c>
      <c r="E85" s="425" t="s">
        <v>1252</v>
      </c>
      <c r="F85" s="426">
        <v>2506</v>
      </c>
      <c r="G85" s="427"/>
      <c r="H85" s="428" t="str">
        <f>IFERROR(VLOOKUP(ROWS($H$3:H85),$D$3:$E$204,2,0),"")</f>
        <v>LIBOCHOVICE</v>
      </c>
      <c r="I85" s="395"/>
      <c r="J85" s="430" t="s">
        <v>1253</v>
      </c>
      <c r="K85" s="417" t="s">
        <v>1254</v>
      </c>
      <c r="M85" s="418">
        <f>IF(ISNUMBER(SEARCH(ZAKL_DATA!$B$29,N85)),MAX($M$2:M84)+1,0)</f>
        <v>83</v>
      </c>
      <c r="N85" s="419" t="s">
        <v>1255</v>
      </c>
      <c r="O85" s="420" t="s">
        <v>1256</v>
      </c>
      <c r="P85" s="421"/>
      <c r="Q85" s="422" t="str">
        <f>IFERROR(VLOOKUP(ROWS($Q$3:Q85),$M$3:$N$992,2,0),"")</f>
        <v>Těžba a úprava neželezných rud</v>
      </c>
      <c r="R85">
        <f>IF(ISNUMBER(SEARCH('1Př1'!$A$35,N85)),MAX($M$2:M84)+1,0)</f>
        <v>83</v>
      </c>
      <c r="S85" s="419" t="s">
        <v>1255</v>
      </c>
      <c r="T85" t="str">
        <f>IFERROR(VLOOKUP(ROWS($T$3:T85),$R$3:$S$992,2,0),"")</f>
        <v>Těžba a úprava neželezných rud</v>
      </c>
      <c r="U85">
        <f>IF(ISNUMBER(SEARCH('1Př1'!$A$36,N85)),MAX($M$2:M84)+1,0)</f>
        <v>83</v>
      </c>
      <c r="V85" s="419" t="s">
        <v>1255</v>
      </c>
      <c r="W85" t="str">
        <f>IFERROR(VLOOKUP(ROWS($W$3:W85),$U$3:$V$992,2,0),"")</f>
        <v>Těžba a úprava neželezných rud</v>
      </c>
      <c r="X85">
        <f>IF(ISNUMBER(SEARCH('1Př1'!$A$37,N85)),MAX($M$2:M84)+1,0)</f>
        <v>83</v>
      </c>
      <c r="Y85" s="419" t="s">
        <v>1255</v>
      </c>
      <c r="Z85" t="str">
        <f>IFERROR(VLOOKUP(ROWS($Z$3:Z85),$X$3:$Y$992,2,0),"")</f>
        <v>Těžba a úprava neželezných rud</v>
      </c>
    </row>
    <row r="86" spans="1:26" ht="12.75" customHeight="1">
      <c r="A86" s="395"/>
      <c r="B86" s="395"/>
      <c r="C86" s="395"/>
      <c r="D86" s="411">
        <f>IF(ISNUMBER(SEARCH(ZAKL_DATA!$B$14,E86)),MAX($D$2:D85)+1,0)</f>
        <v>84</v>
      </c>
      <c r="E86" s="425" t="s">
        <v>1257</v>
      </c>
      <c r="F86" s="426">
        <v>2507</v>
      </c>
      <c r="G86" s="427"/>
      <c r="H86" s="428" t="str">
        <f>IFERROR(VLOOKUP(ROWS($H$3:H86),$D$3:$E$204,2,0),"")</f>
        <v>LITOMĚŘICE</v>
      </c>
      <c r="I86" s="395"/>
      <c r="J86" s="430" t="s">
        <v>1258</v>
      </c>
      <c r="K86" s="417" t="s">
        <v>1259</v>
      </c>
      <c r="M86" s="418">
        <f>IF(ISNUMBER(SEARCH(ZAKL_DATA!$B$29,N86)),MAX($M$2:M85)+1,0)</f>
        <v>84</v>
      </c>
      <c r="N86" s="419" t="s">
        <v>1260</v>
      </c>
      <c r="O86" s="420" t="s">
        <v>1261</v>
      </c>
      <c r="P86" s="421"/>
      <c r="Q86" s="422" t="str">
        <f>IFERROR(VLOOKUP(ROWS($Q$3:Q86),$M$3:$N$992,2,0),"")</f>
        <v>Reklama a průzkum trhu</v>
      </c>
      <c r="R86">
        <f>IF(ISNUMBER(SEARCH('1Př1'!$A$35,N86)),MAX($M$2:M85)+1,0)</f>
        <v>84</v>
      </c>
      <c r="S86" s="419" t="s">
        <v>1260</v>
      </c>
      <c r="T86" t="str">
        <f>IFERROR(VLOOKUP(ROWS($T$3:T86),$R$3:$S$992,2,0),"")</f>
        <v>Reklama a průzkum trhu</v>
      </c>
      <c r="U86">
        <f>IF(ISNUMBER(SEARCH('1Př1'!$A$36,N86)),MAX($M$2:M85)+1,0)</f>
        <v>84</v>
      </c>
      <c r="V86" s="419" t="s">
        <v>1260</v>
      </c>
      <c r="W86" t="str">
        <f>IFERROR(VLOOKUP(ROWS($W$3:W86),$U$3:$V$992,2,0),"")</f>
        <v>Reklama a průzkum trhu</v>
      </c>
      <c r="X86">
        <f>IF(ISNUMBER(SEARCH('1Př1'!$A$37,N86)),MAX($M$2:M85)+1,0)</f>
        <v>84</v>
      </c>
      <c r="Y86" s="419" t="s">
        <v>1260</v>
      </c>
      <c r="Z86" t="str">
        <f>IFERROR(VLOOKUP(ROWS($Z$3:Z86),$X$3:$Y$992,2,0),"")</f>
        <v>Reklama a průzkum trhu</v>
      </c>
    </row>
    <row r="87" spans="1:26" ht="12.75" customHeight="1">
      <c r="A87" s="395"/>
      <c r="B87" s="395"/>
      <c r="C87" s="395"/>
      <c r="D87" s="411">
        <f>IF(ISNUMBER(SEARCH(ZAKL_DATA!$B$14,E87)),MAX($D$2:D86)+1,0)</f>
        <v>85</v>
      </c>
      <c r="E87" s="425" t="s">
        <v>1262</v>
      </c>
      <c r="F87" s="426">
        <v>2508</v>
      </c>
      <c r="G87" s="427"/>
      <c r="H87" s="428" t="str">
        <f>IFERROR(VLOOKUP(ROWS($H$3:H87),$D$3:$E$204,2,0),"")</f>
        <v>LITVÍNOV</v>
      </c>
      <c r="I87" s="395"/>
      <c r="J87" s="430" t="s">
        <v>1263</v>
      </c>
      <c r="K87" s="417" t="s">
        <v>1264</v>
      </c>
      <c r="M87" s="418">
        <f>IF(ISNUMBER(SEARCH(ZAKL_DATA!$B$29,N87)),MAX($M$2:M86)+1,0)</f>
        <v>85</v>
      </c>
      <c r="N87" s="419" t="s">
        <v>1265</v>
      </c>
      <c r="O87" s="420" t="s">
        <v>1266</v>
      </c>
      <c r="P87" s="421"/>
      <c r="Q87" s="422" t="str">
        <f>IFERROR(VLOOKUP(ROWS($Q$3:Q87),$M$3:$N$992,2,0),"")</f>
        <v>Ostatní profesní, vědecké a technické činnosti</v>
      </c>
      <c r="R87">
        <f>IF(ISNUMBER(SEARCH('1Př1'!$A$35,N87)),MAX($M$2:M86)+1,0)</f>
        <v>85</v>
      </c>
      <c r="S87" s="419" t="s">
        <v>1265</v>
      </c>
      <c r="T87" t="str">
        <f>IFERROR(VLOOKUP(ROWS($T$3:T87),$R$3:$S$992,2,0),"")</f>
        <v>Ostatní profesní, vědecké a technické činnosti</v>
      </c>
      <c r="U87">
        <f>IF(ISNUMBER(SEARCH('1Př1'!$A$36,N87)),MAX($M$2:M86)+1,0)</f>
        <v>85</v>
      </c>
      <c r="V87" s="419" t="s">
        <v>1265</v>
      </c>
      <c r="W87" t="str">
        <f>IFERROR(VLOOKUP(ROWS($W$3:W87),$U$3:$V$992,2,0),"")</f>
        <v>Ostatní profesní, vědecké a technické činnosti</v>
      </c>
      <c r="X87">
        <f>IF(ISNUMBER(SEARCH('1Př1'!$A$37,N87)),MAX($M$2:M86)+1,0)</f>
        <v>85</v>
      </c>
      <c r="Y87" s="419" t="s">
        <v>1265</v>
      </c>
      <c r="Z87" t="str">
        <f>IFERROR(VLOOKUP(ROWS($Z$3:Z87),$X$3:$Y$992,2,0),"")</f>
        <v>Ostatní profesní, vědecké a technické činnosti</v>
      </c>
    </row>
    <row r="88" spans="1:26" ht="12.75" customHeight="1">
      <c r="A88" s="395"/>
      <c r="B88" s="395"/>
      <c r="C88" s="395"/>
      <c r="D88" s="411">
        <f>IF(ISNUMBER(SEARCH(ZAKL_DATA!$B$14,E88)),MAX($D$2:D87)+1,0)</f>
        <v>86</v>
      </c>
      <c r="E88" s="425" t="s">
        <v>1267</v>
      </c>
      <c r="F88" s="426">
        <v>2509</v>
      </c>
      <c r="G88" s="427"/>
      <c r="H88" s="428" t="str">
        <f>IFERROR(VLOOKUP(ROWS($H$3:H88),$D$3:$E$204,2,0),"")</f>
        <v>LOUNY</v>
      </c>
      <c r="I88" s="395"/>
      <c r="J88" s="430" t="s">
        <v>1268</v>
      </c>
      <c r="K88" s="417" t="s">
        <v>1269</v>
      </c>
      <c r="M88" s="418">
        <f>IF(ISNUMBER(SEARCH(ZAKL_DATA!$B$29,N88)),MAX($M$2:M87)+1,0)</f>
        <v>86</v>
      </c>
      <c r="N88" s="419" t="s">
        <v>1270</v>
      </c>
      <c r="O88" s="420" t="s">
        <v>1271</v>
      </c>
      <c r="P88" s="421"/>
      <c r="Q88" s="422" t="str">
        <f>IFERROR(VLOOKUP(ROWS($Q$3:Q88),$M$3:$N$992,2,0),"")</f>
        <v>Veterinární činnosti</v>
      </c>
      <c r="R88">
        <f>IF(ISNUMBER(SEARCH('1Př1'!$A$35,N88)),MAX($M$2:M87)+1,0)</f>
        <v>86</v>
      </c>
      <c r="S88" s="419" t="s">
        <v>1270</v>
      </c>
      <c r="T88" t="str">
        <f>IFERROR(VLOOKUP(ROWS($T$3:T88),$R$3:$S$992,2,0),"")</f>
        <v>Veterinární činnosti</v>
      </c>
      <c r="U88">
        <f>IF(ISNUMBER(SEARCH('1Př1'!$A$36,N88)),MAX($M$2:M87)+1,0)</f>
        <v>86</v>
      </c>
      <c r="V88" s="419" t="s">
        <v>1270</v>
      </c>
      <c r="W88" t="str">
        <f>IFERROR(VLOOKUP(ROWS($W$3:W88),$U$3:$V$992,2,0),"")</f>
        <v>Veterinární činnosti</v>
      </c>
      <c r="X88">
        <f>IF(ISNUMBER(SEARCH('1Př1'!$A$37,N88)),MAX($M$2:M87)+1,0)</f>
        <v>86</v>
      </c>
      <c r="Y88" s="419" t="s">
        <v>1270</v>
      </c>
      <c r="Z88" t="str">
        <f>IFERROR(VLOOKUP(ROWS($Z$3:Z88),$X$3:$Y$992,2,0),"")</f>
        <v>Veterinární činnosti</v>
      </c>
    </row>
    <row r="89" spans="1:26" ht="12.75" customHeight="1">
      <c r="A89" s="395"/>
      <c r="B89" s="395"/>
      <c r="C89" s="395"/>
      <c r="D89" s="411">
        <f>IF(ISNUMBER(SEARCH(ZAKL_DATA!$B$14,E89)),MAX($D$2:D88)+1,0)</f>
        <v>87</v>
      </c>
      <c r="E89" s="425" t="s">
        <v>1272</v>
      </c>
      <c r="F89" s="426">
        <v>2510</v>
      </c>
      <c r="G89" s="427"/>
      <c r="H89" s="428" t="str">
        <f>IFERROR(VLOOKUP(ROWS($H$3:H89),$D$3:$E$204,2,0),"")</f>
        <v>MOST</v>
      </c>
      <c r="I89" s="395"/>
      <c r="J89" s="430" t="s">
        <v>1273</v>
      </c>
      <c r="K89" s="417" t="s">
        <v>1274</v>
      </c>
      <c r="M89" s="418">
        <f>IF(ISNUMBER(SEARCH(ZAKL_DATA!$B$29,N89)),MAX($M$2:M88)+1,0)</f>
        <v>87</v>
      </c>
      <c r="N89" s="419" t="s">
        <v>1275</v>
      </c>
      <c r="O89" s="420" t="s">
        <v>1276</v>
      </c>
      <c r="P89" s="421"/>
      <c r="Q89" s="422" t="str">
        <f>IFERROR(VLOOKUP(ROWS($Q$3:Q89),$M$3:$N$992,2,0),"")</f>
        <v>Činnosti v oblasti pronájmu a operativního leasingu</v>
      </c>
      <c r="R89">
        <f>IF(ISNUMBER(SEARCH('1Př1'!$A$35,N89)),MAX($M$2:M88)+1,0)</f>
        <v>87</v>
      </c>
      <c r="S89" s="419" t="s">
        <v>1275</v>
      </c>
      <c r="T89" t="str">
        <f>IFERROR(VLOOKUP(ROWS($T$3:T89),$R$3:$S$992,2,0),"")</f>
        <v>Činnosti v oblasti pronájmu a operativního leasingu</v>
      </c>
      <c r="U89">
        <f>IF(ISNUMBER(SEARCH('1Př1'!$A$36,N89)),MAX($M$2:M88)+1,0)</f>
        <v>87</v>
      </c>
      <c r="V89" s="419" t="s">
        <v>1275</v>
      </c>
      <c r="W89" t="str">
        <f>IFERROR(VLOOKUP(ROWS($W$3:W89),$U$3:$V$992,2,0),"")</f>
        <v>Činnosti v oblasti pronájmu a operativního leasingu</v>
      </c>
      <c r="X89">
        <f>IF(ISNUMBER(SEARCH('1Př1'!$A$37,N89)),MAX($M$2:M88)+1,0)</f>
        <v>87</v>
      </c>
      <c r="Y89" s="419" t="s">
        <v>1275</v>
      </c>
      <c r="Z89" t="str">
        <f>IFERROR(VLOOKUP(ROWS($Z$3:Z89),$X$3:$Y$992,2,0),"")</f>
        <v>Činnosti v oblasti pronájmu a operativního leasingu</v>
      </c>
    </row>
    <row r="90" spans="1:26" ht="12.75" customHeight="1">
      <c r="A90" s="395"/>
      <c r="B90" s="395"/>
      <c r="C90" s="395"/>
      <c r="D90" s="411">
        <f>IF(ISNUMBER(SEARCH(ZAKL_DATA!$B$14,E90)),MAX($D$2:D89)+1,0)</f>
        <v>88</v>
      </c>
      <c r="E90" s="425" t="s">
        <v>1277</v>
      </c>
      <c r="F90" s="426">
        <v>2511</v>
      </c>
      <c r="G90" s="427"/>
      <c r="H90" s="428" t="str">
        <f>IFERROR(VLOOKUP(ROWS($H$3:H90),$D$3:$E$204,2,0),"")</f>
        <v>PODBOŘANY</v>
      </c>
      <c r="I90" s="395"/>
      <c r="J90" s="430" t="s">
        <v>1278</v>
      </c>
      <c r="K90" s="417" t="s">
        <v>1279</v>
      </c>
      <c r="M90" s="418">
        <f>IF(ISNUMBER(SEARCH(ZAKL_DATA!$B$29,N90)),MAX($M$2:M89)+1,0)</f>
        <v>88</v>
      </c>
      <c r="N90" s="419" t="s">
        <v>1280</v>
      </c>
      <c r="O90" s="420" t="s">
        <v>1281</v>
      </c>
      <c r="P90" s="421"/>
      <c r="Q90" s="422" t="str">
        <f>IFERROR(VLOOKUP(ROWS($Q$3:Q90),$M$3:$N$992,2,0),"")</f>
        <v>Činnosti související se zaměstnáním</v>
      </c>
      <c r="R90">
        <f>IF(ISNUMBER(SEARCH('1Př1'!$A$35,N90)),MAX($M$2:M89)+1,0)</f>
        <v>88</v>
      </c>
      <c r="S90" s="419" t="s">
        <v>1280</v>
      </c>
      <c r="T90" t="str">
        <f>IFERROR(VLOOKUP(ROWS($T$3:T90),$R$3:$S$992,2,0),"")</f>
        <v>Činnosti související se zaměstnáním</v>
      </c>
      <c r="U90">
        <f>IF(ISNUMBER(SEARCH('1Př1'!$A$36,N90)),MAX($M$2:M89)+1,0)</f>
        <v>88</v>
      </c>
      <c r="V90" s="419" t="s">
        <v>1280</v>
      </c>
      <c r="W90" t="str">
        <f>IFERROR(VLOOKUP(ROWS($W$3:W90),$U$3:$V$992,2,0),"")</f>
        <v>Činnosti související se zaměstnáním</v>
      </c>
      <c r="X90">
        <f>IF(ISNUMBER(SEARCH('1Př1'!$A$37,N90)),MAX($M$2:M89)+1,0)</f>
        <v>88</v>
      </c>
      <c r="Y90" s="419" t="s">
        <v>1280</v>
      </c>
      <c r="Z90" t="str">
        <f>IFERROR(VLOOKUP(ROWS($Z$3:Z90),$X$3:$Y$992,2,0),"")</f>
        <v>Činnosti související se zaměstnáním</v>
      </c>
    </row>
    <row r="91" spans="1:26" ht="12.75" customHeight="1">
      <c r="A91" s="395"/>
      <c r="B91" s="395"/>
      <c r="C91" s="395"/>
      <c r="D91" s="411">
        <f>IF(ISNUMBER(SEARCH(ZAKL_DATA!$B$14,E91)),MAX($D$2:D90)+1,0)</f>
        <v>89</v>
      </c>
      <c r="E91" s="425" t="s">
        <v>1282</v>
      </c>
      <c r="F91" s="426">
        <v>2512</v>
      </c>
      <c r="G91" s="427"/>
      <c r="H91" s="428" t="str">
        <f>IFERROR(VLOOKUP(ROWS($H$3:H91),$D$3:$E$204,2,0),"")</f>
        <v>ROUDNICE NAD LABEM</v>
      </c>
      <c r="I91" s="395"/>
      <c r="J91" s="430" t="s">
        <v>1283</v>
      </c>
      <c r="K91" s="417" t="s">
        <v>1284</v>
      </c>
      <c r="M91" s="418">
        <f>IF(ISNUMBER(SEARCH(ZAKL_DATA!$B$29,N91)),MAX($M$2:M90)+1,0)</f>
        <v>89</v>
      </c>
      <c r="N91" s="419" t="s">
        <v>1285</v>
      </c>
      <c r="O91" s="420" t="s">
        <v>1286</v>
      </c>
      <c r="P91" s="421"/>
      <c r="Q91" s="422" t="str">
        <f>IFERROR(VLOOKUP(ROWS($Q$3:Q91),$M$3:$N$992,2,0),"")</f>
        <v>Činnosti cest.agentur,kanceláří a jiné rezervační a související činnosti</v>
      </c>
      <c r="R91">
        <f>IF(ISNUMBER(SEARCH('1Př1'!$A$35,N91)),MAX($M$2:M90)+1,0)</f>
        <v>89</v>
      </c>
      <c r="S91" s="419" t="s">
        <v>1285</v>
      </c>
      <c r="T91" t="str">
        <f>IFERROR(VLOOKUP(ROWS($T$3:T91),$R$3:$S$992,2,0),"")</f>
        <v>Činnosti cest.agentur,kanceláří a jiné rezervační a související činnosti</v>
      </c>
      <c r="U91">
        <f>IF(ISNUMBER(SEARCH('1Př1'!$A$36,N91)),MAX($M$2:M90)+1,0)</f>
        <v>89</v>
      </c>
      <c r="V91" s="419" t="s">
        <v>1285</v>
      </c>
      <c r="W91" t="str">
        <f>IFERROR(VLOOKUP(ROWS($W$3:W91),$U$3:$V$992,2,0),"")</f>
        <v>Činnosti cest.agentur,kanceláří a jiné rezervační a související činnosti</v>
      </c>
      <c r="X91">
        <f>IF(ISNUMBER(SEARCH('1Př1'!$A$37,N91)),MAX($M$2:M90)+1,0)</f>
        <v>89</v>
      </c>
      <c r="Y91" s="419" t="s">
        <v>1285</v>
      </c>
      <c r="Z91" t="str">
        <f>IFERROR(VLOOKUP(ROWS($Z$3:Z91),$X$3:$Y$992,2,0),"")</f>
        <v>Činnosti cest.agentur,kanceláří a jiné rezervační a související činnosti</v>
      </c>
    </row>
    <row r="92" spans="1:26" ht="12.75" customHeight="1">
      <c r="A92" s="395"/>
      <c r="B92" s="395"/>
      <c r="C92" s="395"/>
      <c r="D92" s="411">
        <f>IF(ISNUMBER(SEARCH(ZAKL_DATA!$B$14,E92)),MAX($D$2:D91)+1,0)</f>
        <v>90</v>
      </c>
      <c r="E92" s="425" t="s">
        <v>1287</v>
      </c>
      <c r="F92" s="426">
        <v>2513</v>
      </c>
      <c r="G92" s="427"/>
      <c r="H92" s="428" t="str">
        <f>IFERROR(VLOOKUP(ROWS($H$3:H92),$D$3:$E$204,2,0),"")</f>
        <v>RUMBURK</v>
      </c>
      <c r="I92" s="395"/>
      <c r="J92" s="430" t="s">
        <v>1288</v>
      </c>
      <c r="K92" s="417" t="s">
        <v>1289</v>
      </c>
      <c r="M92" s="418">
        <f>IF(ISNUMBER(SEARCH(ZAKL_DATA!$B$29,N92)),MAX($M$2:M91)+1,0)</f>
        <v>90</v>
      </c>
      <c r="N92" s="419" t="s">
        <v>1290</v>
      </c>
      <c r="O92" s="420" t="s">
        <v>1291</v>
      </c>
      <c r="P92" s="421"/>
      <c r="Q92" s="422" t="str">
        <f>IFERROR(VLOOKUP(ROWS($Q$3:Q92),$M$3:$N$992,2,0),"")</f>
        <v>Bezpečnostní a pátrací činnosti</v>
      </c>
      <c r="R92">
        <f>IF(ISNUMBER(SEARCH('1Př1'!$A$35,N92)),MAX($M$2:M91)+1,0)</f>
        <v>90</v>
      </c>
      <c r="S92" s="419" t="s">
        <v>1290</v>
      </c>
      <c r="T92" t="str">
        <f>IFERROR(VLOOKUP(ROWS($T$3:T92),$R$3:$S$992,2,0),"")</f>
        <v>Bezpečnostní a pátrací činnosti</v>
      </c>
      <c r="U92">
        <f>IF(ISNUMBER(SEARCH('1Př1'!$A$36,N92)),MAX($M$2:M91)+1,0)</f>
        <v>90</v>
      </c>
      <c r="V92" s="419" t="s">
        <v>1290</v>
      </c>
      <c r="W92" t="str">
        <f>IFERROR(VLOOKUP(ROWS($W$3:W92),$U$3:$V$992,2,0),"")</f>
        <v>Bezpečnostní a pátrací činnosti</v>
      </c>
      <c r="X92">
        <f>IF(ISNUMBER(SEARCH('1Př1'!$A$37,N92)),MAX($M$2:M91)+1,0)</f>
        <v>90</v>
      </c>
      <c r="Y92" s="419" t="s">
        <v>1290</v>
      </c>
      <c r="Z92" t="str">
        <f>IFERROR(VLOOKUP(ROWS($Z$3:Z92),$X$3:$Y$992,2,0),"")</f>
        <v>Bezpečnostní a pátrací činnosti</v>
      </c>
    </row>
    <row r="93" spans="1:26" ht="12.75" customHeight="1">
      <c r="A93" s="395"/>
      <c r="B93" s="395"/>
      <c r="C93" s="395"/>
      <c r="D93" s="411">
        <f>IF(ISNUMBER(SEARCH(ZAKL_DATA!$B$14,E93)),MAX($D$2:D92)+1,0)</f>
        <v>91</v>
      </c>
      <c r="E93" s="425" t="s">
        <v>1292</v>
      </c>
      <c r="F93" s="426">
        <v>2514</v>
      </c>
      <c r="G93" s="427"/>
      <c r="H93" s="428" t="str">
        <f>IFERROR(VLOOKUP(ROWS($H$3:H93),$D$3:$E$204,2,0),"")</f>
        <v>TEPLICE</v>
      </c>
      <c r="I93" s="395"/>
      <c r="J93" s="430" t="s">
        <v>1293</v>
      </c>
      <c r="K93" s="417" t="s">
        <v>1294</v>
      </c>
      <c r="M93" s="418">
        <f>IF(ISNUMBER(SEARCH(ZAKL_DATA!$B$29,N93)),MAX($M$2:M92)+1,0)</f>
        <v>91</v>
      </c>
      <c r="N93" s="419" t="s">
        <v>1295</v>
      </c>
      <c r="O93" s="420" t="s">
        <v>1296</v>
      </c>
      <c r="P93" s="421"/>
      <c r="Q93" s="422" t="str">
        <f>IFERROR(VLOOKUP(ROWS($Q$3:Q93),$M$3:$N$992,2,0),"")</f>
        <v>Činnosti související se stavbami a úpravou krajiny</v>
      </c>
      <c r="R93">
        <f>IF(ISNUMBER(SEARCH('1Př1'!$A$35,N93)),MAX($M$2:M92)+1,0)</f>
        <v>91</v>
      </c>
      <c r="S93" s="419" t="s">
        <v>1295</v>
      </c>
      <c r="T93" t="str">
        <f>IFERROR(VLOOKUP(ROWS($T$3:T93),$R$3:$S$992,2,0),"")</f>
        <v>Činnosti související se stavbami a úpravou krajiny</v>
      </c>
      <c r="U93">
        <f>IF(ISNUMBER(SEARCH('1Př1'!$A$36,N93)),MAX($M$2:M92)+1,0)</f>
        <v>91</v>
      </c>
      <c r="V93" s="419" t="s">
        <v>1295</v>
      </c>
      <c r="W93" t="str">
        <f>IFERROR(VLOOKUP(ROWS($W$3:W93),$U$3:$V$992,2,0),"")</f>
        <v>Činnosti související se stavbami a úpravou krajiny</v>
      </c>
      <c r="X93">
        <f>IF(ISNUMBER(SEARCH('1Př1'!$A$37,N93)),MAX($M$2:M92)+1,0)</f>
        <v>91</v>
      </c>
      <c r="Y93" s="419" t="s">
        <v>1295</v>
      </c>
      <c r="Z93" t="str">
        <f>IFERROR(VLOOKUP(ROWS($Z$3:Z93),$X$3:$Y$992,2,0),"")</f>
        <v>Činnosti související se stavbami a úpravou krajiny</v>
      </c>
    </row>
    <row r="94" spans="1:26" ht="12.75" customHeight="1">
      <c r="A94" s="395"/>
      <c r="B94" s="395"/>
      <c r="C94" s="395"/>
      <c r="D94" s="411">
        <f>IF(ISNUMBER(SEARCH(ZAKL_DATA!$B$14,E94)),MAX($D$2:D93)+1,0)</f>
        <v>92</v>
      </c>
      <c r="E94" s="425" t="s">
        <v>1297</v>
      </c>
      <c r="F94" s="426">
        <v>2515</v>
      </c>
      <c r="G94" s="427"/>
      <c r="H94" s="428" t="str">
        <f>IFERROR(VLOOKUP(ROWS($H$3:H94),$D$3:$E$204,2,0),"")</f>
        <v>ŽATEC</v>
      </c>
      <c r="I94" s="395"/>
      <c r="J94" s="430" t="s">
        <v>1298</v>
      </c>
      <c r="K94" s="417" t="s">
        <v>1299</v>
      </c>
      <c r="M94" s="418">
        <f>IF(ISNUMBER(SEARCH(ZAKL_DATA!$B$29,N94)),MAX($M$2:M93)+1,0)</f>
        <v>92</v>
      </c>
      <c r="N94" s="419" t="s">
        <v>1300</v>
      </c>
      <c r="O94" s="420" t="s">
        <v>1301</v>
      </c>
      <c r="P94" s="421"/>
      <c r="Q94" s="422" t="str">
        <f>IFERROR(VLOOKUP(ROWS($Q$3:Q94),$M$3:$N$992,2,0),"")</f>
        <v>Dobývání kamene, písků a jílů</v>
      </c>
      <c r="R94">
        <f>IF(ISNUMBER(SEARCH('1Př1'!$A$35,N94)),MAX($M$2:M93)+1,0)</f>
        <v>92</v>
      </c>
      <c r="S94" s="419" t="s">
        <v>1300</v>
      </c>
      <c r="T94" t="str">
        <f>IFERROR(VLOOKUP(ROWS($T$3:T94),$R$3:$S$992,2,0),"")</f>
        <v>Dobývání kamene, písků a jílů</v>
      </c>
      <c r="U94">
        <f>IF(ISNUMBER(SEARCH('1Př1'!$A$36,N94)),MAX($M$2:M93)+1,0)</f>
        <v>92</v>
      </c>
      <c r="V94" s="419" t="s">
        <v>1300</v>
      </c>
      <c r="W94" t="str">
        <f>IFERROR(VLOOKUP(ROWS($W$3:W94),$U$3:$V$992,2,0),"")</f>
        <v>Dobývání kamene, písků a jílů</v>
      </c>
      <c r="X94">
        <f>IF(ISNUMBER(SEARCH('1Př1'!$A$37,N94)),MAX($M$2:M93)+1,0)</f>
        <v>92</v>
      </c>
      <c r="Y94" s="419" t="s">
        <v>1300</v>
      </c>
      <c r="Z94" t="str">
        <f>IFERROR(VLOOKUP(ROWS($Z$3:Z94),$X$3:$Y$992,2,0),"")</f>
        <v>Dobývání kamene, písků a jílů</v>
      </c>
    </row>
    <row r="95" spans="1:26" ht="12.75" customHeight="1">
      <c r="A95" s="395"/>
      <c r="B95" s="395"/>
      <c r="C95" s="395"/>
      <c r="D95" s="411">
        <f>IF(ISNUMBER(SEARCH(ZAKL_DATA!$B$14,E95)),MAX($D$2:D94)+1,0)</f>
        <v>93</v>
      </c>
      <c r="E95" s="425" t="s">
        <v>1302</v>
      </c>
      <c r="F95" s="426">
        <v>2601</v>
      </c>
      <c r="G95" s="427"/>
      <c r="H95" s="428" t="str">
        <f>IFERROR(VLOOKUP(ROWS($H$3:H95),$D$3:$E$204,2,0),"")</f>
        <v>LIBEREC</v>
      </c>
      <c r="I95" s="395"/>
      <c r="J95" s="430" t="s">
        <v>1303</v>
      </c>
      <c r="K95" s="417" t="s">
        <v>1304</v>
      </c>
      <c r="M95" s="418">
        <f>IF(ISNUMBER(SEARCH(ZAKL_DATA!$B$29,N95)),MAX($M$2:M94)+1,0)</f>
        <v>93</v>
      </c>
      <c r="N95" s="419" t="s">
        <v>1305</v>
      </c>
      <c r="O95" s="420" t="s">
        <v>1306</v>
      </c>
      <c r="P95" s="421"/>
      <c r="Q95" s="422" t="str">
        <f>IFERROR(VLOOKUP(ROWS($Q$3:Q95),$M$3:$N$992,2,0),"")</f>
        <v>Administrativní, kancelářské a jiné podpůrné činnosti pro podnikání</v>
      </c>
      <c r="R95">
        <f>IF(ISNUMBER(SEARCH('1Př1'!$A$35,N95)),MAX($M$2:M94)+1,0)</f>
        <v>93</v>
      </c>
      <c r="S95" s="419" t="s">
        <v>1305</v>
      </c>
      <c r="T95" t="str">
        <f>IFERROR(VLOOKUP(ROWS($T$3:T95),$R$3:$S$992,2,0),"")</f>
        <v>Administrativní, kancelářské a jiné podpůrné činnosti pro podnikání</v>
      </c>
      <c r="U95">
        <f>IF(ISNUMBER(SEARCH('1Př1'!$A$36,N95)),MAX($M$2:M94)+1,0)</f>
        <v>93</v>
      </c>
      <c r="V95" s="419" t="s">
        <v>1305</v>
      </c>
      <c r="W95" t="str">
        <f>IFERROR(VLOOKUP(ROWS($W$3:W95),$U$3:$V$992,2,0),"")</f>
        <v>Administrativní, kancelářské a jiné podpůrné činnosti pro podnikání</v>
      </c>
      <c r="X95">
        <f>IF(ISNUMBER(SEARCH('1Př1'!$A$37,N95)),MAX($M$2:M94)+1,0)</f>
        <v>93</v>
      </c>
      <c r="Y95" s="419" t="s">
        <v>1305</v>
      </c>
      <c r="Z95" t="str">
        <f>IFERROR(VLOOKUP(ROWS($Z$3:Z95),$X$3:$Y$992,2,0),"")</f>
        <v>Administrativní, kancelářské a jiné podpůrné činnosti pro podnikání</v>
      </c>
    </row>
    <row r="96" spans="1:26" ht="12.75" customHeight="1">
      <c r="A96" s="395"/>
      <c r="B96" s="395"/>
      <c r="C96" s="395"/>
      <c r="D96" s="411">
        <f>IF(ISNUMBER(SEARCH(ZAKL_DATA!$B$14,E96)),MAX($D$2:D95)+1,0)</f>
        <v>94</v>
      </c>
      <c r="E96" s="425" t="s">
        <v>1307</v>
      </c>
      <c r="F96" s="426">
        <v>2602</v>
      </c>
      <c r="G96" s="427"/>
      <c r="H96" s="428" t="str">
        <f>IFERROR(VLOOKUP(ROWS($H$3:H96),$D$3:$E$204,2,0),"")</f>
        <v>ČESKÁ LÍPA</v>
      </c>
      <c r="I96" s="395"/>
      <c r="J96" s="430" t="s">
        <v>1308</v>
      </c>
      <c r="K96" s="417" t="s">
        <v>1309</v>
      </c>
      <c r="M96" s="418">
        <f>IF(ISNUMBER(SEARCH(ZAKL_DATA!$B$29,N96)),MAX($M$2:M95)+1,0)</f>
        <v>94</v>
      </c>
      <c r="N96" s="419" t="s">
        <v>1310</v>
      </c>
      <c r="O96" s="420" t="s">
        <v>1311</v>
      </c>
      <c r="P96" s="421"/>
      <c r="Q96" s="422" t="str">
        <f>IFERROR(VLOOKUP(ROWS($Q$3:Q96),$M$3:$N$992,2,0),"")</f>
        <v>Veřejná správa a obrana; povinné sociální zabezpečení</v>
      </c>
      <c r="R96">
        <f>IF(ISNUMBER(SEARCH('1Př1'!$A$35,N96)),MAX($M$2:M95)+1,0)</f>
        <v>94</v>
      </c>
      <c r="S96" s="419" t="s">
        <v>1310</v>
      </c>
      <c r="T96" t="str">
        <f>IFERROR(VLOOKUP(ROWS($T$3:T96),$R$3:$S$992,2,0),"")</f>
        <v>Veřejná správa a obrana; povinné sociální zabezpečení</v>
      </c>
      <c r="U96">
        <f>IF(ISNUMBER(SEARCH('1Př1'!$A$36,N96)),MAX($M$2:M95)+1,0)</f>
        <v>94</v>
      </c>
      <c r="V96" s="419" t="s">
        <v>1310</v>
      </c>
      <c r="W96" t="str">
        <f>IFERROR(VLOOKUP(ROWS($W$3:W96),$U$3:$V$992,2,0),"")</f>
        <v>Veřejná správa a obrana; povinné sociální zabezpečení</v>
      </c>
      <c r="X96">
        <f>IF(ISNUMBER(SEARCH('1Př1'!$A$37,N96)),MAX($M$2:M95)+1,0)</f>
        <v>94</v>
      </c>
      <c r="Y96" s="419" t="s">
        <v>1310</v>
      </c>
      <c r="Z96" t="str">
        <f>IFERROR(VLOOKUP(ROWS($Z$3:Z96),$X$3:$Y$992,2,0),"")</f>
        <v>Veřejná správa a obrana; povinné sociální zabezpečení</v>
      </c>
    </row>
    <row r="97" spans="1:26" ht="12.75" customHeight="1">
      <c r="A97" s="395"/>
      <c r="B97" s="395"/>
      <c r="C97" s="395"/>
      <c r="D97" s="411">
        <f>IF(ISNUMBER(SEARCH(ZAKL_DATA!$B$14,E97)),MAX($D$2:D96)+1,0)</f>
        <v>95</v>
      </c>
      <c r="E97" s="425" t="s">
        <v>1312</v>
      </c>
      <c r="F97" s="426">
        <v>2603</v>
      </c>
      <c r="G97" s="427"/>
      <c r="H97" s="428" t="str">
        <f>IFERROR(VLOOKUP(ROWS($H$3:H97),$D$3:$E$204,2,0),"")</f>
        <v>FRÝDLANT</v>
      </c>
      <c r="I97" s="395"/>
      <c r="J97" s="430" t="s">
        <v>1313</v>
      </c>
      <c r="K97" s="417" t="s">
        <v>1314</v>
      </c>
      <c r="M97" s="418">
        <f>IF(ISNUMBER(SEARCH(ZAKL_DATA!$B$29,N97)),MAX($M$2:M96)+1,0)</f>
        <v>95</v>
      </c>
      <c r="N97" s="419" t="s">
        <v>1315</v>
      </c>
      <c r="O97" s="420" t="s">
        <v>1316</v>
      </c>
      <c r="P97" s="421"/>
      <c r="Q97" s="422" t="str">
        <f>IFERROR(VLOOKUP(ROWS($Q$3:Q97),$M$3:$N$992,2,0),"")</f>
        <v>Vzdělávání</v>
      </c>
      <c r="R97">
        <f>IF(ISNUMBER(SEARCH('1Př1'!$A$35,N97)),MAX($M$2:M96)+1,0)</f>
        <v>95</v>
      </c>
      <c r="S97" s="419" t="s">
        <v>1315</v>
      </c>
      <c r="T97" t="str">
        <f>IFERROR(VLOOKUP(ROWS($T$3:T97),$R$3:$S$992,2,0),"")</f>
        <v>Vzdělávání</v>
      </c>
      <c r="U97">
        <f>IF(ISNUMBER(SEARCH('1Př1'!$A$36,N97)),MAX($M$2:M96)+1,0)</f>
        <v>95</v>
      </c>
      <c r="V97" s="419" t="s">
        <v>1315</v>
      </c>
      <c r="W97" t="str">
        <f>IFERROR(VLOOKUP(ROWS($W$3:W97),$U$3:$V$992,2,0),"")</f>
        <v>Vzdělávání</v>
      </c>
      <c r="X97">
        <f>IF(ISNUMBER(SEARCH('1Př1'!$A$37,N97)),MAX($M$2:M96)+1,0)</f>
        <v>95</v>
      </c>
      <c r="Y97" s="419" t="s">
        <v>1315</v>
      </c>
      <c r="Z97" t="str">
        <f>IFERROR(VLOOKUP(ROWS($Z$3:Z97),$X$3:$Y$992,2,0),"")</f>
        <v>Vzdělávání</v>
      </c>
    </row>
    <row r="98" spans="1:26" ht="12.75" customHeight="1">
      <c r="A98" s="395"/>
      <c r="B98" s="395"/>
      <c r="C98" s="395"/>
      <c r="D98" s="411">
        <f>IF(ISNUMBER(SEARCH(ZAKL_DATA!$B$14,E98)),MAX($D$2:D97)+1,0)</f>
        <v>96</v>
      </c>
      <c r="E98" s="425" t="s">
        <v>1317</v>
      </c>
      <c r="F98" s="426">
        <v>2604</v>
      </c>
      <c r="G98" s="427"/>
      <c r="H98" s="428" t="str">
        <f>IFERROR(VLOOKUP(ROWS($H$3:H98),$D$3:$E$204,2,0),"")</f>
        <v>JABLONEC NAD NISOU</v>
      </c>
      <c r="I98" s="395"/>
      <c r="J98" s="430" t="s">
        <v>1318</v>
      </c>
      <c r="K98" s="417" t="s">
        <v>1319</v>
      </c>
      <c r="M98" s="418">
        <f>IF(ISNUMBER(SEARCH(ZAKL_DATA!$B$29,N98)),MAX($M$2:M97)+1,0)</f>
        <v>96</v>
      </c>
      <c r="N98" s="419" t="s">
        <v>1320</v>
      </c>
      <c r="O98" s="420" t="s">
        <v>1321</v>
      </c>
      <c r="P98" s="421"/>
      <c r="Q98" s="422" t="str">
        <f>IFERROR(VLOOKUP(ROWS($Q$3:Q98),$M$3:$N$992,2,0),"")</f>
        <v>Zdravotní péče</v>
      </c>
      <c r="R98">
        <f>IF(ISNUMBER(SEARCH('1Př1'!$A$35,N98)),MAX($M$2:M97)+1,0)</f>
        <v>96</v>
      </c>
      <c r="S98" s="419" t="s">
        <v>1320</v>
      </c>
      <c r="T98" t="str">
        <f>IFERROR(VLOOKUP(ROWS($T$3:T98),$R$3:$S$992,2,0),"")</f>
        <v>Zdravotní péče</v>
      </c>
      <c r="U98">
        <f>IF(ISNUMBER(SEARCH('1Př1'!$A$36,N98)),MAX($M$2:M97)+1,0)</f>
        <v>96</v>
      </c>
      <c r="V98" s="419" t="s">
        <v>1320</v>
      </c>
      <c r="W98" t="str">
        <f>IFERROR(VLOOKUP(ROWS($W$3:W98),$U$3:$V$992,2,0),"")</f>
        <v>Zdravotní péče</v>
      </c>
      <c r="X98">
        <f>IF(ISNUMBER(SEARCH('1Př1'!$A$37,N98)),MAX($M$2:M97)+1,0)</f>
        <v>96</v>
      </c>
      <c r="Y98" s="419" t="s">
        <v>1320</v>
      </c>
      <c r="Z98" t="str">
        <f>IFERROR(VLOOKUP(ROWS($Z$3:Z98),$X$3:$Y$992,2,0),"")</f>
        <v>Zdravotní péče</v>
      </c>
    </row>
    <row r="99" spans="1:26" ht="12.75" customHeight="1">
      <c r="A99" s="395"/>
      <c r="B99" s="395"/>
      <c r="C99" s="395"/>
      <c r="D99" s="411">
        <f>IF(ISNUMBER(SEARCH(ZAKL_DATA!$B$14,E99)),MAX($D$2:D98)+1,0)</f>
        <v>97</v>
      </c>
      <c r="E99" s="425" t="s">
        <v>1322</v>
      </c>
      <c r="F99" s="426">
        <v>2605</v>
      </c>
      <c r="G99" s="427"/>
      <c r="H99" s="428" t="str">
        <f>IFERROR(VLOOKUP(ROWS($H$3:H99),$D$3:$E$204,2,0),"")</f>
        <v>JILEMNICE</v>
      </c>
      <c r="I99" s="395"/>
      <c r="J99" s="430" t="s">
        <v>1323</v>
      </c>
      <c r="K99" s="417" t="s">
        <v>1324</v>
      </c>
      <c r="M99" s="418">
        <f>IF(ISNUMBER(SEARCH(ZAKL_DATA!$B$29,N99)),MAX($M$2:M98)+1,0)</f>
        <v>97</v>
      </c>
      <c r="N99" s="419" t="s">
        <v>1325</v>
      </c>
      <c r="O99" s="420" t="s">
        <v>1326</v>
      </c>
      <c r="P99" s="421"/>
      <c r="Q99" s="422" t="str">
        <f>IFERROR(VLOOKUP(ROWS($Q$3:Q99),$M$3:$N$992,2,0),"")</f>
        <v>Pobytové služby sociální péče</v>
      </c>
      <c r="R99">
        <f>IF(ISNUMBER(SEARCH('1Př1'!$A$35,N99)),MAX($M$2:M98)+1,0)</f>
        <v>97</v>
      </c>
      <c r="S99" s="419" t="s">
        <v>1325</v>
      </c>
      <c r="T99" t="str">
        <f>IFERROR(VLOOKUP(ROWS($T$3:T99),$R$3:$S$992,2,0),"")</f>
        <v>Pobytové služby sociální péče</v>
      </c>
      <c r="U99">
        <f>IF(ISNUMBER(SEARCH('1Př1'!$A$36,N99)),MAX($M$2:M98)+1,0)</f>
        <v>97</v>
      </c>
      <c r="V99" s="419" t="s">
        <v>1325</v>
      </c>
      <c r="W99" t="str">
        <f>IFERROR(VLOOKUP(ROWS($W$3:W99),$U$3:$V$992,2,0),"")</f>
        <v>Pobytové služby sociální péče</v>
      </c>
      <c r="X99">
        <f>IF(ISNUMBER(SEARCH('1Př1'!$A$37,N99)),MAX($M$2:M98)+1,0)</f>
        <v>97</v>
      </c>
      <c r="Y99" s="419" t="s">
        <v>1325</v>
      </c>
      <c r="Z99" t="str">
        <f>IFERROR(VLOOKUP(ROWS($Z$3:Z99),$X$3:$Y$992,2,0),"")</f>
        <v>Pobytové služby sociální péče</v>
      </c>
    </row>
    <row r="100" spans="1:26" ht="12.75" customHeight="1">
      <c r="A100" s="395"/>
      <c r="B100" s="395"/>
      <c r="C100" s="395"/>
      <c r="D100" s="411">
        <f>IF(ISNUMBER(SEARCH(ZAKL_DATA!$B$14,E100)),MAX($D$2:D99)+1,0)</f>
        <v>98</v>
      </c>
      <c r="E100" s="425" t="s">
        <v>1327</v>
      </c>
      <c r="F100" s="426">
        <v>2606</v>
      </c>
      <c r="G100" s="427"/>
      <c r="H100" s="428" t="str">
        <f>IFERROR(VLOOKUP(ROWS($H$3:H100),$D$3:$E$204,2,0),"")</f>
        <v>NOVÝ BOR</v>
      </c>
      <c r="I100" s="395"/>
      <c r="J100" s="430" t="s">
        <v>1328</v>
      </c>
      <c r="K100" s="417" t="s">
        <v>1329</v>
      </c>
      <c r="M100" s="418">
        <f>IF(ISNUMBER(SEARCH(ZAKL_DATA!$B$29,N100)),MAX($M$2:M99)+1,0)</f>
        <v>98</v>
      </c>
      <c r="N100" s="419" t="s">
        <v>1330</v>
      </c>
      <c r="O100" s="420" t="s">
        <v>1331</v>
      </c>
      <c r="P100" s="421"/>
      <c r="Q100" s="422" t="str">
        <f>IFERROR(VLOOKUP(ROWS($Q$3:Q100),$M$3:$N$992,2,0),"")</f>
        <v>Ambulantní nebo terénní sociální služby</v>
      </c>
      <c r="R100">
        <f>IF(ISNUMBER(SEARCH('1Př1'!$A$35,N100)),MAX($M$2:M99)+1,0)</f>
        <v>98</v>
      </c>
      <c r="S100" s="419" t="s">
        <v>1330</v>
      </c>
      <c r="T100" t="str">
        <f>IFERROR(VLOOKUP(ROWS($T$3:T100),$R$3:$S$992,2,0),"")</f>
        <v>Ambulantní nebo terénní sociální služby</v>
      </c>
      <c r="U100">
        <f>IF(ISNUMBER(SEARCH('1Př1'!$A$36,N100)),MAX($M$2:M99)+1,0)</f>
        <v>98</v>
      </c>
      <c r="V100" s="419" t="s">
        <v>1330</v>
      </c>
      <c r="W100" t="str">
        <f>IFERROR(VLOOKUP(ROWS($W$3:W100),$U$3:$V$992,2,0),"")</f>
        <v>Ambulantní nebo terénní sociální služby</v>
      </c>
      <c r="X100">
        <f>IF(ISNUMBER(SEARCH('1Př1'!$A$37,N100)),MAX($M$2:M99)+1,0)</f>
        <v>98</v>
      </c>
      <c r="Y100" s="419" t="s">
        <v>1330</v>
      </c>
      <c r="Z100" t="str">
        <f>IFERROR(VLOOKUP(ROWS($Z$3:Z100),$X$3:$Y$992,2,0),"")</f>
        <v>Ambulantní nebo terénní sociální služby</v>
      </c>
    </row>
    <row r="101" spans="1:26" ht="12.75" customHeight="1">
      <c r="A101" s="395"/>
      <c r="B101" s="395"/>
      <c r="C101" s="395"/>
      <c r="D101" s="411">
        <f>IF(ISNUMBER(SEARCH(ZAKL_DATA!$B$14,E101)),MAX($D$2:D100)+1,0)</f>
        <v>99</v>
      </c>
      <c r="E101" s="425" t="s">
        <v>1332</v>
      </c>
      <c r="F101" s="426">
        <v>2607</v>
      </c>
      <c r="G101" s="427"/>
      <c r="H101" s="428" t="str">
        <f>IFERROR(VLOOKUP(ROWS($H$3:H101),$D$3:$E$204,2,0),"")</f>
        <v>SEMILY</v>
      </c>
      <c r="I101" s="395"/>
      <c r="J101" s="430" t="s">
        <v>1333</v>
      </c>
      <c r="K101" s="417" t="s">
        <v>1334</v>
      </c>
      <c r="M101" s="418">
        <f>IF(ISNUMBER(SEARCH(ZAKL_DATA!$B$29,N101)),MAX($M$2:M100)+1,0)</f>
        <v>99</v>
      </c>
      <c r="N101" s="419" t="s">
        <v>1335</v>
      </c>
      <c r="O101" s="420" t="s">
        <v>1336</v>
      </c>
      <c r="P101" s="421"/>
      <c r="Q101" s="422" t="str">
        <f>IFERROR(VLOOKUP(ROWS($Q$3:Q101),$M$3:$N$992,2,0),"")</f>
        <v>Těžba a dobývání j. n.</v>
      </c>
      <c r="R101">
        <f>IF(ISNUMBER(SEARCH('1Př1'!$A$35,N101)),MAX($M$2:M100)+1,0)</f>
        <v>99</v>
      </c>
      <c r="S101" s="419" t="s">
        <v>1335</v>
      </c>
      <c r="T101" t="str">
        <f>IFERROR(VLOOKUP(ROWS($T$3:T101),$R$3:$S$992,2,0),"")</f>
        <v>Těžba a dobývání j. n.</v>
      </c>
      <c r="U101">
        <f>IF(ISNUMBER(SEARCH('1Př1'!$A$36,N101)),MAX($M$2:M100)+1,0)</f>
        <v>99</v>
      </c>
      <c r="V101" s="419" t="s">
        <v>1335</v>
      </c>
      <c r="W101" t="str">
        <f>IFERROR(VLOOKUP(ROWS($W$3:W101),$U$3:$V$992,2,0),"")</f>
        <v>Těžba a dobývání j. n.</v>
      </c>
      <c r="X101">
        <f>IF(ISNUMBER(SEARCH('1Př1'!$A$37,N101)),MAX($M$2:M100)+1,0)</f>
        <v>99</v>
      </c>
      <c r="Y101" s="419" t="s">
        <v>1335</v>
      </c>
      <c r="Z101" t="str">
        <f>IFERROR(VLOOKUP(ROWS($Z$3:Z101),$X$3:$Y$992,2,0),"")</f>
        <v>Těžba a dobývání j. n.</v>
      </c>
    </row>
    <row r="102" spans="1:26" ht="12.75" customHeight="1">
      <c r="A102" s="395"/>
      <c r="B102" s="395"/>
      <c r="C102" s="395"/>
      <c r="D102" s="411">
        <f>IF(ISNUMBER(SEARCH(ZAKL_DATA!$B$14,E102)),MAX($D$2:D101)+1,0)</f>
        <v>100</v>
      </c>
      <c r="E102" s="425" t="s">
        <v>1337</v>
      </c>
      <c r="F102" s="426">
        <v>2608</v>
      </c>
      <c r="G102" s="427"/>
      <c r="H102" s="428" t="str">
        <f>IFERROR(VLOOKUP(ROWS($H$3:H102),$D$3:$E$204,2,0),"")</f>
        <v>TANVALD</v>
      </c>
      <c r="I102" s="395"/>
      <c r="J102" s="430" t="s">
        <v>1338</v>
      </c>
      <c r="K102" s="417" t="s">
        <v>1339</v>
      </c>
      <c r="M102" s="418">
        <f>IF(ISNUMBER(SEARCH(ZAKL_DATA!$B$29,N102)),MAX($M$2:M101)+1,0)</f>
        <v>100</v>
      </c>
      <c r="N102" s="419" t="s">
        <v>1340</v>
      </c>
      <c r="O102" s="420" t="s">
        <v>1341</v>
      </c>
      <c r="P102" s="421"/>
      <c r="Q102" s="422" t="str">
        <f>IFERROR(VLOOKUP(ROWS($Q$3:Q102),$M$3:$N$992,2,0),"")</f>
        <v>Tvůrčí, umělecké a zábavní činnosti</v>
      </c>
      <c r="R102">
        <f>IF(ISNUMBER(SEARCH('1Př1'!$A$35,N102)),MAX($M$2:M101)+1,0)</f>
        <v>100</v>
      </c>
      <c r="S102" s="419" t="s">
        <v>1340</v>
      </c>
      <c r="T102" t="str">
        <f>IFERROR(VLOOKUP(ROWS($T$3:T102),$R$3:$S$992,2,0),"")</f>
        <v>Tvůrčí, umělecké a zábavní činnosti</v>
      </c>
      <c r="U102">
        <f>IF(ISNUMBER(SEARCH('1Př1'!$A$36,N102)),MAX($M$2:M101)+1,0)</f>
        <v>100</v>
      </c>
      <c r="V102" s="419" t="s">
        <v>1340</v>
      </c>
      <c r="W102" t="str">
        <f>IFERROR(VLOOKUP(ROWS($W$3:W102),$U$3:$V$992,2,0),"")</f>
        <v>Tvůrčí, umělecké a zábavní činnosti</v>
      </c>
      <c r="X102">
        <f>IF(ISNUMBER(SEARCH('1Př1'!$A$37,N102)),MAX($M$2:M101)+1,0)</f>
        <v>100</v>
      </c>
      <c r="Y102" s="419" t="s">
        <v>1340</v>
      </c>
      <c r="Z102" t="str">
        <f>IFERROR(VLOOKUP(ROWS($Z$3:Z102),$X$3:$Y$992,2,0),"")</f>
        <v>Tvůrčí, umělecké a zábavní činnosti</v>
      </c>
    </row>
    <row r="103" spans="1:26" ht="12.75" customHeight="1">
      <c r="A103" s="395"/>
      <c r="B103" s="395"/>
      <c r="C103" s="395"/>
      <c r="D103" s="411">
        <f>IF(ISNUMBER(SEARCH(ZAKL_DATA!$B$14,E103)),MAX($D$2:D102)+1,0)</f>
        <v>101</v>
      </c>
      <c r="E103" s="425" t="s">
        <v>1342</v>
      </c>
      <c r="F103" s="426">
        <v>2609</v>
      </c>
      <c r="G103" s="427"/>
      <c r="H103" s="428" t="str">
        <f>IFERROR(VLOOKUP(ROWS($H$3:H103),$D$3:$E$204,2,0),"")</f>
        <v>TURNOV</v>
      </c>
      <c r="I103" s="395"/>
      <c r="J103" s="430" t="s">
        <v>1343</v>
      </c>
      <c r="K103" s="417" t="s">
        <v>1344</v>
      </c>
      <c r="M103" s="418">
        <f>IF(ISNUMBER(SEARCH(ZAKL_DATA!$B$29,N103)),MAX($M$2:M102)+1,0)</f>
        <v>101</v>
      </c>
      <c r="N103" s="419" t="s">
        <v>1345</v>
      </c>
      <c r="O103" s="420" t="s">
        <v>1346</v>
      </c>
      <c r="P103" s="421"/>
      <c r="Q103" s="422" t="str">
        <f>IFERROR(VLOOKUP(ROWS($Q$3:Q103),$M$3:$N$992,2,0),"")</f>
        <v>Činnosti knihoven, archivů, muzeí a jiných kulturních zařízení</v>
      </c>
      <c r="R103">
        <f>IF(ISNUMBER(SEARCH('1Př1'!$A$35,N103)),MAX($M$2:M102)+1,0)</f>
        <v>101</v>
      </c>
      <c r="S103" s="419" t="s">
        <v>1345</v>
      </c>
      <c r="T103" t="str">
        <f>IFERROR(VLOOKUP(ROWS($T$3:T103),$R$3:$S$992,2,0),"")</f>
        <v>Činnosti knihoven, archivů, muzeí a jiných kulturních zařízení</v>
      </c>
      <c r="U103">
        <f>IF(ISNUMBER(SEARCH('1Př1'!$A$36,N103)),MAX($M$2:M102)+1,0)</f>
        <v>101</v>
      </c>
      <c r="V103" s="419" t="s">
        <v>1345</v>
      </c>
      <c r="W103" t="str">
        <f>IFERROR(VLOOKUP(ROWS($W$3:W103),$U$3:$V$992,2,0),"")</f>
        <v>Činnosti knihoven, archivů, muzeí a jiných kulturních zařízení</v>
      </c>
      <c r="X103">
        <f>IF(ISNUMBER(SEARCH('1Př1'!$A$37,N103)),MAX($M$2:M102)+1,0)</f>
        <v>101</v>
      </c>
      <c r="Y103" s="419" t="s">
        <v>1345</v>
      </c>
      <c r="Z103" t="str">
        <f>IFERROR(VLOOKUP(ROWS($Z$3:Z103),$X$3:$Y$992,2,0),"")</f>
        <v>Činnosti knihoven, archivů, muzeí a jiných kulturních zařízení</v>
      </c>
    </row>
    <row r="104" spans="1:26" ht="12.75" customHeight="1">
      <c r="A104" s="395"/>
      <c r="B104" s="395"/>
      <c r="C104" s="395"/>
      <c r="D104" s="411">
        <f>IF(ISNUMBER(SEARCH(ZAKL_DATA!$B$14,E104)),MAX($D$2:D103)+1,0)</f>
        <v>102</v>
      </c>
      <c r="E104" s="425" t="s">
        <v>1347</v>
      </c>
      <c r="F104" s="426">
        <v>2610</v>
      </c>
      <c r="G104" s="427"/>
      <c r="H104" s="428" t="str">
        <f>IFERROR(VLOOKUP(ROWS($H$3:H104),$D$3:$E$204,2,0),"")</f>
        <v>ŽELEZNÝ BROD</v>
      </c>
      <c r="I104" s="395"/>
      <c r="J104" s="430" t="s">
        <v>1348</v>
      </c>
      <c r="K104" s="417" t="s">
        <v>1349</v>
      </c>
      <c r="M104" s="418">
        <f>IF(ISNUMBER(SEARCH(ZAKL_DATA!$B$29,N104)),MAX($M$2:M103)+1,0)</f>
        <v>102</v>
      </c>
      <c r="N104" s="419" t="s">
        <v>1350</v>
      </c>
      <c r="O104" s="420" t="s">
        <v>1351</v>
      </c>
      <c r="P104" s="421"/>
      <c r="Q104" s="422" t="str">
        <f>IFERROR(VLOOKUP(ROWS($Q$3:Q104),$M$3:$N$992,2,0),"")</f>
        <v>Podpůrné činnosti při těžbě ropy a zemního plynu</v>
      </c>
      <c r="R104">
        <f>IF(ISNUMBER(SEARCH('1Př1'!$A$35,N104)),MAX($M$2:M103)+1,0)</f>
        <v>102</v>
      </c>
      <c r="S104" s="419" t="s">
        <v>1350</v>
      </c>
      <c r="T104" t="str">
        <f>IFERROR(VLOOKUP(ROWS($T$3:T104),$R$3:$S$992,2,0),"")</f>
        <v>Podpůrné činnosti při těžbě ropy a zemního plynu</v>
      </c>
      <c r="U104">
        <f>IF(ISNUMBER(SEARCH('1Př1'!$A$36,N104)),MAX($M$2:M103)+1,0)</f>
        <v>102</v>
      </c>
      <c r="V104" s="419" t="s">
        <v>1350</v>
      </c>
      <c r="W104" t="str">
        <f>IFERROR(VLOOKUP(ROWS($W$3:W104),$U$3:$V$992,2,0),"")</f>
        <v>Podpůrné činnosti při těžbě ropy a zemního plynu</v>
      </c>
      <c r="X104">
        <f>IF(ISNUMBER(SEARCH('1Př1'!$A$37,N104)),MAX($M$2:M103)+1,0)</f>
        <v>102</v>
      </c>
      <c r="Y104" s="419" t="s">
        <v>1350</v>
      </c>
      <c r="Z104" t="str">
        <f>IFERROR(VLOOKUP(ROWS($Z$3:Z104),$X$3:$Y$992,2,0),"")</f>
        <v>Podpůrné činnosti při těžbě ropy a zemního plynu</v>
      </c>
    </row>
    <row r="105" spans="1:26" ht="12.75" customHeight="1">
      <c r="A105" s="395"/>
      <c r="B105" s="395"/>
      <c r="C105" s="395"/>
      <c r="D105" s="411">
        <f>IF(ISNUMBER(SEARCH(ZAKL_DATA!$B$14,E105)),MAX($D$2:D104)+1,0)</f>
        <v>103</v>
      </c>
      <c r="E105" s="425" t="s">
        <v>1352</v>
      </c>
      <c r="F105" s="426">
        <v>2701</v>
      </c>
      <c r="G105" s="427"/>
      <c r="H105" s="428" t="str">
        <f>IFERROR(VLOOKUP(ROWS($H$3:H105),$D$3:$E$204,2,0),"")</f>
        <v>HRADEC KRÁLOVÉ</v>
      </c>
      <c r="I105" s="395"/>
      <c r="J105" s="430" t="s">
        <v>1353</v>
      </c>
      <c r="K105" s="417" t="s">
        <v>1354</v>
      </c>
      <c r="M105" s="418">
        <f>IF(ISNUMBER(SEARCH(ZAKL_DATA!$B$29,N105)),MAX($M$2:M104)+1,0)</f>
        <v>103</v>
      </c>
      <c r="N105" s="419" t="s">
        <v>1355</v>
      </c>
      <c r="O105" s="420" t="s">
        <v>1356</v>
      </c>
      <c r="P105" s="421"/>
      <c r="Q105" s="422" t="str">
        <f>IFERROR(VLOOKUP(ROWS($Q$3:Q105),$M$3:$N$992,2,0),"")</f>
        <v>Činnosti heren, kasin a sázkových kanceláří</v>
      </c>
      <c r="R105">
        <f>IF(ISNUMBER(SEARCH('1Př1'!$A$35,N105)),MAX($M$2:M104)+1,0)</f>
        <v>103</v>
      </c>
      <c r="S105" s="419" t="s">
        <v>1355</v>
      </c>
      <c r="T105" t="str">
        <f>IFERROR(VLOOKUP(ROWS($T$3:T105),$R$3:$S$992,2,0),"")</f>
        <v>Činnosti heren, kasin a sázkových kanceláří</v>
      </c>
      <c r="U105">
        <f>IF(ISNUMBER(SEARCH('1Př1'!$A$36,N105)),MAX($M$2:M104)+1,0)</f>
        <v>103</v>
      </c>
      <c r="V105" s="419" t="s">
        <v>1355</v>
      </c>
      <c r="W105" t="str">
        <f>IFERROR(VLOOKUP(ROWS($W$3:W105),$U$3:$V$992,2,0),"")</f>
        <v>Činnosti heren, kasin a sázkových kanceláří</v>
      </c>
      <c r="X105">
        <f>IF(ISNUMBER(SEARCH('1Př1'!$A$37,N105)),MAX($M$2:M104)+1,0)</f>
        <v>103</v>
      </c>
      <c r="Y105" s="419" t="s">
        <v>1355</v>
      </c>
      <c r="Z105" t="str">
        <f>IFERROR(VLOOKUP(ROWS($Z$3:Z105),$X$3:$Y$992,2,0),"")</f>
        <v>Činnosti heren, kasin a sázkových kanceláří</v>
      </c>
    </row>
    <row r="106" spans="1:26" ht="12.75" customHeight="1">
      <c r="A106" s="395"/>
      <c r="B106" s="395"/>
      <c r="C106" s="395"/>
      <c r="D106" s="411">
        <f>IF(ISNUMBER(SEARCH(ZAKL_DATA!$B$14,E106)),MAX($D$2:D105)+1,0)</f>
        <v>104</v>
      </c>
      <c r="E106" s="425" t="s">
        <v>1357</v>
      </c>
      <c r="F106" s="426">
        <v>2702</v>
      </c>
      <c r="G106" s="427"/>
      <c r="H106" s="428" t="str">
        <f>IFERROR(VLOOKUP(ROWS($H$3:H106),$D$3:$E$204,2,0),"")</f>
        <v>BROUMOV</v>
      </c>
      <c r="I106" s="395"/>
      <c r="J106" s="430" t="s">
        <v>1358</v>
      </c>
      <c r="K106" s="417" t="s">
        <v>1359</v>
      </c>
      <c r="M106" s="418">
        <f>IF(ISNUMBER(SEARCH(ZAKL_DATA!$B$29,N106)),MAX($M$2:M105)+1,0)</f>
        <v>104</v>
      </c>
      <c r="N106" s="419" t="s">
        <v>1360</v>
      </c>
      <c r="O106" s="420" t="s">
        <v>1361</v>
      </c>
      <c r="P106" s="421"/>
      <c r="Q106" s="422" t="str">
        <f>IFERROR(VLOOKUP(ROWS($Q$3:Q106),$M$3:$N$992,2,0),"")</f>
        <v>Sportovní, zábavní a rekreační činnosti</v>
      </c>
      <c r="R106">
        <f>IF(ISNUMBER(SEARCH('1Př1'!$A$35,N106)),MAX($M$2:M105)+1,0)</f>
        <v>104</v>
      </c>
      <c r="S106" s="419" t="s">
        <v>1360</v>
      </c>
      <c r="T106" t="str">
        <f>IFERROR(VLOOKUP(ROWS($T$3:T106),$R$3:$S$992,2,0),"")</f>
        <v>Sportovní, zábavní a rekreační činnosti</v>
      </c>
      <c r="U106">
        <f>IF(ISNUMBER(SEARCH('1Př1'!$A$36,N106)),MAX($M$2:M105)+1,0)</f>
        <v>104</v>
      </c>
      <c r="V106" s="419" t="s">
        <v>1360</v>
      </c>
      <c r="W106" t="str">
        <f>IFERROR(VLOOKUP(ROWS($W$3:W106),$U$3:$V$992,2,0),"")</f>
        <v>Sportovní, zábavní a rekreační činnosti</v>
      </c>
      <c r="X106">
        <f>IF(ISNUMBER(SEARCH('1Př1'!$A$37,N106)),MAX($M$2:M105)+1,0)</f>
        <v>104</v>
      </c>
      <c r="Y106" s="419" t="s">
        <v>1360</v>
      </c>
      <c r="Z106" t="str">
        <f>IFERROR(VLOOKUP(ROWS($Z$3:Z106),$X$3:$Y$992,2,0),"")</f>
        <v>Sportovní, zábavní a rekreační činnosti</v>
      </c>
    </row>
    <row r="107" spans="1:26" ht="12.75" customHeight="1">
      <c r="A107" s="395"/>
      <c r="B107" s="395"/>
      <c r="C107" s="395"/>
      <c r="D107" s="411">
        <f>IF(ISNUMBER(SEARCH(ZAKL_DATA!$B$14,E107)),MAX($D$2:D106)+1,0)</f>
        <v>105</v>
      </c>
      <c r="E107" s="425" t="s">
        <v>1362</v>
      </c>
      <c r="F107" s="426">
        <v>2703</v>
      </c>
      <c r="G107" s="427"/>
      <c r="H107" s="428" t="str">
        <f>IFERROR(VLOOKUP(ROWS($H$3:H107),$D$3:$E$204,2,0),"")</f>
        <v>DOBRUŠKA</v>
      </c>
      <c r="I107" s="395"/>
      <c r="J107" s="430" t="s">
        <v>1363</v>
      </c>
      <c r="K107" s="417" t="s">
        <v>1364</v>
      </c>
      <c r="M107" s="418">
        <f>IF(ISNUMBER(SEARCH(ZAKL_DATA!$B$29,N107)),MAX($M$2:M106)+1,0)</f>
        <v>105</v>
      </c>
      <c r="N107" s="419" t="s">
        <v>1365</v>
      </c>
      <c r="O107" s="420" t="s">
        <v>1366</v>
      </c>
      <c r="P107" s="421"/>
      <c r="Q107" s="422" t="str">
        <f>IFERROR(VLOOKUP(ROWS($Q$3:Q107),$M$3:$N$992,2,0),"")</f>
        <v>Činnosti organizací sdružujících osoby za účelem prosazování spol.zájmů</v>
      </c>
      <c r="R107">
        <f>IF(ISNUMBER(SEARCH('1Př1'!$A$35,N107)),MAX($M$2:M106)+1,0)</f>
        <v>105</v>
      </c>
      <c r="S107" s="419" t="s">
        <v>1365</v>
      </c>
      <c r="T107" t="str">
        <f>IFERROR(VLOOKUP(ROWS($T$3:T107),$R$3:$S$992,2,0),"")</f>
        <v>Činnosti organizací sdružujících osoby za účelem prosazování spol.zájmů</v>
      </c>
      <c r="U107">
        <f>IF(ISNUMBER(SEARCH('1Př1'!$A$36,N107)),MAX($M$2:M106)+1,0)</f>
        <v>105</v>
      </c>
      <c r="V107" s="419" t="s">
        <v>1365</v>
      </c>
      <c r="W107" t="str">
        <f>IFERROR(VLOOKUP(ROWS($W$3:W107),$U$3:$V$992,2,0),"")</f>
        <v>Činnosti organizací sdružujících osoby za účelem prosazování spol.zájmů</v>
      </c>
      <c r="X107">
        <f>IF(ISNUMBER(SEARCH('1Př1'!$A$37,N107)),MAX($M$2:M106)+1,0)</f>
        <v>105</v>
      </c>
      <c r="Y107" s="419" t="s">
        <v>1365</v>
      </c>
      <c r="Z107" t="str">
        <f>IFERROR(VLOOKUP(ROWS($Z$3:Z107),$X$3:$Y$992,2,0),"")</f>
        <v>Činnosti organizací sdružujících osoby za účelem prosazování spol.zájmů</v>
      </c>
    </row>
    <row r="108" spans="1:26" ht="12.75" customHeight="1">
      <c r="A108" s="395"/>
      <c r="B108" s="395"/>
      <c r="C108" s="395"/>
      <c r="D108" s="411">
        <f>IF(ISNUMBER(SEARCH(ZAKL_DATA!$B$14,E108)),MAX($D$2:D107)+1,0)</f>
        <v>106</v>
      </c>
      <c r="E108" s="425" t="s">
        <v>1367</v>
      </c>
      <c r="F108" s="426">
        <v>2704</v>
      </c>
      <c r="G108" s="427"/>
      <c r="H108" s="428" t="str">
        <f>IFERROR(VLOOKUP(ROWS($H$3:H108),$D$3:$E$204,2,0),"")</f>
        <v>DVŮR KRÁLOVÉ</v>
      </c>
      <c r="I108" s="395"/>
      <c r="J108" s="430" t="s">
        <v>1368</v>
      </c>
      <c r="K108" s="417" t="s">
        <v>1369</v>
      </c>
      <c r="M108" s="418">
        <f>IF(ISNUMBER(SEARCH(ZAKL_DATA!$B$29,N108)),MAX($M$2:M107)+1,0)</f>
        <v>106</v>
      </c>
      <c r="N108" s="419" t="s">
        <v>1370</v>
      </c>
      <c r="O108" s="420" t="s">
        <v>1371</v>
      </c>
      <c r="P108" s="421"/>
      <c r="Q108" s="422" t="str">
        <f>IFERROR(VLOOKUP(ROWS($Q$3:Q108),$M$3:$N$992,2,0),"")</f>
        <v>Opravy počítačů a výrobků pro osobní potřebu a převážně pro domácnost</v>
      </c>
      <c r="R108">
        <f>IF(ISNUMBER(SEARCH('1Př1'!$A$35,N108)),MAX($M$2:M107)+1,0)</f>
        <v>106</v>
      </c>
      <c r="S108" s="419" t="s">
        <v>1370</v>
      </c>
      <c r="T108" t="str">
        <f>IFERROR(VLOOKUP(ROWS($T$3:T108),$R$3:$S$992,2,0),"")</f>
        <v>Opravy počítačů a výrobků pro osobní potřebu a převážně pro domácnost</v>
      </c>
      <c r="U108">
        <f>IF(ISNUMBER(SEARCH('1Př1'!$A$36,N108)),MAX($M$2:M107)+1,0)</f>
        <v>106</v>
      </c>
      <c r="V108" s="419" t="s">
        <v>1370</v>
      </c>
      <c r="W108" t="str">
        <f>IFERROR(VLOOKUP(ROWS($W$3:W108),$U$3:$V$992,2,0),"")</f>
        <v>Opravy počítačů a výrobků pro osobní potřebu a převážně pro domácnost</v>
      </c>
      <c r="X108">
        <f>IF(ISNUMBER(SEARCH('1Př1'!$A$37,N108)),MAX($M$2:M107)+1,0)</f>
        <v>106</v>
      </c>
      <c r="Y108" s="419" t="s">
        <v>1370</v>
      </c>
      <c r="Z108" t="str">
        <f>IFERROR(VLOOKUP(ROWS($Z$3:Z108),$X$3:$Y$992,2,0),"")</f>
        <v>Opravy počítačů a výrobků pro osobní potřebu a převážně pro domácnost</v>
      </c>
    </row>
    <row r="109" spans="1:26" ht="12.75" customHeight="1">
      <c r="A109" s="395"/>
      <c r="B109" s="395"/>
      <c r="C109" s="395"/>
      <c r="D109" s="411">
        <f>IF(ISNUMBER(SEARCH(ZAKL_DATA!$B$14,E109)),MAX($D$2:D108)+1,0)</f>
        <v>107</v>
      </c>
      <c r="E109" s="425" t="s">
        <v>1372</v>
      </c>
      <c r="F109" s="426">
        <v>2705</v>
      </c>
      <c r="G109" s="427"/>
      <c r="H109" s="428" t="str">
        <f>IFERROR(VLOOKUP(ROWS($H$3:H109),$D$3:$E$204,2,0),"")</f>
        <v>HOŘICE</v>
      </c>
      <c r="I109" s="395"/>
      <c r="J109" s="430" t="s">
        <v>1373</v>
      </c>
      <c r="K109" s="417" t="s">
        <v>1374</v>
      </c>
      <c r="M109" s="418">
        <f>IF(ISNUMBER(SEARCH(ZAKL_DATA!$B$29,N109)),MAX($M$2:M108)+1,0)</f>
        <v>107</v>
      </c>
      <c r="N109" s="419" t="s">
        <v>1375</v>
      </c>
      <c r="O109" s="420" t="s">
        <v>1376</v>
      </c>
      <c r="P109" s="421"/>
      <c r="Q109" s="422" t="str">
        <f>IFERROR(VLOOKUP(ROWS($Q$3:Q109),$M$3:$N$992,2,0),"")</f>
        <v>Poskytování ostatních osobních služeb</v>
      </c>
      <c r="R109">
        <f>IF(ISNUMBER(SEARCH('1Př1'!$A$35,N109)),MAX($M$2:M108)+1,0)</f>
        <v>107</v>
      </c>
      <c r="S109" s="419" t="s">
        <v>1375</v>
      </c>
      <c r="T109" t="str">
        <f>IFERROR(VLOOKUP(ROWS($T$3:T109),$R$3:$S$992,2,0),"")</f>
        <v>Poskytování ostatních osobních služeb</v>
      </c>
      <c r="U109">
        <f>IF(ISNUMBER(SEARCH('1Př1'!$A$36,N109)),MAX($M$2:M108)+1,0)</f>
        <v>107</v>
      </c>
      <c r="V109" s="419" t="s">
        <v>1375</v>
      </c>
      <c r="W109" t="str">
        <f>IFERROR(VLOOKUP(ROWS($W$3:W109),$U$3:$V$992,2,0),"")</f>
        <v>Poskytování ostatních osobních služeb</v>
      </c>
      <c r="X109">
        <f>IF(ISNUMBER(SEARCH('1Př1'!$A$37,N109)),MAX($M$2:M108)+1,0)</f>
        <v>107</v>
      </c>
      <c r="Y109" s="419" t="s">
        <v>1375</v>
      </c>
      <c r="Z109" t="str">
        <f>IFERROR(VLOOKUP(ROWS($Z$3:Z109),$X$3:$Y$992,2,0),"")</f>
        <v>Poskytování ostatních osobních služeb</v>
      </c>
    </row>
    <row r="110" spans="1:26" ht="12.75" customHeight="1">
      <c r="A110" s="395"/>
      <c r="B110" s="395"/>
      <c r="C110" s="395"/>
      <c r="D110" s="411">
        <f>IF(ISNUMBER(SEARCH(ZAKL_DATA!$B$14,E110)),MAX($D$2:D109)+1,0)</f>
        <v>108</v>
      </c>
      <c r="E110" s="425" t="s">
        <v>1377</v>
      </c>
      <c r="F110" s="426">
        <v>2706</v>
      </c>
      <c r="G110" s="427"/>
      <c r="H110" s="428" t="str">
        <f>IFERROR(VLOOKUP(ROWS($H$3:H110),$D$3:$E$204,2,0),"")</f>
        <v>JAROMĚŘ</v>
      </c>
      <c r="I110" s="395"/>
      <c r="J110" s="430" t="s">
        <v>1378</v>
      </c>
      <c r="K110" s="417" t="s">
        <v>1379</v>
      </c>
      <c r="M110" s="418">
        <f>IF(ISNUMBER(SEARCH(ZAKL_DATA!$B$29,N110)),MAX($M$2:M109)+1,0)</f>
        <v>108</v>
      </c>
      <c r="N110" s="419" t="s">
        <v>1380</v>
      </c>
      <c r="O110" s="420" t="s">
        <v>1381</v>
      </c>
      <c r="P110" s="421"/>
      <c r="Q110" s="422" t="str">
        <f>IFERROR(VLOOKUP(ROWS($Q$3:Q110),$M$3:$N$992,2,0),"")</f>
        <v>Činnosti domácností jako zaměstnavatelů domácího personálu</v>
      </c>
      <c r="R110">
        <f>IF(ISNUMBER(SEARCH('1Př1'!$A$35,N110)),MAX($M$2:M109)+1,0)</f>
        <v>108</v>
      </c>
      <c r="S110" s="419" t="s">
        <v>1380</v>
      </c>
      <c r="T110" t="str">
        <f>IFERROR(VLOOKUP(ROWS($T$3:T110),$R$3:$S$992,2,0),"")</f>
        <v>Činnosti domácností jako zaměstnavatelů domácího personálu</v>
      </c>
      <c r="U110">
        <f>IF(ISNUMBER(SEARCH('1Př1'!$A$36,N110)),MAX($M$2:M109)+1,0)</f>
        <v>108</v>
      </c>
      <c r="V110" s="419" t="s">
        <v>1380</v>
      </c>
      <c r="W110" t="str">
        <f>IFERROR(VLOOKUP(ROWS($W$3:W110),$U$3:$V$992,2,0),"")</f>
        <v>Činnosti domácností jako zaměstnavatelů domácího personálu</v>
      </c>
      <c r="X110">
        <f>IF(ISNUMBER(SEARCH('1Př1'!$A$37,N110)),MAX($M$2:M109)+1,0)</f>
        <v>108</v>
      </c>
      <c r="Y110" s="419" t="s">
        <v>1380</v>
      </c>
      <c r="Z110" t="str">
        <f>IFERROR(VLOOKUP(ROWS($Z$3:Z110),$X$3:$Y$992,2,0),"")</f>
        <v>Činnosti domácností jako zaměstnavatelů domácího personálu</v>
      </c>
    </row>
    <row r="111" spans="1:26" ht="12.75" customHeight="1">
      <c r="A111" s="395"/>
      <c r="B111" s="395"/>
      <c r="C111" s="395"/>
      <c r="D111" s="411">
        <f>IF(ISNUMBER(SEARCH(ZAKL_DATA!$B$14,E111)),MAX($D$2:D110)+1,0)</f>
        <v>109</v>
      </c>
      <c r="E111" s="425" t="s">
        <v>1382</v>
      </c>
      <c r="F111" s="426">
        <v>2707</v>
      </c>
      <c r="G111" s="427"/>
      <c r="H111" s="428" t="str">
        <f>IFERROR(VLOOKUP(ROWS($H$3:H111),$D$3:$E$204,2,0),"")</f>
        <v>JIČÍN</v>
      </c>
      <c r="I111" s="395"/>
      <c r="J111" s="430" t="s">
        <v>1383</v>
      </c>
      <c r="K111" s="417" t="s">
        <v>1384</v>
      </c>
      <c r="M111" s="418">
        <f>IF(ISNUMBER(SEARCH(ZAKL_DATA!$B$29,N111)),MAX($M$2:M110)+1,0)</f>
        <v>109</v>
      </c>
      <c r="N111" s="419" t="s">
        <v>1385</v>
      </c>
      <c r="O111" s="420" t="s">
        <v>1386</v>
      </c>
      <c r="P111" s="421"/>
      <c r="Q111" s="422" t="str">
        <f>IFERROR(VLOOKUP(ROWS($Q$3:Q111),$M$3:$N$992,2,0),"")</f>
        <v>Činnosti domác.produk.blíže neurčené výrobky a služby pro vlast.potřebu</v>
      </c>
      <c r="R111">
        <f>IF(ISNUMBER(SEARCH('1Př1'!$A$35,N111)),MAX($M$2:M110)+1,0)</f>
        <v>109</v>
      </c>
      <c r="S111" s="419" t="s">
        <v>1385</v>
      </c>
      <c r="T111" t="str">
        <f>IFERROR(VLOOKUP(ROWS($T$3:T111),$R$3:$S$992,2,0),"")</f>
        <v>Činnosti domác.produk.blíže neurčené výrobky a služby pro vlast.potřebu</v>
      </c>
      <c r="U111">
        <f>IF(ISNUMBER(SEARCH('1Př1'!$A$36,N111)),MAX($M$2:M110)+1,0)</f>
        <v>109</v>
      </c>
      <c r="V111" s="419" t="s">
        <v>1385</v>
      </c>
      <c r="W111" t="str">
        <f>IFERROR(VLOOKUP(ROWS($W$3:W111),$U$3:$V$992,2,0),"")</f>
        <v>Činnosti domác.produk.blíže neurčené výrobky a služby pro vlast.potřebu</v>
      </c>
      <c r="X111">
        <f>IF(ISNUMBER(SEARCH('1Př1'!$A$37,N111)),MAX($M$2:M110)+1,0)</f>
        <v>109</v>
      </c>
      <c r="Y111" s="419" t="s">
        <v>1385</v>
      </c>
      <c r="Z111" t="str">
        <f>IFERROR(VLOOKUP(ROWS($Z$3:Z111),$X$3:$Y$992,2,0),"")</f>
        <v>Činnosti domác.produk.blíže neurčené výrobky a služby pro vlast.potřebu</v>
      </c>
    </row>
    <row r="112" spans="1:26" ht="12.75" customHeight="1">
      <c r="A112" s="395"/>
      <c r="B112" s="395"/>
      <c r="C112" s="395"/>
      <c r="D112" s="411">
        <f>IF(ISNUMBER(SEARCH(ZAKL_DATA!$B$14,E112)),MAX($D$2:D111)+1,0)</f>
        <v>110</v>
      </c>
      <c r="E112" s="425" t="s">
        <v>1387</v>
      </c>
      <c r="F112" s="426">
        <v>2708</v>
      </c>
      <c r="G112" s="427"/>
      <c r="H112" s="428" t="str">
        <f>IFERROR(VLOOKUP(ROWS($H$3:H112),$D$3:$E$204,2,0),"")</f>
        <v>KOSTELEC NAD ORLICÍ</v>
      </c>
      <c r="I112" s="395"/>
      <c r="J112" s="430" t="s">
        <v>1388</v>
      </c>
      <c r="K112" s="417" t="s">
        <v>1389</v>
      </c>
      <c r="M112" s="418">
        <f>IF(ISNUMBER(SEARCH(ZAKL_DATA!$B$29,N112)),MAX($M$2:M111)+1,0)</f>
        <v>110</v>
      </c>
      <c r="N112" s="419" t="s">
        <v>1390</v>
      </c>
      <c r="O112" s="420" t="s">
        <v>1391</v>
      </c>
      <c r="P112" s="421"/>
      <c r="Q112" s="422" t="str">
        <f>IFERROR(VLOOKUP(ROWS($Q$3:Q112),$M$3:$N$992,2,0),"")</f>
        <v>Činnosti exteritoriálních organizací a orgánů</v>
      </c>
      <c r="R112">
        <f>IF(ISNUMBER(SEARCH('1Př1'!$A$35,N112)),MAX($M$2:M111)+1,0)</f>
        <v>110</v>
      </c>
      <c r="S112" s="419" t="s">
        <v>1390</v>
      </c>
      <c r="T112" t="str">
        <f>IFERROR(VLOOKUP(ROWS($T$3:T112),$R$3:$S$992,2,0),"")</f>
        <v>Činnosti exteritoriálních organizací a orgánů</v>
      </c>
      <c r="U112">
        <f>IF(ISNUMBER(SEARCH('1Př1'!$A$36,N112)),MAX($M$2:M111)+1,0)</f>
        <v>110</v>
      </c>
      <c r="V112" s="419" t="s">
        <v>1390</v>
      </c>
      <c r="W112" t="str">
        <f>IFERROR(VLOOKUP(ROWS($W$3:W112),$U$3:$V$992,2,0),"")</f>
        <v>Činnosti exteritoriálních organizací a orgánů</v>
      </c>
      <c r="X112">
        <f>IF(ISNUMBER(SEARCH('1Př1'!$A$37,N112)),MAX($M$2:M111)+1,0)</f>
        <v>110</v>
      </c>
      <c r="Y112" s="419" t="s">
        <v>1390</v>
      </c>
      <c r="Z112" t="str">
        <f>IFERROR(VLOOKUP(ROWS($Z$3:Z112),$X$3:$Y$992,2,0),"")</f>
        <v>Činnosti exteritoriálních organizací a orgánů</v>
      </c>
    </row>
    <row r="113" spans="1:26" ht="12.75" customHeight="1">
      <c r="A113" s="395"/>
      <c r="B113" s="395"/>
      <c r="C113" s="395"/>
      <c r="D113" s="411">
        <f>IF(ISNUMBER(SEARCH(ZAKL_DATA!$B$14,E113)),MAX($D$2:D112)+1,0)</f>
        <v>111</v>
      </c>
      <c r="E113" s="425" t="s">
        <v>1392</v>
      </c>
      <c r="F113" s="426">
        <v>2709</v>
      </c>
      <c r="G113" s="427"/>
      <c r="H113" s="428" t="str">
        <f>IFERROR(VLOOKUP(ROWS($H$3:H113),$D$3:$E$204,2,0),"")</f>
        <v>NÁCHOD</v>
      </c>
      <c r="I113" s="395"/>
      <c r="J113" s="430" t="s">
        <v>1393</v>
      </c>
      <c r="K113" s="417" t="s">
        <v>1394</v>
      </c>
      <c r="M113" s="418">
        <f>IF(ISNUMBER(SEARCH(ZAKL_DATA!$B$29,N113)),MAX($M$2:M112)+1,0)</f>
        <v>111</v>
      </c>
      <c r="N113" s="419" t="s">
        <v>1395</v>
      </c>
      <c r="O113" s="420" t="s">
        <v>1396</v>
      </c>
      <c r="P113" s="421"/>
      <c r="Q113" s="422" t="str">
        <f>IFERROR(VLOOKUP(ROWS($Q$3:Q113),$M$3:$N$992,2,0),"")</f>
        <v>Podpůrné činnosti při ostatní těžbě a dobývání</v>
      </c>
      <c r="R113">
        <f>IF(ISNUMBER(SEARCH('1Př1'!$A$35,N113)),MAX($M$2:M112)+1,0)</f>
        <v>111</v>
      </c>
      <c r="S113" s="419" t="s">
        <v>1395</v>
      </c>
      <c r="T113" t="str">
        <f>IFERROR(VLOOKUP(ROWS($T$3:T113),$R$3:$S$992,2,0),"")</f>
        <v>Podpůrné činnosti při ostatní těžbě a dobývání</v>
      </c>
      <c r="U113">
        <f>IF(ISNUMBER(SEARCH('1Př1'!$A$36,N113)),MAX($M$2:M112)+1,0)</f>
        <v>111</v>
      </c>
      <c r="V113" s="419" t="s">
        <v>1395</v>
      </c>
      <c r="W113" t="str">
        <f>IFERROR(VLOOKUP(ROWS($W$3:W113),$U$3:$V$992,2,0),"")</f>
        <v>Podpůrné činnosti při ostatní těžbě a dobývání</v>
      </c>
      <c r="X113">
        <f>IF(ISNUMBER(SEARCH('1Př1'!$A$37,N113)),MAX($M$2:M112)+1,0)</f>
        <v>111</v>
      </c>
      <c r="Y113" s="419" t="s">
        <v>1395</v>
      </c>
      <c r="Z113" t="str">
        <f>IFERROR(VLOOKUP(ROWS($Z$3:Z113),$X$3:$Y$992,2,0),"")</f>
        <v>Podpůrné činnosti při ostatní těžbě a dobývání</v>
      </c>
    </row>
    <row r="114" spans="1:26" ht="12.75" customHeight="1">
      <c r="A114" s="395"/>
      <c r="B114" s="395"/>
      <c r="C114" s="395"/>
      <c r="D114" s="411">
        <f>IF(ISNUMBER(SEARCH(ZAKL_DATA!$B$14,E114)),MAX($D$2:D113)+1,0)</f>
        <v>112</v>
      </c>
      <c r="E114" s="425" t="s">
        <v>1397</v>
      </c>
      <c r="F114" s="426">
        <v>2710</v>
      </c>
      <c r="G114" s="427"/>
      <c r="H114" s="428" t="str">
        <f>IFERROR(VLOOKUP(ROWS($H$3:H114),$D$3:$E$204,2,0),"")</f>
        <v>NOVÁ PAKA</v>
      </c>
      <c r="I114" s="395"/>
      <c r="J114" s="430" t="s">
        <v>1398</v>
      </c>
      <c r="K114" s="417" t="s">
        <v>1399</v>
      </c>
      <c r="M114" s="418">
        <f>IF(ISNUMBER(SEARCH(ZAKL_DATA!$B$29,N114)),MAX($M$2:M113)+1,0)</f>
        <v>112</v>
      </c>
      <c r="N114" s="419" t="s">
        <v>1400</v>
      </c>
      <c r="O114" s="420" t="s">
        <v>1401</v>
      </c>
      <c r="P114" s="421"/>
      <c r="Q114" s="422" t="str">
        <f>IFERROR(VLOOKUP(ROWS($Q$3:Q114),$M$3:$N$992,2,0),"")</f>
        <v>Zpracování a konzervování masa a výroba masných výrobků</v>
      </c>
      <c r="R114">
        <f>IF(ISNUMBER(SEARCH('1Př1'!$A$35,N114)),MAX($M$2:M113)+1,0)</f>
        <v>112</v>
      </c>
      <c r="S114" s="419" t="s">
        <v>1400</v>
      </c>
      <c r="T114" t="str">
        <f>IFERROR(VLOOKUP(ROWS($T$3:T114),$R$3:$S$992,2,0),"")</f>
        <v>Zpracování a konzervování masa a výroba masných výrobků</v>
      </c>
      <c r="U114">
        <f>IF(ISNUMBER(SEARCH('1Př1'!$A$36,N114)),MAX($M$2:M113)+1,0)</f>
        <v>112</v>
      </c>
      <c r="V114" s="419" t="s">
        <v>1400</v>
      </c>
      <c r="W114" t="str">
        <f>IFERROR(VLOOKUP(ROWS($W$3:W114),$U$3:$V$992,2,0),"")</f>
        <v>Zpracování a konzervování masa a výroba masných výrobků</v>
      </c>
      <c r="X114">
        <f>IF(ISNUMBER(SEARCH('1Př1'!$A$37,N114)),MAX($M$2:M113)+1,0)</f>
        <v>112</v>
      </c>
      <c r="Y114" s="419" t="s">
        <v>1400</v>
      </c>
      <c r="Z114" t="str">
        <f>IFERROR(VLOOKUP(ROWS($Z$3:Z114),$X$3:$Y$992,2,0),"")</f>
        <v>Zpracování a konzervování masa a výroba masných výrobků</v>
      </c>
    </row>
    <row r="115" spans="1:26" ht="12.75" customHeight="1">
      <c r="A115" s="395"/>
      <c r="B115" s="395"/>
      <c r="C115" s="395"/>
      <c r="D115" s="411">
        <f>IF(ISNUMBER(SEARCH(ZAKL_DATA!$B$14,E115)),MAX($D$2:D114)+1,0)</f>
        <v>113</v>
      </c>
      <c r="E115" s="425" t="s">
        <v>1402</v>
      </c>
      <c r="F115" s="426">
        <v>2711</v>
      </c>
      <c r="G115" s="427"/>
      <c r="H115" s="428" t="str">
        <f>IFERROR(VLOOKUP(ROWS($H$3:H115),$D$3:$E$204,2,0),"")</f>
        <v>NOVÝ BYDŽOV</v>
      </c>
      <c r="I115" s="395"/>
      <c r="J115" s="430" t="s">
        <v>1403</v>
      </c>
      <c r="K115" s="417" t="s">
        <v>1404</v>
      </c>
      <c r="M115" s="418">
        <f>IF(ISNUMBER(SEARCH(ZAKL_DATA!$B$29,N115)),MAX($M$2:M114)+1,0)</f>
        <v>113</v>
      </c>
      <c r="N115" s="419" t="s">
        <v>1405</v>
      </c>
      <c r="O115" s="420" t="s">
        <v>1406</v>
      </c>
      <c r="P115" s="421"/>
      <c r="Q115" s="422" t="str">
        <f>IFERROR(VLOOKUP(ROWS($Q$3:Q115),$M$3:$N$992,2,0),"")</f>
        <v>Zpracování a konzervování ryb, korýšů a měkkýšů</v>
      </c>
      <c r="R115">
        <f>IF(ISNUMBER(SEARCH('1Př1'!$A$35,N115)),MAX($M$2:M114)+1,0)</f>
        <v>113</v>
      </c>
      <c r="S115" s="419" t="s">
        <v>1405</v>
      </c>
      <c r="T115" t="str">
        <f>IFERROR(VLOOKUP(ROWS($T$3:T115),$R$3:$S$992,2,0),"")</f>
        <v>Zpracování a konzervování ryb, korýšů a měkkýšů</v>
      </c>
      <c r="U115">
        <f>IF(ISNUMBER(SEARCH('1Př1'!$A$36,N115)),MAX($M$2:M114)+1,0)</f>
        <v>113</v>
      </c>
      <c r="V115" s="419" t="s">
        <v>1405</v>
      </c>
      <c r="W115" t="str">
        <f>IFERROR(VLOOKUP(ROWS($W$3:W115),$U$3:$V$992,2,0),"")</f>
        <v>Zpracování a konzervování ryb, korýšů a měkkýšů</v>
      </c>
      <c r="X115">
        <f>IF(ISNUMBER(SEARCH('1Př1'!$A$37,N115)),MAX($M$2:M114)+1,0)</f>
        <v>113</v>
      </c>
      <c r="Y115" s="419" t="s">
        <v>1405</v>
      </c>
      <c r="Z115" t="str">
        <f>IFERROR(VLOOKUP(ROWS($Z$3:Z115),$X$3:$Y$992,2,0),"")</f>
        <v>Zpracování a konzervování ryb, korýšů a měkkýšů</v>
      </c>
    </row>
    <row r="116" spans="1:26" ht="12.75" customHeight="1">
      <c r="A116" s="395"/>
      <c r="B116" s="395"/>
      <c r="C116" s="395"/>
      <c r="D116" s="411">
        <f>IF(ISNUMBER(SEARCH(ZAKL_DATA!$B$14,E116)),MAX($D$2:D115)+1,0)</f>
        <v>114</v>
      </c>
      <c r="E116" s="425" t="s">
        <v>1407</v>
      </c>
      <c r="F116" s="426">
        <v>2712</v>
      </c>
      <c r="G116" s="427"/>
      <c r="H116" s="428" t="str">
        <f>IFERROR(VLOOKUP(ROWS($H$3:H116),$D$3:$E$204,2,0),"")</f>
        <v>RYCHNOV NAD KNĚŽ.</v>
      </c>
      <c r="I116" s="395"/>
      <c r="J116" s="430" t="s">
        <v>1408</v>
      </c>
      <c r="K116" s="417" t="s">
        <v>1409</v>
      </c>
      <c r="M116" s="418">
        <f>IF(ISNUMBER(SEARCH(ZAKL_DATA!$B$29,N116)),MAX($M$2:M115)+1,0)</f>
        <v>114</v>
      </c>
      <c r="N116" s="419" t="s">
        <v>1410</v>
      </c>
      <c r="O116" s="420" t="s">
        <v>1411</v>
      </c>
      <c r="P116" s="421"/>
      <c r="Q116" s="422" t="str">
        <f>IFERROR(VLOOKUP(ROWS($Q$3:Q116),$M$3:$N$992,2,0),"")</f>
        <v>Zpracování a konzervování ovoce a zeleniny</v>
      </c>
      <c r="R116">
        <f>IF(ISNUMBER(SEARCH('1Př1'!$A$35,N116)),MAX($M$2:M115)+1,0)</f>
        <v>114</v>
      </c>
      <c r="S116" s="419" t="s">
        <v>1410</v>
      </c>
      <c r="T116" t="str">
        <f>IFERROR(VLOOKUP(ROWS($T$3:T116),$R$3:$S$992,2,0),"")</f>
        <v>Zpracování a konzervování ovoce a zeleniny</v>
      </c>
      <c r="U116">
        <f>IF(ISNUMBER(SEARCH('1Př1'!$A$36,N116)),MAX($M$2:M115)+1,0)</f>
        <v>114</v>
      </c>
      <c r="V116" s="419" t="s">
        <v>1410</v>
      </c>
      <c r="W116" t="str">
        <f>IFERROR(VLOOKUP(ROWS($W$3:W116),$U$3:$V$992,2,0),"")</f>
        <v>Zpracování a konzervování ovoce a zeleniny</v>
      </c>
      <c r="X116">
        <f>IF(ISNUMBER(SEARCH('1Př1'!$A$37,N116)),MAX($M$2:M115)+1,0)</f>
        <v>114</v>
      </c>
      <c r="Y116" s="419" t="s">
        <v>1410</v>
      </c>
      <c r="Z116" t="str">
        <f>IFERROR(VLOOKUP(ROWS($Z$3:Z116),$X$3:$Y$992,2,0),"")</f>
        <v>Zpracování a konzervování ovoce a zeleniny</v>
      </c>
    </row>
    <row r="117" spans="1:26" ht="12.75" customHeight="1">
      <c r="A117" s="395"/>
      <c r="B117" s="395"/>
      <c r="C117" s="395"/>
      <c r="D117" s="411">
        <f>IF(ISNUMBER(SEARCH(ZAKL_DATA!$B$14,E117)),MAX($D$2:D116)+1,0)</f>
        <v>115</v>
      </c>
      <c r="E117" s="425" t="s">
        <v>1412</v>
      </c>
      <c r="F117" s="426">
        <v>2713</v>
      </c>
      <c r="G117" s="427"/>
      <c r="H117" s="428" t="str">
        <f>IFERROR(VLOOKUP(ROWS($H$3:H117),$D$3:$E$204,2,0),"")</f>
        <v>TRUTNOV</v>
      </c>
      <c r="I117" s="395"/>
      <c r="J117" s="430" t="s">
        <v>1413</v>
      </c>
      <c r="K117" s="417" t="s">
        <v>1414</v>
      </c>
      <c r="M117" s="418">
        <f>IF(ISNUMBER(SEARCH(ZAKL_DATA!$B$29,N117)),MAX($M$2:M116)+1,0)</f>
        <v>115</v>
      </c>
      <c r="N117" s="419" t="s">
        <v>1415</v>
      </c>
      <c r="O117" s="420" t="s">
        <v>1416</v>
      </c>
      <c r="P117" s="421"/>
      <c r="Q117" s="422" t="str">
        <f>IFERROR(VLOOKUP(ROWS($Q$3:Q117),$M$3:$N$992,2,0),"")</f>
        <v>Výroba rostlinných a živočišných olejů a tuků</v>
      </c>
      <c r="R117">
        <f>IF(ISNUMBER(SEARCH('1Př1'!$A$35,N117)),MAX($M$2:M116)+1,0)</f>
        <v>115</v>
      </c>
      <c r="S117" s="419" t="s">
        <v>1415</v>
      </c>
      <c r="T117" t="str">
        <f>IFERROR(VLOOKUP(ROWS($T$3:T117),$R$3:$S$992,2,0),"")</f>
        <v>Výroba rostlinných a živočišných olejů a tuků</v>
      </c>
      <c r="U117">
        <f>IF(ISNUMBER(SEARCH('1Př1'!$A$36,N117)),MAX($M$2:M116)+1,0)</f>
        <v>115</v>
      </c>
      <c r="V117" s="419" t="s">
        <v>1415</v>
      </c>
      <c r="W117" t="str">
        <f>IFERROR(VLOOKUP(ROWS($W$3:W117),$U$3:$V$992,2,0),"")</f>
        <v>Výroba rostlinných a živočišných olejů a tuků</v>
      </c>
      <c r="X117">
        <f>IF(ISNUMBER(SEARCH('1Př1'!$A$37,N117)),MAX($M$2:M116)+1,0)</f>
        <v>115</v>
      </c>
      <c r="Y117" s="419" t="s">
        <v>1415</v>
      </c>
      <c r="Z117" t="str">
        <f>IFERROR(VLOOKUP(ROWS($Z$3:Z117),$X$3:$Y$992,2,0),"")</f>
        <v>Výroba rostlinných a živočišných olejů a tuků</v>
      </c>
    </row>
    <row r="118" spans="1:26" ht="12.75" customHeight="1">
      <c r="A118" s="395"/>
      <c r="B118" s="395"/>
      <c r="C118" s="395"/>
      <c r="D118" s="411">
        <f>IF(ISNUMBER(SEARCH(ZAKL_DATA!$B$14,E118)),MAX($D$2:D117)+1,0)</f>
        <v>116</v>
      </c>
      <c r="E118" s="425" t="s">
        <v>1417</v>
      </c>
      <c r="F118" s="426">
        <v>2714</v>
      </c>
      <c r="G118" s="427"/>
      <c r="H118" s="428" t="str">
        <f>IFERROR(VLOOKUP(ROWS($H$3:H118),$D$3:$E$204,2,0),"")</f>
        <v>VRCHLABÍ</v>
      </c>
      <c r="I118" s="395"/>
      <c r="J118" s="430" t="s">
        <v>1418</v>
      </c>
      <c r="K118" s="417" t="s">
        <v>1419</v>
      </c>
      <c r="M118" s="418">
        <f>IF(ISNUMBER(SEARCH(ZAKL_DATA!$B$29,N118)),MAX($M$2:M117)+1,0)</f>
        <v>116</v>
      </c>
      <c r="N118" s="419" t="s">
        <v>1420</v>
      </c>
      <c r="O118" s="420" t="s">
        <v>1421</v>
      </c>
      <c r="P118" s="421"/>
      <c r="Q118" s="422" t="str">
        <f>IFERROR(VLOOKUP(ROWS($Q$3:Q118),$M$3:$N$992,2,0),"")</f>
        <v>Výroba mléčných výrobků</v>
      </c>
      <c r="R118">
        <f>IF(ISNUMBER(SEARCH('1Př1'!$A$35,N118)),MAX($M$2:M117)+1,0)</f>
        <v>116</v>
      </c>
      <c r="S118" s="419" t="s">
        <v>1420</v>
      </c>
      <c r="T118" t="str">
        <f>IFERROR(VLOOKUP(ROWS($T$3:T118),$R$3:$S$992,2,0),"")</f>
        <v>Výroba mléčných výrobků</v>
      </c>
      <c r="U118">
        <f>IF(ISNUMBER(SEARCH('1Př1'!$A$36,N118)),MAX($M$2:M117)+1,0)</f>
        <v>116</v>
      </c>
      <c r="V118" s="419" t="s">
        <v>1420</v>
      </c>
      <c r="W118" t="str">
        <f>IFERROR(VLOOKUP(ROWS($W$3:W118),$U$3:$V$992,2,0),"")</f>
        <v>Výroba mléčných výrobků</v>
      </c>
      <c r="X118">
        <f>IF(ISNUMBER(SEARCH('1Př1'!$A$37,N118)),MAX($M$2:M117)+1,0)</f>
        <v>116</v>
      </c>
      <c r="Y118" s="419" t="s">
        <v>1420</v>
      </c>
      <c r="Z118" t="str">
        <f>IFERROR(VLOOKUP(ROWS($Z$3:Z118),$X$3:$Y$992,2,0),"")</f>
        <v>Výroba mléčných výrobků</v>
      </c>
    </row>
    <row r="119" spans="1:26" ht="12.75" customHeight="1">
      <c r="A119" s="395"/>
      <c r="B119" s="395"/>
      <c r="C119" s="395"/>
      <c r="D119" s="411">
        <f>IF(ISNUMBER(SEARCH(ZAKL_DATA!$B$14,E119)),MAX($D$2:D118)+1,0)</f>
        <v>117</v>
      </c>
      <c r="E119" s="425" t="s">
        <v>1422</v>
      </c>
      <c r="F119" s="426">
        <v>2801</v>
      </c>
      <c r="G119" s="427"/>
      <c r="H119" s="428" t="str">
        <f>IFERROR(VLOOKUP(ROWS($H$3:H119),$D$3:$E$204,2,0),"")</f>
        <v>PARDUBICE</v>
      </c>
      <c r="I119" s="395"/>
      <c r="J119" s="430" t="s">
        <v>1423</v>
      </c>
      <c r="K119" s="417" t="s">
        <v>1424</v>
      </c>
      <c r="M119" s="418">
        <f>IF(ISNUMBER(SEARCH(ZAKL_DATA!$B$29,N119)),MAX($M$2:M118)+1,0)</f>
        <v>117</v>
      </c>
      <c r="N119" s="419" t="s">
        <v>1425</v>
      </c>
      <c r="O119" s="420" t="s">
        <v>1426</v>
      </c>
      <c r="P119" s="421"/>
      <c r="Q119" s="422" t="str">
        <f>IFERROR(VLOOKUP(ROWS($Q$3:Q119),$M$3:$N$992,2,0),"")</f>
        <v>Výroba mlýnských a škrobárenských výrobků</v>
      </c>
      <c r="R119">
        <f>IF(ISNUMBER(SEARCH('1Př1'!$A$35,N119)),MAX($M$2:M118)+1,0)</f>
        <v>117</v>
      </c>
      <c r="S119" s="419" t="s">
        <v>1425</v>
      </c>
      <c r="T119" t="str">
        <f>IFERROR(VLOOKUP(ROWS($T$3:T119),$R$3:$S$992,2,0),"")</f>
        <v>Výroba mlýnských a škrobárenských výrobků</v>
      </c>
      <c r="U119">
        <f>IF(ISNUMBER(SEARCH('1Př1'!$A$36,N119)),MAX($M$2:M118)+1,0)</f>
        <v>117</v>
      </c>
      <c r="V119" s="419" t="s">
        <v>1425</v>
      </c>
      <c r="W119" t="str">
        <f>IFERROR(VLOOKUP(ROWS($W$3:W119),$U$3:$V$992,2,0),"")</f>
        <v>Výroba mlýnských a škrobárenských výrobků</v>
      </c>
      <c r="X119">
        <f>IF(ISNUMBER(SEARCH('1Př1'!$A$37,N119)),MAX($M$2:M118)+1,0)</f>
        <v>117</v>
      </c>
      <c r="Y119" s="419" t="s">
        <v>1425</v>
      </c>
      <c r="Z119" t="str">
        <f>IFERROR(VLOOKUP(ROWS($Z$3:Z119),$X$3:$Y$992,2,0),"")</f>
        <v>Výroba mlýnských a škrobárenských výrobků</v>
      </c>
    </row>
    <row r="120" spans="1:26" ht="12.75" customHeight="1">
      <c r="A120" s="395"/>
      <c r="B120" s="395"/>
      <c r="C120" s="395"/>
      <c r="D120" s="411">
        <f>IF(ISNUMBER(SEARCH(ZAKL_DATA!$B$14,E120)),MAX($D$2:D119)+1,0)</f>
        <v>118</v>
      </c>
      <c r="E120" s="425" t="s">
        <v>1427</v>
      </c>
      <c r="F120" s="426">
        <v>2802</v>
      </c>
      <c r="G120" s="427"/>
      <c r="H120" s="428" t="str">
        <f>IFERROR(VLOOKUP(ROWS($H$3:H120),$D$3:$E$204,2,0),"")</f>
        <v>HLINSKO</v>
      </c>
      <c r="I120" s="395"/>
      <c r="J120" s="430" t="s">
        <v>1428</v>
      </c>
      <c r="K120" s="417" t="s">
        <v>1429</v>
      </c>
      <c r="M120" s="418">
        <f>IF(ISNUMBER(SEARCH(ZAKL_DATA!$B$29,N120)),MAX($M$2:M119)+1,0)</f>
        <v>118</v>
      </c>
      <c r="N120" s="419" t="s">
        <v>1430</v>
      </c>
      <c r="O120" s="420" t="s">
        <v>1431</v>
      </c>
      <c r="P120" s="421"/>
      <c r="Q120" s="422" t="str">
        <f>IFERROR(VLOOKUP(ROWS($Q$3:Q120),$M$3:$N$992,2,0),"")</f>
        <v>Výroba pekařských, cukrářských a jiných moučných výrobků</v>
      </c>
      <c r="R120">
        <f>IF(ISNUMBER(SEARCH('1Př1'!$A$35,N120)),MAX($M$2:M119)+1,0)</f>
        <v>118</v>
      </c>
      <c r="S120" s="419" t="s">
        <v>1430</v>
      </c>
      <c r="T120" t="str">
        <f>IFERROR(VLOOKUP(ROWS($T$3:T120),$R$3:$S$992,2,0),"")</f>
        <v>Výroba pekařských, cukrářských a jiných moučných výrobků</v>
      </c>
      <c r="U120">
        <f>IF(ISNUMBER(SEARCH('1Př1'!$A$36,N120)),MAX($M$2:M119)+1,0)</f>
        <v>118</v>
      </c>
      <c r="V120" s="419" t="s">
        <v>1430</v>
      </c>
      <c r="W120" t="str">
        <f>IFERROR(VLOOKUP(ROWS($W$3:W120),$U$3:$V$992,2,0),"")</f>
        <v>Výroba pekařských, cukrářských a jiných moučných výrobků</v>
      </c>
      <c r="X120">
        <f>IF(ISNUMBER(SEARCH('1Př1'!$A$37,N120)),MAX($M$2:M119)+1,0)</f>
        <v>118</v>
      </c>
      <c r="Y120" s="419" t="s">
        <v>1430</v>
      </c>
      <c r="Z120" t="str">
        <f>IFERROR(VLOOKUP(ROWS($Z$3:Z120),$X$3:$Y$992,2,0),"")</f>
        <v>Výroba pekařských, cukrářských a jiných moučných výrobků</v>
      </c>
    </row>
    <row r="121" spans="1:26" ht="12.75" customHeight="1">
      <c r="A121" s="395"/>
      <c r="B121" s="395"/>
      <c r="C121" s="395"/>
      <c r="D121" s="411">
        <f>IF(ISNUMBER(SEARCH(ZAKL_DATA!$B$14,E121)),MAX($D$2:D120)+1,0)</f>
        <v>119</v>
      </c>
      <c r="E121" s="425" t="s">
        <v>1432</v>
      </c>
      <c r="F121" s="426">
        <v>2803</v>
      </c>
      <c r="G121" s="427"/>
      <c r="H121" s="428" t="str">
        <f>IFERROR(VLOOKUP(ROWS($H$3:H121),$D$3:$E$204,2,0),"")</f>
        <v>HOLICE</v>
      </c>
      <c r="I121" s="395"/>
      <c r="J121" s="430" t="s">
        <v>1433</v>
      </c>
      <c r="K121" s="417" t="s">
        <v>1434</v>
      </c>
      <c r="M121" s="418">
        <f>IF(ISNUMBER(SEARCH(ZAKL_DATA!$B$29,N121)),MAX($M$2:M120)+1,0)</f>
        <v>119</v>
      </c>
      <c r="N121" s="419" t="s">
        <v>1435</v>
      </c>
      <c r="O121" s="420" t="s">
        <v>1436</v>
      </c>
      <c r="P121" s="421"/>
      <c r="Q121" s="422" t="str">
        <f>IFERROR(VLOOKUP(ROWS($Q$3:Q121),$M$3:$N$992,2,0),"")</f>
        <v>Výroba ostatních potravinářských výrobků</v>
      </c>
      <c r="R121">
        <f>IF(ISNUMBER(SEARCH('1Př1'!$A$35,N121)),MAX($M$2:M120)+1,0)</f>
        <v>119</v>
      </c>
      <c r="S121" s="419" t="s">
        <v>1435</v>
      </c>
      <c r="T121" t="str">
        <f>IFERROR(VLOOKUP(ROWS($T$3:T121),$R$3:$S$992,2,0),"")</f>
        <v>Výroba ostatních potravinářských výrobků</v>
      </c>
      <c r="U121">
        <f>IF(ISNUMBER(SEARCH('1Př1'!$A$36,N121)),MAX($M$2:M120)+1,0)</f>
        <v>119</v>
      </c>
      <c r="V121" s="419" t="s">
        <v>1435</v>
      </c>
      <c r="W121" t="str">
        <f>IFERROR(VLOOKUP(ROWS($W$3:W121),$U$3:$V$992,2,0),"")</f>
        <v>Výroba ostatních potravinářských výrobků</v>
      </c>
      <c r="X121">
        <f>IF(ISNUMBER(SEARCH('1Př1'!$A$37,N121)),MAX($M$2:M120)+1,0)</f>
        <v>119</v>
      </c>
      <c r="Y121" s="419" t="s">
        <v>1435</v>
      </c>
      <c r="Z121" t="str">
        <f>IFERROR(VLOOKUP(ROWS($Z$3:Z121),$X$3:$Y$992,2,0),"")</f>
        <v>Výroba ostatních potravinářských výrobků</v>
      </c>
    </row>
    <row r="122" spans="1:26" ht="12.75" customHeight="1">
      <c r="A122" s="395"/>
      <c r="B122" s="395"/>
      <c r="C122" s="395"/>
      <c r="D122" s="411">
        <f>IF(ISNUMBER(SEARCH(ZAKL_DATA!$B$14,E122)),MAX($D$2:D121)+1,0)</f>
        <v>120</v>
      </c>
      <c r="E122" s="425" t="s">
        <v>1437</v>
      </c>
      <c r="F122" s="426">
        <v>2804</v>
      </c>
      <c r="G122" s="427"/>
      <c r="H122" s="428" t="str">
        <f>IFERROR(VLOOKUP(ROWS($H$3:H122),$D$3:$E$204,2,0),"")</f>
        <v>CHRUDIM</v>
      </c>
      <c r="I122" s="395"/>
      <c r="J122" s="430" t="s">
        <v>1438</v>
      </c>
      <c r="K122" s="417" t="s">
        <v>1439</v>
      </c>
      <c r="M122" s="418">
        <f>IF(ISNUMBER(SEARCH(ZAKL_DATA!$B$29,N122)),MAX($M$2:M121)+1,0)</f>
        <v>120</v>
      </c>
      <c r="N122" s="419" t="s">
        <v>1440</v>
      </c>
      <c r="O122" s="420" t="s">
        <v>1441</v>
      </c>
      <c r="P122" s="421"/>
      <c r="Q122" s="422" t="str">
        <f>IFERROR(VLOOKUP(ROWS($Q$3:Q122),$M$3:$N$992,2,0),"")</f>
        <v>Výroba průmyslových krmiv</v>
      </c>
      <c r="R122">
        <f>IF(ISNUMBER(SEARCH('1Př1'!$A$35,N122)),MAX($M$2:M121)+1,0)</f>
        <v>120</v>
      </c>
      <c r="S122" s="419" t="s">
        <v>1440</v>
      </c>
      <c r="T122" t="str">
        <f>IFERROR(VLOOKUP(ROWS($T$3:T122),$R$3:$S$992,2,0),"")</f>
        <v>Výroba průmyslových krmiv</v>
      </c>
      <c r="U122">
        <f>IF(ISNUMBER(SEARCH('1Př1'!$A$36,N122)),MAX($M$2:M121)+1,0)</f>
        <v>120</v>
      </c>
      <c r="V122" s="419" t="s">
        <v>1440</v>
      </c>
      <c r="W122" t="str">
        <f>IFERROR(VLOOKUP(ROWS($W$3:W122),$U$3:$V$992,2,0),"")</f>
        <v>Výroba průmyslových krmiv</v>
      </c>
      <c r="X122">
        <f>IF(ISNUMBER(SEARCH('1Př1'!$A$37,N122)),MAX($M$2:M121)+1,0)</f>
        <v>120</v>
      </c>
      <c r="Y122" s="419" t="s">
        <v>1440</v>
      </c>
      <c r="Z122" t="str">
        <f>IFERROR(VLOOKUP(ROWS($Z$3:Z122),$X$3:$Y$992,2,0),"")</f>
        <v>Výroba průmyslových krmiv</v>
      </c>
    </row>
    <row r="123" spans="1:26" ht="12.75" customHeight="1">
      <c r="A123" s="395"/>
      <c r="B123" s="395"/>
      <c r="C123" s="395"/>
      <c r="D123" s="411">
        <f>IF(ISNUMBER(SEARCH(ZAKL_DATA!$B$14,E123)),MAX($D$2:D122)+1,0)</f>
        <v>121</v>
      </c>
      <c r="E123" s="425" t="s">
        <v>1442</v>
      </c>
      <c r="F123" s="426">
        <v>2805</v>
      </c>
      <c r="G123" s="427"/>
      <c r="H123" s="428" t="str">
        <f>IFERROR(VLOOKUP(ROWS($H$3:H123),$D$3:$E$204,2,0),"")</f>
        <v>LITOMYŠL</v>
      </c>
      <c r="I123" s="395"/>
      <c r="J123" s="430" t="s">
        <v>1443</v>
      </c>
      <c r="K123" s="417" t="s">
        <v>1444</v>
      </c>
      <c r="M123" s="418">
        <f>IF(ISNUMBER(SEARCH(ZAKL_DATA!$B$29,N123)),MAX($M$2:M122)+1,0)</f>
        <v>121</v>
      </c>
      <c r="N123" s="419" t="s">
        <v>1445</v>
      </c>
      <c r="O123" s="436" t="s">
        <v>1446</v>
      </c>
      <c r="P123" s="421"/>
      <c r="Q123" s="422" t="str">
        <f>IFERROR(VLOOKUP(ROWS($Q$3:Q123),$M$3:$N$992,2,0),"")</f>
        <v>Pěstování obilovin (kromě rýže), luštěnin a olejnatých semen</v>
      </c>
      <c r="R123">
        <f>IF(ISNUMBER(SEARCH('1Př1'!$A$35,N123)),MAX($M$2:M122)+1,0)</f>
        <v>121</v>
      </c>
      <c r="S123" s="419" t="s">
        <v>1445</v>
      </c>
      <c r="T123" t="str">
        <f>IFERROR(VLOOKUP(ROWS($T$3:T123),$R$3:$S$992,2,0),"")</f>
        <v>Pěstování obilovin (kromě rýže), luštěnin a olejnatých semen</v>
      </c>
      <c r="U123">
        <f>IF(ISNUMBER(SEARCH('1Př1'!$A$36,N123)),MAX($M$2:M122)+1,0)</f>
        <v>121</v>
      </c>
      <c r="V123" s="419" t="s">
        <v>1445</v>
      </c>
      <c r="W123" t="str">
        <f>IFERROR(VLOOKUP(ROWS($W$3:W123),$U$3:$V$992,2,0),"")</f>
        <v>Pěstování obilovin (kromě rýže), luštěnin a olejnatých semen</v>
      </c>
      <c r="X123">
        <f>IF(ISNUMBER(SEARCH('1Př1'!$A$37,N123)),MAX($M$2:M122)+1,0)</f>
        <v>121</v>
      </c>
      <c r="Y123" s="419" t="s">
        <v>1445</v>
      </c>
      <c r="Z123" t="str">
        <f>IFERROR(VLOOKUP(ROWS($Z$3:Z123),$X$3:$Y$992,2,0),"")</f>
        <v>Pěstování obilovin (kromě rýže), luštěnin a olejnatých semen</v>
      </c>
    </row>
    <row r="124" spans="1:26" ht="12.75" customHeight="1">
      <c r="A124" s="395"/>
      <c r="B124" s="395"/>
      <c r="C124" s="395"/>
      <c r="D124" s="411">
        <f>IF(ISNUMBER(SEARCH(ZAKL_DATA!$B$14,E124)),MAX($D$2:D123)+1,0)</f>
        <v>122</v>
      </c>
      <c r="E124" s="425" t="s">
        <v>1447</v>
      </c>
      <c r="F124" s="426">
        <v>2806</v>
      </c>
      <c r="G124" s="427"/>
      <c r="H124" s="428" t="str">
        <f>IFERROR(VLOOKUP(ROWS($H$3:H124),$D$3:$E$204,2,0),"")</f>
        <v>MORAVSKÁ TŘEBOVÁ</v>
      </c>
      <c r="I124" s="395"/>
      <c r="J124" s="437" t="s">
        <v>1448</v>
      </c>
      <c r="K124" s="438" t="s">
        <v>1449</v>
      </c>
      <c r="M124" s="418">
        <f>IF(ISNUMBER(SEARCH(ZAKL_DATA!$B$29,N124)),MAX($M$2:M123)+1,0)</f>
        <v>122</v>
      </c>
      <c r="N124" s="419" t="s">
        <v>1450</v>
      </c>
      <c r="O124" s="436" t="s">
        <v>1451</v>
      </c>
      <c r="P124" s="421"/>
      <c r="Q124" s="422" t="str">
        <f>IFERROR(VLOOKUP(ROWS($Q$3:Q124),$M$3:$N$992,2,0),"")</f>
        <v>Pěstování rýže</v>
      </c>
      <c r="R124">
        <f>IF(ISNUMBER(SEARCH('1Př1'!$A$35,N124)),MAX($M$2:M123)+1,0)</f>
        <v>122</v>
      </c>
      <c r="S124" s="419" t="s">
        <v>1450</v>
      </c>
      <c r="T124" t="str">
        <f>IFERROR(VLOOKUP(ROWS($T$3:T124),$R$3:$S$992,2,0),"")</f>
        <v>Pěstování rýže</v>
      </c>
      <c r="U124">
        <f>IF(ISNUMBER(SEARCH('1Př1'!$A$36,N124)),MAX($M$2:M123)+1,0)</f>
        <v>122</v>
      </c>
      <c r="V124" s="419" t="s">
        <v>1450</v>
      </c>
      <c r="W124" t="str">
        <f>IFERROR(VLOOKUP(ROWS($W$3:W124),$U$3:$V$992,2,0),"")</f>
        <v>Pěstování rýže</v>
      </c>
      <c r="X124">
        <f>IF(ISNUMBER(SEARCH('1Př1'!$A$37,N124)),MAX($M$2:M123)+1,0)</f>
        <v>122</v>
      </c>
      <c r="Y124" s="419" t="s">
        <v>1450</v>
      </c>
      <c r="Z124" t="str">
        <f>IFERROR(VLOOKUP(ROWS($Z$3:Z124),$X$3:$Y$992,2,0),"")</f>
        <v>Pěstování rýže</v>
      </c>
    </row>
    <row r="125" spans="1:26" ht="12.75" customHeight="1">
      <c r="A125" s="395"/>
      <c r="B125" s="395"/>
      <c r="C125" s="395"/>
      <c r="D125" s="411">
        <f>IF(ISNUMBER(SEARCH(ZAKL_DATA!$B$14,E125)),MAX($D$2:D124)+1,0)</f>
        <v>123</v>
      </c>
      <c r="E125" s="425" t="s">
        <v>1452</v>
      </c>
      <c r="F125" s="426">
        <v>2807</v>
      </c>
      <c r="G125" s="427"/>
      <c r="H125" s="428" t="str">
        <f>IFERROR(VLOOKUP(ROWS($H$3:H125),$D$3:$E$204,2,0),"")</f>
        <v>PŘELOUČ</v>
      </c>
      <c r="I125" s="395"/>
      <c r="J125" s="430" t="s">
        <v>1453</v>
      </c>
      <c r="K125" s="417" t="s">
        <v>1454</v>
      </c>
      <c r="M125" s="418">
        <f>IF(ISNUMBER(SEARCH(ZAKL_DATA!$B$29,N125)),MAX($M$2:M124)+1,0)</f>
        <v>123</v>
      </c>
      <c r="N125" s="419" t="s">
        <v>1455</v>
      </c>
      <c r="O125" s="436" t="s">
        <v>1456</v>
      </c>
      <c r="P125" s="421"/>
      <c r="Q125" s="422" t="str">
        <f>IFERROR(VLOOKUP(ROWS($Q$3:Q125),$M$3:$N$992,2,0),"")</f>
        <v>Pěstování zeleniny a melounů, kořenů a hlíz</v>
      </c>
      <c r="R125">
        <f>IF(ISNUMBER(SEARCH('1Př1'!$A$35,N125)),MAX($M$2:M124)+1,0)</f>
        <v>123</v>
      </c>
      <c r="S125" s="419" t="s">
        <v>1455</v>
      </c>
      <c r="T125" t="str">
        <f>IFERROR(VLOOKUP(ROWS($T$3:T125),$R$3:$S$992,2,0),"")</f>
        <v>Pěstování zeleniny a melounů, kořenů a hlíz</v>
      </c>
      <c r="U125">
        <f>IF(ISNUMBER(SEARCH('1Př1'!$A$36,N125)),MAX($M$2:M124)+1,0)</f>
        <v>123</v>
      </c>
      <c r="V125" s="419" t="s">
        <v>1455</v>
      </c>
      <c r="W125" t="str">
        <f>IFERROR(VLOOKUP(ROWS($W$3:W125),$U$3:$V$992,2,0),"")</f>
        <v>Pěstování zeleniny a melounů, kořenů a hlíz</v>
      </c>
      <c r="X125">
        <f>IF(ISNUMBER(SEARCH('1Př1'!$A$37,N125)),MAX($M$2:M124)+1,0)</f>
        <v>123</v>
      </c>
      <c r="Y125" s="419" t="s">
        <v>1455</v>
      </c>
      <c r="Z125" t="str">
        <f>IFERROR(VLOOKUP(ROWS($Z$3:Z125),$X$3:$Y$992,2,0),"")</f>
        <v>Pěstování zeleniny a melounů, kořenů a hlíz</v>
      </c>
    </row>
    <row r="126" spans="1:26" ht="12.75" customHeight="1">
      <c r="A126" s="395"/>
      <c r="B126" s="395"/>
      <c r="C126" s="395"/>
      <c r="D126" s="411">
        <f>IF(ISNUMBER(SEARCH(ZAKL_DATA!$B$14,E126)),MAX($D$2:D125)+1,0)</f>
        <v>124</v>
      </c>
      <c r="E126" s="425" t="s">
        <v>1457</v>
      </c>
      <c r="F126" s="426">
        <v>2808</v>
      </c>
      <c r="G126" s="427"/>
      <c r="H126" s="428" t="str">
        <f>IFERROR(VLOOKUP(ROWS($H$3:H126),$D$3:$E$204,2,0),"")</f>
        <v>SVITAVY</v>
      </c>
      <c r="I126" s="395"/>
      <c r="J126" s="430" t="s">
        <v>1458</v>
      </c>
      <c r="K126" s="417" t="s">
        <v>1459</v>
      </c>
      <c r="M126" s="418">
        <f>IF(ISNUMBER(SEARCH(ZAKL_DATA!$B$29,N126)),MAX($M$2:M125)+1,0)</f>
        <v>124</v>
      </c>
      <c r="N126" s="419" t="s">
        <v>1460</v>
      </c>
      <c r="O126" s="436" t="s">
        <v>1461</v>
      </c>
      <c r="P126" s="421"/>
      <c r="Q126" s="422" t="str">
        <f>IFERROR(VLOOKUP(ROWS($Q$3:Q126),$M$3:$N$992,2,0),"")</f>
        <v>Pěstování tabáku</v>
      </c>
      <c r="R126">
        <f>IF(ISNUMBER(SEARCH('1Př1'!$A$35,N126)),MAX($M$2:M125)+1,0)</f>
        <v>124</v>
      </c>
      <c r="S126" s="419" t="s">
        <v>1460</v>
      </c>
      <c r="T126" t="str">
        <f>IFERROR(VLOOKUP(ROWS($T$3:T126),$R$3:$S$992,2,0),"")</f>
        <v>Pěstování tabáku</v>
      </c>
      <c r="U126">
        <f>IF(ISNUMBER(SEARCH('1Př1'!$A$36,N126)),MAX($M$2:M125)+1,0)</f>
        <v>124</v>
      </c>
      <c r="V126" s="419" t="s">
        <v>1460</v>
      </c>
      <c r="W126" t="str">
        <f>IFERROR(VLOOKUP(ROWS($W$3:W126),$U$3:$V$992,2,0),"")</f>
        <v>Pěstování tabáku</v>
      </c>
      <c r="X126">
        <f>IF(ISNUMBER(SEARCH('1Př1'!$A$37,N126)),MAX($M$2:M125)+1,0)</f>
        <v>124</v>
      </c>
      <c r="Y126" s="419" t="s">
        <v>1460</v>
      </c>
      <c r="Z126" t="str">
        <f>IFERROR(VLOOKUP(ROWS($Z$3:Z126),$X$3:$Y$992,2,0),"")</f>
        <v>Pěstování tabáku</v>
      </c>
    </row>
    <row r="127" spans="1:26" ht="12.75" customHeight="1">
      <c r="A127" s="395"/>
      <c r="B127" s="395"/>
      <c r="C127" s="395"/>
      <c r="D127" s="411">
        <f>IF(ISNUMBER(SEARCH(ZAKL_DATA!$B$14,E127)),MAX($D$2:D126)+1,0)</f>
        <v>125</v>
      </c>
      <c r="E127" s="425" t="s">
        <v>1462</v>
      </c>
      <c r="F127" s="426">
        <v>2809</v>
      </c>
      <c r="G127" s="427"/>
      <c r="H127" s="428" t="str">
        <f>IFERROR(VLOOKUP(ROWS($H$3:H127),$D$3:$E$204,2,0),"")</f>
        <v>ÚSTÍ NAD ORLICÍ</v>
      </c>
      <c r="I127" s="395"/>
      <c r="J127" s="430" t="s">
        <v>1463</v>
      </c>
      <c r="K127" s="417" t="s">
        <v>1464</v>
      </c>
      <c r="M127" s="418">
        <f>IF(ISNUMBER(SEARCH(ZAKL_DATA!$B$29,N127)),MAX($M$2:M126)+1,0)</f>
        <v>125</v>
      </c>
      <c r="N127" s="419" t="s">
        <v>1465</v>
      </c>
      <c r="O127" s="436" t="s">
        <v>1466</v>
      </c>
      <c r="P127" s="421"/>
      <c r="Q127" s="422" t="str">
        <f>IFERROR(VLOOKUP(ROWS($Q$3:Q127),$M$3:$N$992,2,0),"")</f>
        <v>Pěstování přadných rostlin</v>
      </c>
      <c r="R127">
        <f>IF(ISNUMBER(SEARCH('1Př1'!$A$35,N127)),MAX($M$2:M126)+1,0)</f>
        <v>125</v>
      </c>
      <c r="S127" s="419" t="s">
        <v>1465</v>
      </c>
      <c r="T127" t="str">
        <f>IFERROR(VLOOKUP(ROWS($T$3:T127),$R$3:$S$992,2,0),"")</f>
        <v>Pěstování přadných rostlin</v>
      </c>
      <c r="U127">
        <f>IF(ISNUMBER(SEARCH('1Př1'!$A$36,N127)),MAX($M$2:M126)+1,0)</f>
        <v>125</v>
      </c>
      <c r="V127" s="419" t="s">
        <v>1465</v>
      </c>
      <c r="W127" t="str">
        <f>IFERROR(VLOOKUP(ROWS($W$3:W127),$U$3:$V$992,2,0),"")</f>
        <v>Pěstování přadných rostlin</v>
      </c>
      <c r="X127">
        <f>IF(ISNUMBER(SEARCH('1Př1'!$A$37,N127)),MAX($M$2:M126)+1,0)</f>
        <v>125</v>
      </c>
      <c r="Y127" s="419" t="s">
        <v>1465</v>
      </c>
      <c r="Z127" t="str">
        <f>IFERROR(VLOOKUP(ROWS($Z$3:Z127),$X$3:$Y$992,2,0),"")</f>
        <v>Pěstování přadných rostlin</v>
      </c>
    </row>
    <row r="128" spans="1:26" ht="12.75" customHeight="1">
      <c r="A128" s="395"/>
      <c r="B128" s="395"/>
      <c r="C128" s="395"/>
      <c r="D128" s="411">
        <f>IF(ISNUMBER(SEARCH(ZAKL_DATA!$B$14,E128)),MAX($D$2:D127)+1,0)</f>
        <v>126</v>
      </c>
      <c r="E128" s="425" t="s">
        <v>1467</v>
      </c>
      <c r="F128" s="426">
        <v>2810</v>
      </c>
      <c r="G128" s="427"/>
      <c r="H128" s="428" t="str">
        <f>IFERROR(VLOOKUP(ROWS($H$3:H128),$D$3:$E$204,2,0),"")</f>
        <v>VYSOKÉ MÝTO</v>
      </c>
      <c r="I128" s="395"/>
      <c r="J128" s="430" t="s">
        <v>1468</v>
      </c>
      <c r="K128" s="417" t="s">
        <v>1469</v>
      </c>
      <c r="M128" s="418">
        <f>IF(ISNUMBER(SEARCH(ZAKL_DATA!$B$29,N128)),MAX($M$2:M127)+1,0)</f>
        <v>126</v>
      </c>
      <c r="N128" s="419" t="s">
        <v>1470</v>
      </c>
      <c r="O128" s="436" t="s">
        <v>1471</v>
      </c>
      <c r="P128" s="421"/>
      <c r="Q128" s="422" t="str">
        <f>IFERROR(VLOOKUP(ROWS($Q$3:Q128),$M$3:$N$992,2,0),"")</f>
        <v>Pěstování ostatních plodin jiných než trvalých</v>
      </c>
      <c r="R128">
        <f>IF(ISNUMBER(SEARCH('1Př1'!$A$35,N128)),MAX($M$2:M127)+1,0)</f>
        <v>126</v>
      </c>
      <c r="S128" s="419" t="s">
        <v>1470</v>
      </c>
      <c r="T128" t="str">
        <f>IFERROR(VLOOKUP(ROWS($T$3:T128),$R$3:$S$992,2,0),"")</f>
        <v>Pěstování ostatních plodin jiných než trvalých</v>
      </c>
      <c r="U128">
        <f>IF(ISNUMBER(SEARCH('1Př1'!$A$36,N128)),MAX($M$2:M127)+1,0)</f>
        <v>126</v>
      </c>
      <c r="V128" s="419" t="s">
        <v>1470</v>
      </c>
      <c r="W128" t="str">
        <f>IFERROR(VLOOKUP(ROWS($W$3:W128),$U$3:$V$992,2,0),"")</f>
        <v>Pěstování ostatních plodin jiných než trvalých</v>
      </c>
      <c r="X128">
        <f>IF(ISNUMBER(SEARCH('1Př1'!$A$37,N128)),MAX($M$2:M127)+1,0)</f>
        <v>126</v>
      </c>
      <c r="Y128" s="419" t="s">
        <v>1470</v>
      </c>
      <c r="Z128" t="str">
        <f>IFERROR(VLOOKUP(ROWS($Z$3:Z128),$X$3:$Y$992,2,0),"")</f>
        <v>Pěstování ostatních plodin jiných než trvalých</v>
      </c>
    </row>
    <row r="129" spans="1:26" ht="12.75" customHeight="1">
      <c r="A129" s="395"/>
      <c r="B129" s="395"/>
      <c r="C129" s="395"/>
      <c r="D129" s="411">
        <f>IF(ISNUMBER(SEARCH(ZAKL_DATA!$B$14,E129)),MAX($D$2:D128)+1,0)</f>
        <v>127</v>
      </c>
      <c r="E129" s="425" t="s">
        <v>1472</v>
      </c>
      <c r="F129" s="426">
        <v>2811</v>
      </c>
      <c r="G129" s="427"/>
      <c r="H129" s="428" t="str">
        <f>IFERROR(VLOOKUP(ROWS($H$3:H129),$D$3:$E$204,2,0),"")</f>
        <v>ŽAMBERK</v>
      </c>
      <c r="I129" s="395"/>
      <c r="J129" s="430" t="s">
        <v>1473</v>
      </c>
      <c r="K129" s="417" t="s">
        <v>1474</v>
      </c>
      <c r="M129" s="418">
        <f>IF(ISNUMBER(SEARCH(ZAKL_DATA!$B$29,N129)),MAX($M$2:M128)+1,0)</f>
        <v>127</v>
      </c>
      <c r="N129" s="419" t="s">
        <v>1475</v>
      </c>
      <c r="O129" s="436" t="s">
        <v>1476</v>
      </c>
      <c r="P129" s="421"/>
      <c r="Q129" s="422" t="str">
        <f>IFERROR(VLOOKUP(ROWS($Q$3:Q129),$M$3:$N$992,2,0),"")</f>
        <v>Pěstování vinných hroznů</v>
      </c>
      <c r="R129">
        <f>IF(ISNUMBER(SEARCH('1Př1'!$A$35,N129)),MAX($M$2:M128)+1,0)</f>
        <v>127</v>
      </c>
      <c r="S129" s="419" t="s">
        <v>1475</v>
      </c>
      <c r="T129" t="str">
        <f>IFERROR(VLOOKUP(ROWS($T$3:T129),$R$3:$S$992,2,0),"")</f>
        <v>Pěstování vinných hroznů</v>
      </c>
      <c r="U129">
        <f>IF(ISNUMBER(SEARCH('1Př1'!$A$36,N129)),MAX($M$2:M128)+1,0)</f>
        <v>127</v>
      </c>
      <c r="V129" s="419" t="s">
        <v>1475</v>
      </c>
      <c r="W129" t="str">
        <f>IFERROR(VLOOKUP(ROWS($W$3:W129),$U$3:$V$992,2,0),"")</f>
        <v>Pěstování vinných hroznů</v>
      </c>
      <c r="X129">
        <f>IF(ISNUMBER(SEARCH('1Př1'!$A$37,N129)),MAX($M$2:M128)+1,0)</f>
        <v>127</v>
      </c>
      <c r="Y129" s="419" t="s">
        <v>1475</v>
      </c>
      <c r="Z129" t="str">
        <f>IFERROR(VLOOKUP(ROWS($Z$3:Z129),$X$3:$Y$992,2,0),"")</f>
        <v>Pěstování vinných hroznů</v>
      </c>
    </row>
    <row r="130" spans="1:26" ht="12.75" customHeight="1">
      <c r="A130" s="395"/>
      <c r="B130" s="395"/>
      <c r="C130" s="395"/>
      <c r="D130" s="411">
        <f>IF(ISNUMBER(SEARCH(ZAKL_DATA!$B$14,E130)),MAX($D$2:D129)+1,0)</f>
        <v>128</v>
      </c>
      <c r="E130" s="425" t="s">
        <v>1477</v>
      </c>
      <c r="F130" s="426">
        <v>2901</v>
      </c>
      <c r="G130" s="427"/>
      <c r="H130" s="428" t="str">
        <f>IFERROR(VLOOKUP(ROWS($H$3:H130),$D$3:$E$204,2,0),"")</f>
        <v>JIHLAVA</v>
      </c>
      <c r="I130" s="395"/>
      <c r="J130" s="430" t="s">
        <v>1478</v>
      </c>
      <c r="K130" s="417" t="s">
        <v>1479</v>
      </c>
      <c r="M130" s="418">
        <f>IF(ISNUMBER(SEARCH(ZAKL_DATA!$B$29,N130)),MAX($M$2:M129)+1,0)</f>
        <v>128</v>
      </c>
      <c r="N130" s="419" t="s">
        <v>1480</v>
      </c>
      <c r="O130" s="436" t="s">
        <v>1481</v>
      </c>
      <c r="P130" s="421"/>
      <c r="Q130" s="422" t="str">
        <f>IFERROR(VLOOKUP(ROWS($Q$3:Q130),$M$3:$N$992,2,0),"")</f>
        <v>Pěstování tropického a subtropického ovoce</v>
      </c>
      <c r="R130">
        <f>IF(ISNUMBER(SEARCH('1Př1'!$A$35,N130)),MAX($M$2:M129)+1,0)</f>
        <v>128</v>
      </c>
      <c r="S130" s="419" t="s">
        <v>1480</v>
      </c>
      <c r="T130" t="str">
        <f>IFERROR(VLOOKUP(ROWS($T$3:T130),$R$3:$S$992,2,0),"")</f>
        <v>Pěstování tropického a subtropického ovoce</v>
      </c>
      <c r="U130">
        <f>IF(ISNUMBER(SEARCH('1Př1'!$A$36,N130)),MAX($M$2:M129)+1,0)</f>
        <v>128</v>
      </c>
      <c r="V130" s="419" t="s">
        <v>1480</v>
      </c>
      <c r="W130" t="str">
        <f>IFERROR(VLOOKUP(ROWS($W$3:W130),$U$3:$V$992,2,0),"")</f>
        <v>Pěstování tropického a subtropického ovoce</v>
      </c>
      <c r="X130">
        <f>IF(ISNUMBER(SEARCH('1Př1'!$A$37,N130)),MAX($M$2:M129)+1,0)</f>
        <v>128</v>
      </c>
      <c r="Y130" s="419" t="s">
        <v>1480</v>
      </c>
      <c r="Z130" t="str">
        <f>IFERROR(VLOOKUP(ROWS($Z$3:Z130),$X$3:$Y$992,2,0),"")</f>
        <v>Pěstování tropického a subtropického ovoce</v>
      </c>
    </row>
    <row r="131" spans="1:26" ht="12.75" customHeight="1">
      <c r="A131" s="395"/>
      <c r="B131" s="395"/>
      <c r="C131" s="395"/>
      <c r="D131" s="411">
        <f>IF(ISNUMBER(SEARCH(ZAKL_DATA!$B$14,E131)),MAX($D$2:D130)+1,0)</f>
        <v>129</v>
      </c>
      <c r="E131" s="425" t="s">
        <v>1482</v>
      </c>
      <c r="F131" s="426">
        <v>2902</v>
      </c>
      <c r="G131" s="427"/>
      <c r="H131" s="428" t="str">
        <f>IFERROR(VLOOKUP(ROWS($H$3:H131),$D$3:$E$204,2,0),"")</f>
        <v>BYSTŘICE NAD PERN.</v>
      </c>
      <c r="I131" s="395"/>
      <c r="J131" s="430" t="s">
        <v>1483</v>
      </c>
      <c r="K131" s="417" t="s">
        <v>1484</v>
      </c>
      <c r="M131" s="418">
        <f>IF(ISNUMBER(SEARCH(ZAKL_DATA!$B$29,N131)),MAX($M$2:M130)+1,0)</f>
        <v>129</v>
      </c>
      <c r="N131" s="419" t="s">
        <v>1485</v>
      </c>
      <c r="O131" s="436" t="s">
        <v>1486</v>
      </c>
      <c r="P131" s="421"/>
      <c r="Q131" s="422" t="str">
        <f>IFERROR(VLOOKUP(ROWS($Q$3:Q131),$M$3:$N$992,2,0),"")</f>
        <v>Pěstování citrusových plodů</v>
      </c>
      <c r="R131">
        <f>IF(ISNUMBER(SEARCH('1Př1'!$A$35,N131)),MAX($M$2:M130)+1,0)</f>
        <v>129</v>
      </c>
      <c r="S131" s="419" t="s">
        <v>1485</v>
      </c>
      <c r="T131" t="str">
        <f>IFERROR(VLOOKUP(ROWS($T$3:T131),$R$3:$S$992,2,0),"")</f>
        <v>Pěstování citrusových plodů</v>
      </c>
      <c r="U131">
        <f>IF(ISNUMBER(SEARCH('1Př1'!$A$36,N131)),MAX($M$2:M130)+1,0)</f>
        <v>129</v>
      </c>
      <c r="V131" s="419" t="s">
        <v>1485</v>
      </c>
      <c r="W131" t="str">
        <f>IFERROR(VLOOKUP(ROWS($W$3:W131),$U$3:$V$992,2,0),"")</f>
        <v>Pěstování citrusových plodů</v>
      </c>
      <c r="X131">
        <f>IF(ISNUMBER(SEARCH('1Př1'!$A$37,N131)),MAX($M$2:M130)+1,0)</f>
        <v>129</v>
      </c>
      <c r="Y131" s="419" t="s">
        <v>1485</v>
      </c>
      <c r="Z131" t="str">
        <f>IFERROR(VLOOKUP(ROWS($Z$3:Z131),$X$3:$Y$992,2,0),"")</f>
        <v>Pěstování citrusových plodů</v>
      </c>
    </row>
    <row r="132" spans="1:26" ht="12.75" customHeight="1">
      <c r="A132" s="395"/>
      <c r="B132" s="395"/>
      <c r="C132" s="395"/>
      <c r="D132" s="411">
        <f>IF(ISNUMBER(SEARCH(ZAKL_DATA!$B$14,E132)),MAX($D$2:D131)+1,0)</f>
        <v>130</v>
      </c>
      <c r="E132" s="425" t="s">
        <v>1487</v>
      </c>
      <c r="F132" s="426">
        <v>2903</v>
      </c>
      <c r="G132" s="427"/>
      <c r="H132" s="428" t="str">
        <f>IFERROR(VLOOKUP(ROWS($H$3:H132),$D$3:$E$204,2,0),"")</f>
        <v>HAVLÍČKŮV BROD</v>
      </c>
      <c r="I132" s="395"/>
      <c r="J132" s="430" t="s">
        <v>1488</v>
      </c>
      <c r="K132" s="417" t="s">
        <v>1489</v>
      </c>
      <c r="M132" s="418">
        <f>IF(ISNUMBER(SEARCH(ZAKL_DATA!$B$29,N132)),MAX($M$2:M131)+1,0)</f>
        <v>130</v>
      </c>
      <c r="N132" s="419" t="s">
        <v>1490</v>
      </c>
      <c r="O132" s="436" t="s">
        <v>1491</v>
      </c>
      <c r="P132" s="421"/>
      <c r="Q132" s="422" t="str">
        <f>IFERROR(VLOOKUP(ROWS($Q$3:Q132),$M$3:$N$992,2,0),"")</f>
        <v>Pěstování jádrového a peckového ovoce</v>
      </c>
      <c r="R132">
        <f>IF(ISNUMBER(SEARCH('1Př1'!$A$35,N132)),MAX($M$2:M131)+1,0)</f>
        <v>130</v>
      </c>
      <c r="S132" s="419" t="s">
        <v>1490</v>
      </c>
      <c r="T132" t="str">
        <f>IFERROR(VLOOKUP(ROWS($T$3:T132),$R$3:$S$992,2,0),"")</f>
        <v>Pěstování jádrového a peckového ovoce</v>
      </c>
      <c r="U132">
        <f>IF(ISNUMBER(SEARCH('1Př1'!$A$36,N132)),MAX($M$2:M131)+1,0)</f>
        <v>130</v>
      </c>
      <c r="V132" s="419" t="s">
        <v>1490</v>
      </c>
      <c r="W132" t="str">
        <f>IFERROR(VLOOKUP(ROWS($W$3:W132),$U$3:$V$992,2,0),"")</f>
        <v>Pěstování jádrového a peckového ovoce</v>
      </c>
      <c r="X132">
        <f>IF(ISNUMBER(SEARCH('1Př1'!$A$37,N132)),MAX($M$2:M131)+1,0)</f>
        <v>130</v>
      </c>
      <c r="Y132" s="419" t="s">
        <v>1490</v>
      </c>
      <c r="Z132" t="str">
        <f>IFERROR(VLOOKUP(ROWS($Z$3:Z132),$X$3:$Y$992,2,0),"")</f>
        <v>Pěstování jádrového a peckového ovoce</v>
      </c>
    </row>
    <row r="133" spans="1:26" ht="12.75" customHeight="1">
      <c r="A133" s="395"/>
      <c r="B133" s="395"/>
      <c r="C133" s="395"/>
      <c r="D133" s="411">
        <f>IF(ISNUMBER(SEARCH(ZAKL_DATA!$B$14,E133)),MAX($D$2:D132)+1,0)</f>
        <v>131</v>
      </c>
      <c r="E133" s="425" t="s">
        <v>1492</v>
      </c>
      <c r="F133" s="426">
        <v>2904</v>
      </c>
      <c r="G133" s="427"/>
      <c r="H133" s="428" t="str">
        <f>IFERROR(VLOOKUP(ROWS($H$3:H133),$D$3:$E$204,2,0),"")</f>
        <v>HUMPOLEC</v>
      </c>
      <c r="I133" s="395"/>
      <c r="J133" s="434" t="s">
        <v>1493</v>
      </c>
      <c r="K133" s="435" t="s">
        <v>1494</v>
      </c>
      <c r="M133" s="418">
        <f>IF(ISNUMBER(SEARCH(ZAKL_DATA!$B$29,N133)),MAX($M$2:M132)+1,0)</f>
        <v>131</v>
      </c>
      <c r="N133" s="419" t="s">
        <v>1495</v>
      </c>
      <c r="O133" s="436" t="s">
        <v>1496</v>
      </c>
      <c r="P133" s="421"/>
      <c r="Q133" s="422" t="str">
        <f>IFERROR(VLOOKUP(ROWS($Q$3:Q133),$M$3:$N$992,2,0),"")</f>
        <v>Pěstování ostatního stromového a keřového ovoce a ořechů</v>
      </c>
      <c r="R133">
        <f>IF(ISNUMBER(SEARCH('1Př1'!$A$35,N133)),MAX($M$2:M132)+1,0)</f>
        <v>131</v>
      </c>
      <c r="S133" s="419" t="s">
        <v>1495</v>
      </c>
      <c r="T133" t="str">
        <f>IFERROR(VLOOKUP(ROWS($T$3:T133),$R$3:$S$992,2,0),"")</f>
        <v>Pěstování ostatního stromového a keřového ovoce a ořechů</v>
      </c>
      <c r="U133">
        <f>IF(ISNUMBER(SEARCH('1Př1'!$A$36,N133)),MAX($M$2:M132)+1,0)</f>
        <v>131</v>
      </c>
      <c r="V133" s="419" t="s">
        <v>1495</v>
      </c>
      <c r="W133" t="str">
        <f>IFERROR(VLOOKUP(ROWS($W$3:W133),$U$3:$V$992,2,0),"")</f>
        <v>Pěstování ostatního stromového a keřového ovoce a ořechů</v>
      </c>
      <c r="X133">
        <f>IF(ISNUMBER(SEARCH('1Př1'!$A$37,N133)),MAX($M$2:M132)+1,0)</f>
        <v>131</v>
      </c>
      <c r="Y133" s="419" t="s">
        <v>1495</v>
      </c>
      <c r="Z133" t="str">
        <f>IFERROR(VLOOKUP(ROWS($Z$3:Z133),$X$3:$Y$992,2,0),"")</f>
        <v>Pěstování ostatního stromového a keřového ovoce a ořechů</v>
      </c>
    </row>
    <row r="134" spans="1:26" ht="12.75" customHeight="1">
      <c r="A134" s="395"/>
      <c r="B134" s="395"/>
      <c r="C134" s="395"/>
      <c r="D134" s="411">
        <f>IF(ISNUMBER(SEARCH(ZAKL_DATA!$B$14,E134)),MAX($D$2:D133)+1,0)</f>
        <v>132</v>
      </c>
      <c r="E134" s="425" t="s">
        <v>1497</v>
      </c>
      <c r="F134" s="426">
        <v>2905</v>
      </c>
      <c r="G134" s="427"/>
      <c r="H134" s="428" t="str">
        <f>IFERROR(VLOOKUP(ROWS($H$3:H134),$D$3:$E$204,2,0),"")</f>
        <v>CHOTĚBOŘ</v>
      </c>
      <c r="I134" s="395"/>
      <c r="J134" s="430" t="s">
        <v>1498</v>
      </c>
      <c r="K134" s="417" t="s">
        <v>1499</v>
      </c>
      <c r="M134" s="418">
        <f>IF(ISNUMBER(SEARCH(ZAKL_DATA!$B$29,N134)),MAX($M$2:M133)+1,0)</f>
        <v>132</v>
      </c>
      <c r="N134" s="419" t="s">
        <v>1500</v>
      </c>
      <c r="O134" s="436" t="s">
        <v>1501</v>
      </c>
      <c r="P134" s="421"/>
      <c r="Q134" s="422" t="str">
        <f>IFERROR(VLOOKUP(ROWS($Q$3:Q134),$M$3:$N$992,2,0),"")</f>
        <v>Pěstování olejnatých plodů</v>
      </c>
      <c r="R134">
        <f>IF(ISNUMBER(SEARCH('1Př1'!$A$35,N134)),MAX($M$2:M133)+1,0)</f>
        <v>132</v>
      </c>
      <c r="S134" s="419" t="s">
        <v>1500</v>
      </c>
      <c r="T134" t="str">
        <f>IFERROR(VLOOKUP(ROWS($T$3:T134),$R$3:$S$992,2,0),"")</f>
        <v>Pěstování olejnatých plodů</v>
      </c>
      <c r="U134">
        <f>IF(ISNUMBER(SEARCH('1Př1'!$A$36,N134)),MAX($M$2:M133)+1,0)</f>
        <v>132</v>
      </c>
      <c r="V134" s="419" t="s">
        <v>1500</v>
      </c>
      <c r="W134" t="str">
        <f>IFERROR(VLOOKUP(ROWS($W$3:W134),$U$3:$V$992,2,0),"")</f>
        <v>Pěstování olejnatých plodů</v>
      </c>
      <c r="X134">
        <f>IF(ISNUMBER(SEARCH('1Př1'!$A$37,N134)),MAX($M$2:M133)+1,0)</f>
        <v>132</v>
      </c>
      <c r="Y134" s="419" t="s">
        <v>1500</v>
      </c>
      <c r="Z134" t="str">
        <f>IFERROR(VLOOKUP(ROWS($Z$3:Z134),$X$3:$Y$992,2,0),"")</f>
        <v>Pěstování olejnatých plodů</v>
      </c>
    </row>
    <row r="135" spans="1:26" ht="12.75" customHeight="1">
      <c r="A135" s="395"/>
      <c r="B135" s="395"/>
      <c r="C135" s="395"/>
      <c r="D135" s="411">
        <f>IF(ISNUMBER(SEARCH(ZAKL_DATA!$B$14,E135)),MAX($D$2:D134)+1,0)</f>
        <v>133</v>
      </c>
      <c r="E135" s="425" t="s">
        <v>1502</v>
      </c>
      <c r="F135" s="426">
        <v>2906</v>
      </c>
      <c r="G135" s="427"/>
      <c r="H135" s="428" t="str">
        <f>IFERROR(VLOOKUP(ROWS($H$3:H135),$D$3:$E$204,2,0),"")</f>
        <v>LEDEČ NAD SÁZAVOU</v>
      </c>
      <c r="I135" s="395"/>
      <c r="J135" s="429" t="s">
        <v>1503</v>
      </c>
      <c r="K135" s="417" t="s">
        <v>1504</v>
      </c>
      <c r="M135" s="418">
        <f>IF(ISNUMBER(SEARCH(ZAKL_DATA!$B$29,N135)),MAX($M$2:M134)+1,0)</f>
        <v>133</v>
      </c>
      <c r="N135" s="419" t="s">
        <v>1505</v>
      </c>
      <c r="O135" s="436" t="s">
        <v>1506</v>
      </c>
      <c r="P135" s="421"/>
      <c r="Q135" s="422" t="str">
        <f>IFERROR(VLOOKUP(ROWS($Q$3:Q135),$M$3:$N$992,2,0),"")</f>
        <v>Pěstování rostlin pro výrobu nápojů</v>
      </c>
      <c r="R135">
        <f>IF(ISNUMBER(SEARCH('1Př1'!$A$35,N135)),MAX($M$2:M134)+1,0)</f>
        <v>133</v>
      </c>
      <c r="S135" s="419" t="s">
        <v>1505</v>
      </c>
      <c r="T135" t="str">
        <f>IFERROR(VLOOKUP(ROWS($T$3:T135),$R$3:$S$992,2,0),"")</f>
        <v>Pěstování rostlin pro výrobu nápojů</v>
      </c>
      <c r="U135">
        <f>IF(ISNUMBER(SEARCH('1Př1'!$A$36,N135)),MAX($M$2:M134)+1,0)</f>
        <v>133</v>
      </c>
      <c r="V135" s="419" t="s">
        <v>1505</v>
      </c>
      <c r="W135" t="str">
        <f>IFERROR(VLOOKUP(ROWS($W$3:W135),$U$3:$V$992,2,0),"")</f>
        <v>Pěstování rostlin pro výrobu nápojů</v>
      </c>
      <c r="X135">
        <f>IF(ISNUMBER(SEARCH('1Př1'!$A$37,N135)),MAX($M$2:M134)+1,0)</f>
        <v>133</v>
      </c>
      <c r="Y135" s="419" t="s">
        <v>1505</v>
      </c>
      <c r="Z135" t="str">
        <f>IFERROR(VLOOKUP(ROWS($Z$3:Z135),$X$3:$Y$992,2,0),"")</f>
        <v>Pěstování rostlin pro výrobu nápojů</v>
      </c>
    </row>
    <row r="136" spans="1:26" ht="12.75" customHeight="1">
      <c r="A136" s="395"/>
      <c r="B136" s="395"/>
      <c r="C136" s="395"/>
      <c r="D136" s="411">
        <f>IF(ISNUMBER(SEARCH(ZAKL_DATA!$B$14,E136)),MAX($D$2:D135)+1,0)</f>
        <v>134</v>
      </c>
      <c r="E136" s="425" t="s">
        <v>1507</v>
      </c>
      <c r="F136" s="426">
        <v>2907</v>
      </c>
      <c r="G136" s="427"/>
      <c r="H136" s="428" t="str">
        <f>IFERROR(VLOOKUP(ROWS($H$3:H136),$D$3:$E$204,2,0),"")</f>
        <v>MORAVSKÉ BUDĚJOVICE</v>
      </c>
      <c r="I136" s="395"/>
      <c r="J136" s="430" t="s">
        <v>1508</v>
      </c>
      <c r="K136" s="417" t="s">
        <v>1509</v>
      </c>
      <c r="M136" s="418">
        <f>IF(ISNUMBER(SEARCH(ZAKL_DATA!$B$29,N136)),MAX($M$2:M135)+1,0)</f>
        <v>134</v>
      </c>
      <c r="N136" s="419" t="s">
        <v>1510</v>
      </c>
      <c r="O136" s="436" t="s">
        <v>1511</v>
      </c>
      <c r="P136" s="421"/>
      <c r="Q136" s="422" t="str">
        <f>IFERROR(VLOOKUP(ROWS($Q$3:Q136),$M$3:$N$992,2,0),"")</f>
        <v>Pěstování koření, aromatických, léčivých a farmaceutických rostlin</v>
      </c>
      <c r="R136">
        <f>IF(ISNUMBER(SEARCH('1Př1'!$A$35,N136)),MAX($M$2:M135)+1,0)</f>
        <v>134</v>
      </c>
      <c r="S136" s="419" t="s">
        <v>1510</v>
      </c>
      <c r="T136" t="str">
        <f>IFERROR(VLOOKUP(ROWS($T$3:T136),$R$3:$S$992,2,0),"")</f>
        <v>Pěstování koření, aromatických, léčivých a farmaceutických rostlin</v>
      </c>
      <c r="U136">
        <f>IF(ISNUMBER(SEARCH('1Př1'!$A$36,N136)),MAX($M$2:M135)+1,0)</f>
        <v>134</v>
      </c>
      <c r="V136" s="419" t="s">
        <v>1510</v>
      </c>
      <c r="W136" t="str">
        <f>IFERROR(VLOOKUP(ROWS($W$3:W136),$U$3:$V$992,2,0),"")</f>
        <v>Pěstování koření, aromatických, léčivých a farmaceutických rostlin</v>
      </c>
      <c r="X136">
        <f>IF(ISNUMBER(SEARCH('1Př1'!$A$37,N136)),MAX($M$2:M135)+1,0)</f>
        <v>134</v>
      </c>
      <c r="Y136" s="419" t="s">
        <v>1510</v>
      </c>
      <c r="Z136" t="str">
        <f>IFERROR(VLOOKUP(ROWS($Z$3:Z136),$X$3:$Y$992,2,0),"")</f>
        <v>Pěstování koření, aromatických, léčivých a farmaceutických rostlin</v>
      </c>
    </row>
    <row r="137" spans="1:26" ht="12.75" customHeight="1">
      <c r="A137" s="395"/>
      <c r="B137" s="395"/>
      <c r="C137" s="395"/>
      <c r="D137" s="411">
        <f>IF(ISNUMBER(SEARCH(ZAKL_DATA!$B$14,E137)),MAX($D$2:D136)+1,0)</f>
        <v>135</v>
      </c>
      <c r="E137" s="425" t="s">
        <v>1512</v>
      </c>
      <c r="F137" s="426">
        <v>2908</v>
      </c>
      <c r="G137" s="427"/>
      <c r="H137" s="428" t="str">
        <f>IFERROR(VLOOKUP(ROWS($H$3:H137),$D$3:$E$204,2,0),"")</f>
        <v>NÁMĚŠŤ NAD OSLAVOU</v>
      </c>
      <c r="I137" s="395"/>
      <c r="J137" s="430" t="s">
        <v>1513</v>
      </c>
      <c r="K137" s="417" t="s">
        <v>1514</v>
      </c>
      <c r="M137" s="418">
        <f>IF(ISNUMBER(SEARCH(ZAKL_DATA!$B$29,N137)),MAX($M$2:M136)+1,0)</f>
        <v>135</v>
      </c>
      <c r="N137" s="419" t="s">
        <v>1515</v>
      </c>
      <c r="O137" s="436" t="s">
        <v>1516</v>
      </c>
      <c r="P137" s="421"/>
      <c r="Q137" s="422" t="str">
        <f>IFERROR(VLOOKUP(ROWS($Q$3:Q137),$M$3:$N$992,2,0),"")</f>
        <v>Pěstování ostatních trvalých plodin</v>
      </c>
      <c r="R137">
        <f>IF(ISNUMBER(SEARCH('1Př1'!$A$35,N137)),MAX($M$2:M136)+1,0)</f>
        <v>135</v>
      </c>
      <c r="S137" s="419" t="s">
        <v>1515</v>
      </c>
      <c r="T137" t="str">
        <f>IFERROR(VLOOKUP(ROWS($T$3:T137),$R$3:$S$992,2,0),"")</f>
        <v>Pěstování ostatních trvalých plodin</v>
      </c>
      <c r="U137">
        <f>IF(ISNUMBER(SEARCH('1Př1'!$A$36,N137)),MAX($M$2:M136)+1,0)</f>
        <v>135</v>
      </c>
      <c r="V137" s="419" t="s">
        <v>1515</v>
      </c>
      <c r="W137" t="str">
        <f>IFERROR(VLOOKUP(ROWS($W$3:W137),$U$3:$V$992,2,0),"")</f>
        <v>Pěstování ostatních trvalých plodin</v>
      </c>
      <c r="X137">
        <f>IF(ISNUMBER(SEARCH('1Př1'!$A$37,N137)),MAX($M$2:M136)+1,0)</f>
        <v>135</v>
      </c>
      <c r="Y137" s="419" t="s">
        <v>1515</v>
      </c>
      <c r="Z137" t="str">
        <f>IFERROR(VLOOKUP(ROWS($Z$3:Z137),$X$3:$Y$992,2,0),"")</f>
        <v>Pěstování ostatních trvalých plodin</v>
      </c>
    </row>
    <row r="138" spans="1:26" ht="12.75" customHeight="1">
      <c r="A138" s="395"/>
      <c r="B138" s="395"/>
      <c r="C138" s="395"/>
      <c r="D138" s="411">
        <f>IF(ISNUMBER(SEARCH(ZAKL_DATA!$B$14,E138)),MAX($D$2:D137)+1,0)</f>
        <v>136</v>
      </c>
      <c r="E138" s="425" t="s">
        <v>1517</v>
      </c>
      <c r="F138" s="426">
        <v>2909</v>
      </c>
      <c r="G138" s="427"/>
      <c r="H138" s="428" t="str">
        <f>IFERROR(VLOOKUP(ROWS($H$3:H138),$D$3:$E$204,2,0),"")</f>
        <v>PACOV</v>
      </c>
      <c r="I138" s="395"/>
      <c r="J138" s="430" t="s">
        <v>1518</v>
      </c>
      <c r="K138" s="417" t="s">
        <v>1519</v>
      </c>
      <c r="M138" s="418">
        <f>IF(ISNUMBER(SEARCH(ZAKL_DATA!$B$29,N138)),MAX($M$2:M137)+1,0)</f>
        <v>136</v>
      </c>
      <c r="N138" s="419" t="s">
        <v>1520</v>
      </c>
      <c r="O138" s="436" t="s">
        <v>1521</v>
      </c>
      <c r="P138" s="421"/>
      <c r="Q138" s="422" t="str">
        <f>IFERROR(VLOOKUP(ROWS($Q$3:Q138),$M$3:$N$992,2,0),"")</f>
        <v>Úprava a spřádání textilních vláken a příze</v>
      </c>
      <c r="R138">
        <f>IF(ISNUMBER(SEARCH('1Př1'!$A$35,N138)),MAX($M$2:M137)+1,0)</f>
        <v>136</v>
      </c>
      <c r="S138" s="419" t="s">
        <v>1520</v>
      </c>
      <c r="T138" t="str">
        <f>IFERROR(VLOOKUP(ROWS($T$3:T138),$R$3:$S$992,2,0),"")</f>
        <v>Úprava a spřádání textilních vláken a příze</v>
      </c>
      <c r="U138">
        <f>IF(ISNUMBER(SEARCH('1Př1'!$A$36,N138)),MAX($M$2:M137)+1,0)</f>
        <v>136</v>
      </c>
      <c r="V138" s="419" t="s">
        <v>1520</v>
      </c>
      <c r="W138" t="str">
        <f>IFERROR(VLOOKUP(ROWS($W$3:W138),$U$3:$V$992,2,0),"")</f>
        <v>Úprava a spřádání textilních vláken a příze</v>
      </c>
      <c r="X138">
        <f>IF(ISNUMBER(SEARCH('1Př1'!$A$37,N138)),MAX($M$2:M137)+1,0)</f>
        <v>136</v>
      </c>
      <c r="Y138" s="419" t="s">
        <v>1520</v>
      </c>
      <c r="Z138" t="str">
        <f>IFERROR(VLOOKUP(ROWS($Z$3:Z138),$X$3:$Y$992,2,0),"")</f>
        <v>Úprava a spřádání textilních vláken a příze</v>
      </c>
    </row>
    <row r="139" spans="1:26" ht="12.75" customHeight="1">
      <c r="A139" s="395"/>
      <c r="B139" s="395"/>
      <c r="C139" s="395"/>
      <c r="D139" s="411">
        <f>IF(ISNUMBER(SEARCH(ZAKL_DATA!$B$14,E139)),MAX($D$2:D138)+1,0)</f>
        <v>137</v>
      </c>
      <c r="E139" s="425" t="s">
        <v>1522</v>
      </c>
      <c r="F139" s="426">
        <v>2910</v>
      </c>
      <c r="G139" s="427"/>
      <c r="H139" s="428" t="str">
        <f>IFERROR(VLOOKUP(ROWS($H$3:H139),$D$3:$E$204,2,0),"")</f>
        <v>PELHŘIMOV</v>
      </c>
      <c r="I139" s="395"/>
      <c r="J139" s="430" t="s">
        <v>1523</v>
      </c>
      <c r="K139" s="417" t="s">
        <v>1524</v>
      </c>
      <c r="M139" s="418">
        <f>IF(ISNUMBER(SEARCH(ZAKL_DATA!$B$29,N139)),MAX($M$2:M138)+1,0)</f>
        <v>137</v>
      </c>
      <c r="N139" s="419" t="s">
        <v>1525</v>
      </c>
      <c r="O139" s="436" t="s">
        <v>1526</v>
      </c>
      <c r="P139" s="421"/>
      <c r="Q139" s="422" t="str">
        <f>IFERROR(VLOOKUP(ROWS($Q$3:Q139),$M$3:$N$992,2,0),"")</f>
        <v>Tkaní textilií</v>
      </c>
      <c r="R139">
        <f>IF(ISNUMBER(SEARCH('1Př1'!$A$35,N139)),MAX($M$2:M138)+1,0)</f>
        <v>137</v>
      </c>
      <c r="S139" s="419" t="s">
        <v>1525</v>
      </c>
      <c r="T139" t="str">
        <f>IFERROR(VLOOKUP(ROWS($T$3:T139),$R$3:$S$992,2,0),"")</f>
        <v>Tkaní textilií</v>
      </c>
      <c r="U139">
        <f>IF(ISNUMBER(SEARCH('1Př1'!$A$36,N139)),MAX($M$2:M138)+1,0)</f>
        <v>137</v>
      </c>
      <c r="V139" s="419" t="s">
        <v>1525</v>
      </c>
      <c r="W139" t="str">
        <f>IFERROR(VLOOKUP(ROWS($W$3:W139),$U$3:$V$992,2,0),"")</f>
        <v>Tkaní textilií</v>
      </c>
      <c r="X139">
        <f>IF(ISNUMBER(SEARCH('1Př1'!$A$37,N139)),MAX($M$2:M138)+1,0)</f>
        <v>137</v>
      </c>
      <c r="Y139" s="419" t="s">
        <v>1525</v>
      </c>
      <c r="Z139" t="str">
        <f>IFERROR(VLOOKUP(ROWS($Z$3:Z139),$X$3:$Y$992,2,0),"")</f>
        <v>Tkaní textilií</v>
      </c>
    </row>
    <row r="140" spans="1:26" ht="12.75" customHeight="1">
      <c r="A140" s="395"/>
      <c r="B140" s="395"/>
      <c r="C140" s="395"/>
      <c r="D140" s="411">
        <f>IF(ISNUMBER(SEARCH(ZAKL_DATA!$B$14,E140)),MAX($D$2:D139)+1,0)</f>
        <v>138</v>
      </c>
      <c r="E140" s="425" t="s">
        <v>1527</v>
      </c>
      <c r="F140" s="426">
        <v>2911</v>
      </c>
      <c r="G140" s="427"/>
      <c r="H140" s="428" t="str">
        <f>IFERROR(VLOOKUP(ROWS($H$3:H140),$D$3:$E$204,2,0),"")</f>
        <v>TELČ</v>
      </c>
      <c r="I140" s="395"/>
      <c r="J140" s="430" t="s">
        <v>1528</v>
      </c>
      <c r="K140" s="417" t="s">
        <v>1529</v>
      </c>
      <c r="M140" s="418">
        <f>IF(ISNUMBER(SEARCH(ZAKL_DATA!$B$29,N140)),MAX($M$2:M139)+1,0)</f>
        <v>138</v>
      </c>
      <c r="N140" s="419" t="s">
        <v>1530</v>
      </c>
      <c r="O140" s="436" t="s">
        <v>1531</v>
      </c>
      <c r="P140" s="421"/>
      <c r="Q140" s="422" t="str">
        <f>IFERROR(VLOOKUP(ROWS($Q$3:Q140),$M$3:$N$992,2,0),"")</f>
        <v>Konečná úprava textilií</v>
      </c>
      <c r="R140">
        <f>IF(ISNUMBER(SEARCH('1Př1'!$A$35,N140)),MAX($M$2:M139)+1,0)</f>
        <v>138</v>
      </c>
      <c r="S140" s="419" t="s">
        <v>1530</v>
      </c>
      <c r="T140" t="str">
        <f>IFERROR(VLOOKUP(ROWS($T$3:T140),$R$3:$S$992,2,0),"")</f>
        <v>Konečná úprava textilií</v>
      </c>
      <c r="U140">
        <f>IF(ISNUMBER(SEARCH('1Př1'!$A$36,N140)),MAX($M$2:M139)+1,0)</f>
        <v>138</v>
      </c>
      <c r="V140" s="419" t="s">
        <v>1530</v>
      </c>
      <c r="W140" t="str">
        <f>IFERROR(VLOOKUP(ROWS($W$3:W140),$U$3:$V$992,2,0),"")</f>
        <v>Konečná úprava textilií</v>
      </c>
      <c r="X140">
        <f>IF(ISNUMBER(SEARCH('1Př1'!$A$37,N140)),MAX($M$2:M139)+1,0)</f>
        <v>138</v>
      </c>
      <c r="Y140" s="419" t="s">
        <v>1530</v>
      </c>
      <c r="Z140" t="str">
        <f>IFERROR(VLOOKUP(ROWS($Z$3:Z140),$X$3:$Y$992,2,0),"")</f>
        <v>Konečná úprava textilií</v>
      </c>
    </row>
    <row r="141" spans="1:26" ht="12.75" customHeight="1">
      <c r="A141" s="395"/>
      <c r="B141" s="395"/>
      <c r="C141" s="395"/>
      <c r="D141" s="411">
        <f>IF(ISNUMBER(SEARCH(ZAKL_DATA!$B$14,E141)),MAX($D$2:D140)+1,0)</f>
        <v>139</v>
      </c>
      <c r="E141" s="425" t="s">
        <v>1532</v>
      </c>
      <c r="F141" s="426">
        <v>2912</v>
      </c>
      <c r="G141" s="427"/>
      <c r="H141" s="428" t="str">
        <f>IFERROR(VLOOKUP(ROWS($H$3:H141),$D$3:$E$204,2,0),"")</f>
        <v>TŘEBÍČ</v>
      </c>
      <c r="I141" s="395"/>
      <c r="J141" s="430" t="s">
        <v>1533</v>
      </c>
      <c r="K141" s="417" t="s">
        <v>1534</v>
      </c>
      <c r="M141" s="418">
        <f>IF(ISNUMBER(SEARCH(ZAKL_DATA!$B$29,N141)),MAX($M$2:M140)+1,0)</f>
        <v>139</v>
      </c>
      <c r="N141" s="419" t="s">
        <v>1535</v>
      </c>
      <c r="O141" s="436" t="s">
        <v>1536</v>
      </c>
      <c r="P141" s="421"/>
      <c r="Q141" s="422" t="str">
        <f>IFERROR(VLOOKUP(ROWS($Q$3:Q141),$M$3:$N$992,2,0),"")</f>
        <v>Výroba ostatních textilií</v>
      </c>
      <c r="R141">
        <f>IF(ISNUMBER(SEARCH('1Př1'!$A$35,N141)),MAX($M$2:M140)+1,0)</f>
        <v>139</v>
      </c>
      <c r="S141" s="419" t="s">
        <v>1535</v>
      </c>
      <c r="T141" t="str">
        <f>IFERROR(VLOOKUP(ROWS($T$3:T141),$R$3:$S$992,2,0),"")</f>
        <v>Výroba ostatních textilií</v>
      </c>
      <c r="U141">
        <f>IF(ISNUMBER(SEARCH('1Př1'!$A$36,N141)),MAX($M$2:M140)+1,0)</f>
        <v>139</v>
      </c>
      <c r="V141" s="419" t="s">
        <v>1535</v>
      </c>
      <c r="W141" t="str">
        <f>IFERROR(VLOOKUP(ROWS($W$3:W141),$U$3:$V$992,2,0),"")</f>
        <v>Výroba ostatních textilií</v>
      </c>
      <c r="X141">
        <f>IF(ISNUMBER(SEARCH('1Př1'!$A$37,N141)),MAX($M$2:M140)+1,0)</f>
        <v>139</v>
      </c>
      <c r="Y141" s="419" t="s">
        <v>1535</v>
      </c>
      <c r="Z141" t="str">
        <f>IFERROR(VLOOKUP(ROWS($Z$3:Z141),$X$3:$Y$992,2,0),"")</f>
        <v>Výroba ostatních textilií</v>
      </c>
    </row>
    <row r="142" spans="1:26" ht="12.75" customHeight="1">
      <c r="A142" s="395"/>
      <c r="B142" s="395"/>
      <c r="C142" s="395"/>
      <c r="D142" s="411">
        <f>IF(ISNUMBER(SEARCH(ZAKL_DATA!$B$14,E142)),MAX($D$2:D141)+1,0)</f>
        <v>140</v>
      </c>
      <c r="E142" s="425" t="s">
        <v>1537</v>
      </c>
      <c r="F142" s="426">
        <v>2913</v>
      </c>
      <c r="G142" s="427"/>
      <c r="H142" s="428" t="str">
        <f>IFERROR(VLOOKUP(ROWS($H$3:H142),$D$3:$E$204,2,0),"")</f>
        <v>VELKÉ MEZIŘÍČÍ</v>
      </c>
      <c r="I142" s="395"/>
      <c r="J142" s="430" t="s">
        <v>1538</v>
      </c>
      <c r="K142" s="417" t="s">
        <v>1539</v>
      </c>
      <c r="M142" s="418">
        <f>IF(ISNUMBER(SEARCH(ZAKL_DATA!$B$29,N142)),MAX($M$2:M141)+1,0)</f>
        <v>140</v>
      </c>
      <c r="N142" s="419" t="s">
        <v>1540</v>
      </c>
      <c r="O142" s="436" t="s">
        <v>928</v>
      </c>
      <c r="P142" s="421"/>
      <c r="Q142" s="422" t="str">
        <f>IFERROR(VLOOKUP(ROWS($Q$3:Q142),$M$3:$N$992,2,0),"")</f>
        <v>Pěstování cukrové třtiny</v>
      </c>
      <c r="R142">
        <f>IF(ISNUMBER(SEARCH('1Př1'!$A$35,N142)),MAX($M$2:M141)+1,0)</f>
        <v>140</v>
      </c>
      <c r="S142" s="419" t="s">
        <v>1540</v>
      </c>
      <c r="T142" t="str">
        <f>IFERROR(VLOOKUP(ROWS($T$3:T142),$R$3:$S$992,2,0),"")</f>
        <v>Pěstování cukrové třtiny</v>
      </c>
      <c r="U142">
        <f>IF(ISNUMBER(SEARCH('1Př1'!$A$36,N142)),MAX($M$2:M141)+1,0)</f>
        <v>140</v>
      </c>
      <c r="V142" s="419" t="s">
        <v>1540</v>
      </c>
      <c r="W142" t="str">
        <f>IFERROR(VLOOKUP(ROWS($W$3:W142),$U$3:$V$992,2,0),"")</f>
        <v>Pěstování cukrové třtiny</v>
      </c>
      <c r="X142">
        <f>IF(ISNUMBER(SEARCH('1Př1'!$A$37,N142)),MAX($M$2:M141)+1,0)</f>
        <v>140</v>
      </c>
      <c r="Y142" s="419" t="s">
        <v>1540</v>
      </c>
      <c r="Z142" t="str">
        <f>IFERROR(VLOOKUP(ROWS($Z$3:Z142),$X$3:$Y$992,2,0),"")</f>
        <v>Pěstování cukrové třtiny</v>
      </c>
    </row>
    <row r="143" spans="1:26" ht="12.75" customHeight="1">
      <c r="A143" s="395"/>
      <c r="B143" s="395"/>
      <c r="C143" s="395"/>
      <c r="D143" s="411">
        <f>IF(ISNUMBER(SEARCH(ZAKL_DATA!$B$14,E143)),MAX($D$2:D142)+1,0)</f>
        <v>141</v>
      </c>
      <c r="E143" s="425" t="s">
        <v>1541</v>
      </c>
      <c r="F143" s="426">
        <v>2914</v>
      </c>
      <c r="G143" s="427"/>
      <c r="H143" s="428" t="str">
        <f>IFERROR(VLOOKUP(ROWS($H$3:H143),$D$3:$E$204,2,0),"")</f>
        <v>ŽĎÁR NAD SÁZAVOU</v>
      </c>
      <c r="I143" s="395"/>
      <c r="J143" s="430" t="s">
        <v>1542</v>
      </c>
      <c r="K143" s="417" t="s">
        <v>1543</v>
      </c>
      <c r="M143" s="418">
        <f>IF(ISNUMBER(SEARCH(ZAKL_DATA!$B$29,N143)),MAX($M$2:M142)+1,0)</f>
        <v>141</v>
      </c>
      <c r="N143" s="419" t="s">
        <v>1544</v>
      </c>
      <c r="O143" s="436" t="s">
        <v>1545</v>
      </c>
      <c r="P143" s="421"/>
      <c r="Q143" s="422" t="str">
        <f>IFERROR(VLOOKUP(ROWS($Q$3:Q143),$M$3:$N$992,2,0),"")</f>
        <v>Výroba oděvů, kromě kožešinových výrobků</v>
      </c>
      <c r="R143">
        <f>IF(ISNUMBER(SEARCH('1Př1'!$A$35,N143)),MAX($M$2:M142)+1,0)</f>
        <v>141</v>
      </c>
      <c r="S143" s="419" t="s">
        <v>1544</v>
      </c>
      <c r="T143" t="str">
        <f>IFERROR(VLOOKUP(ROWS($T$3:T143),$R$3:$S$992,2,0),"")</f>
        <v>Výroba oděvů, kromě kožešinových výrobků</v>
      </c>
      <c r="U143">
        <f>IF(ISNUMBER(SEARCH('1Př1'!$A$36,N143)),MAX($M$2:M142)+1,0)</f>
        <v>141</v>
      </c>
      <c r="V143" s="419" t="s">
        <v>1544</v>
      </c>
      <c r="W143" t="str">
        <f>IFERROR(VLOOKUP(ROWS($W$3:W143),$U$3:$V$992,2,0),"")</f>
        <v>Výroba oděvů, kromě kožešinových výrobků</v>
      </c>
      <c r="X143">
        <f>IF(ISNUMBER(SEARCH('1Př1'!$A$37,N143)),MAX($M$2:M142)+1,0)</f>
        <v>141</v>
      </c>
      <c r="Y143" s="419" t="s">
        <v>1544</v>
      </c>
      <c r="Z143" t="str">
        <f>IFERROR(VLOOKUP(ROWS($Z$3:Z143),$X$3:$Y$992,2,0),"")</f>
        <v>Výroba oděvů, kromě kožešinových výrobků</v>
      </c>
    </row>
    <row r="144" spans="1:26" ht="12.75" customHeight="1">
      <c r="A144" s="395"/>
      <c r="B144" s="395"/>
      <c r="C144" s="395"/>
      <c r="D144" s="411">
        <f>IF(ISNUMBER(SEARCH(ZAKL_DATA!$B$14,E144)),MAX($D$2:D143)+1,0)</f>
        <v>142</v>
      </c>
      <c r="E144" s="425" t="s">
        <v>1546</v>
      </c>
      <c r="F144" s="426">
        <v>3001</v>
      </c>
      <c r="G144" s="427"/>
      <c r="H144" s="428" t="str">
        <f>IFERROR(VLOOKUP(ROWS($H$3:H144),$D$3:$E$204,2,0),"")</f>
        <v>BRNO I</v>
      </c>
      <c r="I144" s="395"/>
      <c r="J144" s="430" t="s">
        <v>1547</v>
      </c>
      <c r="K144" s="417" t="s">
        <v>1548</v>
      </c>
      <c r="M144" s="418">
        <f>IF(ISNUMBER(SEARCH(ZAKL_DATA!$B$29,N144)),MAX($M$2:M143)+1,0)</f>
        <v>142</v>
      </c>
      <c r="N144" s="419" t="s">
        <v>1549</v>
      </c>
      <c r="O144" s="436" t="s">
        <v>1550</v>
      </c>
      <c r="P144" s="421"/>
      <c r="Q144" s="422" t="str">
        <f>IFERROR(VLOOKUP(ROWS($Q$3:Q144),$M$3:$N$992,2,0),"")</f>
        <v>Chov mléčného skotu</v>
      </c>
      <c r="R144">
        <f>IF(ISNUMBER(SEARCH('1Př1'!$A$35,N144)),MAX($M$2:M143)+1,0)</f>
        <v>142</v>
      </c>
      <c r="S144" s="419" t="s">
        <v>1549</v>
      </c>
      <c r="T144" t="str">
        <f>IFERROR(VLOOKUP(ROWS($T$3:T144),$R$3:$S$992,2,0),"")</f>
        <v>Chov mléčného skotu</v>
      </c>
      <c r="U144">
        <f>IF(ISNUMBER(SEARCH('1Př1'!$A$36,N144)),MAX($M$2:M143)+1,0)</f>
        <v>142</v>
      </c>
      <c r="V144" s="419" t="s">
        <v>1549</v>
      </c>
      <c r="W144" t="str">
        <f>IFERROR(VLOOKUP(ROWS($W$3:W144),$U$3:$V$992,2,0),"")</f>
        <v>Chov mléčného skotu</v>
      </c>
      <c r="X144">
        <f>IF(ISNUMBER(SEARCH('1Př1'!$A$37,N144)),MAX($M$2:M143)+1,0)</f>
        <v>142</v>
      </c>
      <c r="Y144" s="419" t="s">
        <v>1549</v>
      </c>
      <c r="Z144" t="str">
        <f>IFERROR(VLOOKUP(ROWS($Z$3:Z144),$X$3:$Y$992,2,0),"")</f>
        <v>Chov mléčného skotu</v>
      </c>
    </row>
    <row r="145" spans="1:26" ht="12.75" customHeight="1">
      <c r="A145" s="395"/>
      <c r="B145" s="395"/>
      <c r="C145" s="395"/>
      <c r="D145" s="411">
        <f>IF(ISNUMBER(SEARCH(ZAKL_DATA!$B$14,E145)),MAX($D$2:D144)+1,0)</f>
        <v>143</v>
      </c>
      <c r="E145" s="425" t="s">
        <v>1551</v>
      </c>
      <c r="F145" s="426">
        <v>3002</v>
      </c>
      <c r="G145" s="427"/>
      <c r="H145" s="428" t="str">
        <f>IFERROR(VLOOKUP(ROWS($H$3:H145),$D$3:$E$204,2,0),"")</f>
        <v>BRNO II</v>
      </c>
      <c r="I145" s="395"/>
      <c r="J145" s="430" t="s">
        <v>1552</v>
      </c>
      <c r="K145" s="417" t="s">
        <v>1553</v>
      </c>
      <c r="M145" s="418">
        <f>IF(ISNUMBER(SEARCH(ZAKL_DATA!$B$29,N145)),MAX($M$2:M144)+1,0)</f>
        <v>143</v>
      </c>
      <c r="N145" s="419" t="s">
        <v>1554</v>
      </c>
      <c r="O145" s="436" t="s">
        <v>1555</v>
      </c>
      <c r="P145" s="421"/>
      <c r="Q145" s="422" t="str">
        <f>IFERROR(VLOOKUP(ROWS($Q$3:Q145),$M$3:$N$992,2,0),"")</f>
        <v>Výroba kožešinových výrobků</v>
      </c>
      <c r="R145">
        <f>IF(ISNUMBER(SEARCH('1Př1'!$A$35,N145)),MAX($M$2:M144)+1,0)</f>
        <v>143</v>
      </c>
      <c r="S145" s="419" t="s">
        <v>1554</v>
      </c>
      <c r="T145" t="str">
        <f>IFERROR(VLOOKUP(ROWS($T$3:T145),$R$3:$S$992,2,0),"")</f>
        <v>Výroba kožešinových výrobků</v>
      </c>
      <c r="U145">
        <f>IF(ISNUMBER(SEARCH('1Př1'!$A$36,N145)),MAX($M$2:M144)+1,0)</f>
        <v>143</v>
      </c>
      <c r="V145" s="419" t="s">
        <v>1554</v>
      </c>
      <c r="W145" t="str">
        <f>IFERROR(VLOOKUP(ROWS($W$3:W145),$U$3:$V$992,2,0),"")</f>
        <v>Výroba kožešinových výrobků</v>
      </c>
      <c r="X145">
        <f>IF(ISNUMBER(SEARCH('1Př1'!$A$37,N145)),MAX($M$2:M144)+1,0)</f>
        <v>143</v>
      </c>
      <c r="Y145" s="419" t="s">
        <v>1554</v>
      </c>
      <c r="Z145" t="str">
        <f>IFERROR(VLOOKUP(ROWS($Z$3:Z145),$X$3:$Y$992,2,0),"")</f>
        <v>Výroba kožešinových výrobků</v>
      </c>
    </row>
    <row r="146" spans="1:26" ht="12.75" customHeight="1">
      <c r="A146" s="395"/>
      <c r="B146" s="395"/>
      <c r="C146" s="395"/>
      <c r="D146" s="411">
        <f>IF(ISNUMBER(SEARCH(ZAKL_DATA!$B$14,E146)),MAX($D$2:D145)+1,0)</f>
        <v>144</v>
      </c>
      <c r="E146" s="425" t="s">
        <v>1556</v>
      </c>
      <c r="F146" s="426">
        <v>3003</v>
      </c>
      <c r="G146" s="427"/>
      <c r="H146" s="428" t="str">
        <f>IFERROR(VLOOKUP(ROWS($H$3:H146),$D$3:$E$204,2,0),"")</f>
        <v>BRNO III</v>
      </c>
      <c r="I146" s="395"/>
      <c r="J146" s="430" t="s">
        <v>1557</v>
      </c>
      <c r="K146" s="417" t="s">
        <v>1558</v>
      </c>
      <c r="M146" s="418">
        <f>IF(ISNUMBER(SEARCH(ZAKL_DATA!$B$29,N146)),MAX($M$2:M145)+1,0)</f>
        <v>144</v>
      </c>
      <c r="N146" s="419" t="s">
        <v>1559</v>
      </c>
      <c r="O146" s="436" t="s">
        <v>1560</v>
      </c>
      <c r="P146" s="421"/>
      <c r="Q146" s="422" t="str">
        <f>IFERROR(VLOOKUP(ROWS($Q$3:Q146),$M$3:$N$992,2,0),"")</f>
        <v>Chov jiného skotu</v>
      </c>
      <c r="R146">
        <f>IF(ISNUMBER(SEARCH('1Př1'!$A$35,N146)),MAX($M$2:M145)+1,0)</f>
        <v>144</v>
      </c>
      <c r="S146" s="419" t="s">
        <v>1559</v>
      </c>
      <c r="T146" t="str">
        <f>IFERROR(VLOOKUP(ROWS($T$3:T146),$R$3:$S$992,2,0),"")</f>
        <v>Chov jiného skotu</v>
      </c>
      <c r="U146">
        <f>IF(ISNUMBER(SEARCH('1Př1'!$A$36,N146)),MAX($M$2:M145)+1,0)</f>
        <v>144</v>
      </c>
      <c r="V146" s="419" t="s">
        <v>1559</v>
      </c>
      <c r="W146" t="str">
        <f>IFERROR(VLOOKUP(ROWS($W$3:W146),$U$3:$V$992,2,0),"")</f>
        <v>Chov jiného skotu</v>
      </c>
      <c r="X146">
        <f>IF(ISNUMBER(SEARCH('1Př1'!$A$37,N146)),MAX($M$2:M145)+1,0)</f>
        <v>144</v>
      </c>
      <c r="Y146" s="419" t="s">
        <v>1559</v>
      </c>
      <c r="Z146" t="str">
        <f>IFERROR(VLOOKUP(ROWS($Z$3:Z146),$X$3:$Y$992,2,0),"")</f>
        <v>Chov jiného skotu</v>
      </c>
    </row>
    <row r="147" spans="1:26" ht="12.75" customHeight="1">
      <c r="A147" s="395"/>
      <c r="B147" s="395"/>
      <c r="C147" s="395"/>
      <c r="D147" s="411">
        <f>IF(ISNUMBER(SEARCH(ZAKL_DATA!$B$14,E147)),MAX($D$2:D146)+1,0)</f>
        <v>145</v>
      </c>
      <c r="E147" s="425" t="s">
        <v>1561</v>
      </c>
      <c r="F147" s="426">
        <v>3004</v>
      </c>
      <c r="G147" s="427"/>
      <c r="H147" s="428" t="str">
        <f>IFERROR(VLOOKUP(ROWS($H$3:H147),$D$3:$E$204,2,0),"")</f>
        <v>BRNO IV</v>
      </c>
      <c r="I147" s="395"/>
      <c r="J147" s="430" t="s">
        <v>1562</v>
      </c>
      <c r="K147" s="417" t="s">
        <v>1563</v>
      </c>
      <c r="M147" s="418">
        <f>IF(ISNUMBER(SEARCH(ZAKL_DATA!$B$29,N147)),MAX($M$2:M146)+1,0)</f>
        <v>145</v>
      </c>
      <c r="N147" s="419" t="s">
        <v>1564</v>
      </c>
      <c r="O147" s="420" t="s">
        <v>1565</v>
      </c>
      <c r="P147" s="421"/>
      <c r="Q147" s="422" t="str">
        <f>IFERROR(VLOOKUP(ROWS($Q$3:Q147),$M$3:$N$992,2,0),"")</f>
        <v>Výroba pletených a háčkovaných oděvů</v>
      </c>
      <c r="R147">
        <f>IF(ISNUMBER(SEARCH('1Př1'!$A$35,N147)),MAX($M$2:M146)+1,0)</f>
        <v>145</v>
      </c>
      <c r="S147" s="419" t="s">
        <v>1564</v>
      </c>
      <c r="T147" t="str">
        <f>IFERROR(VLOOKUP(ROWS($T$3:T147),$R$3:$S$992,2,0),"")</f>
        <v>Výroba pletených a háčkovaných oděvů</v>
      </c>
      <c r="U147">
        <f>IF(ISNUMBER(SEARCH('1Př1'!$A$36,N147)),MAX($M$2:M146)+1,0)</f>
        <v>145</v>
      </c>
      <c r="V147" s="419" t="s">
        <v>1564</v>
      </c>
      <c r="W147" t="str">
        <f>IFERROR(VLOOKUP(ROWS($W$3:W147),$U$3:$V$992,2,0),"")</f>
        <v>Výroba pletených a háčkovaných oděvů</v>
      </c>
      <c r="X147">
        <f>IF(ISNUMBER(SEARCH('1Př1'!$A$37,N147)),MAX($M$2:M146)+1,0)</f>
        <v>145</v>
      </c>
      <c r="Y147" s="419" t="s">
        <v>1564</v>
      </c>
      <c r="Z147" t="str">
        <f>IFERROR(VLOOKUP(ROWS($Z$3:Z147),$X$3:$Y$992,2,0),"")</f>
        <v>Výroba pletených a háčkovaných oděvů</v>
      </c>
    </row>
    <row r="148" spans="1:26" ht="12.75" customHeight="1">
      <c r="A148" s="395"/>
      <c r="B148" s="395"/>
      <c r="C148" s="395"/>
      <c r="D148" s="411">
        <f>IF(ISNUMBER(SEARCH(ZAKL_DATA!$B$14,E148)),MAX($D$2:D147)+1,0)</f>
        <v>146</v>
      </c>
      <c r="E148" s="425" t="s">
        <v>1566</v>
      </c>
      <c r="F148" s="426">
        <v>3005</v>
      </c>
      <c r="G148" s="427"/>
      <c r="H148" s="428" t="str">
        <f>IFERROR(VLOOKUP(ROWS($H$3:H148),$D$3:$E$204,2,0),"")</f>
        <v>BRNO VENKOV</v>
      </c>
      <c r="I148" s="395"/>
      <c r="J148" s="430" t="s">
        <v>1567</v>
      </c>
      <c r="K148" s="417" t="s">
        <v>1568</v>
      </c>
      <c r="M148" s="418">
        <f>IF(ISNUMBER(SEARCH(ZAKL_DATA!$B$29,N148)),MAX($M$2:M147)+1,0)</f>
        <v>146</v>
      </c>
      <c r="N148" s="419" t="s">
        <v>1569</v>
      </c>
      <c r="O148" s="436" t="s">
        <v>1570</v>
      </c>
      <c r="P148" s="421"/>
      <c r="Q148" s="422" t="str">
        <f>IFERROR(VLOOKUP(ROWS($Q$3:Q148),$M$3:$N$992,2,0),"")</f>
        <v>Chov koní a jiných koňovitých</v>
      </c>
      <c r="R148">
        <f>IF(ISNUMBER(SEARCH('1Př1'!$A$35,N148)),MAX($M$2:M147)+1,0)</f>
        <v>146</v>
      </c>
      <c r="S148" s="419" t="s">
        <v>1569</v>
      </c>
      <c r="T148" t="str">
        <f>IFERROR(VLOOKUP(ROWS($T$3:T148),$R$3:$S$992,2,0),"")</f>
        <v>Chov koní a jiných koňovitých</v>
      </c>
      <c r="U148">
        <f>IF(ISNUMBER(SEARCH('1Př1'!$A$36,N148)),MAX($M$2:M147)+1,0)</f>
        <v>146</v>
      </c>
      <c r="V148" s="419" t="s">
        <v>1569</v>
      </c>
      <c r="W148" t="str">
        <f>IFERROR(VLOOKUP(ROWS($W$3:W148),$U$3:$V$992,2,0),"")</f>
        <v>Chov koní a jiných koňovitých</v>
      </c>
      <c r="X148">
        <f>IF(ISNUMBER(SEARCH('1Př1'!$A$37,N148)),MAX($M$2:M147)+1,0)</f>
        <v>146</v>
      </c>
      <c r="Y148" s="419" t="s">
        <v>1569</v>
      </c>
      <c r="Z148" t="str">
        <f>IFERROR(VLOOKUP(ROWS($Z$3:Z148),$X$3:$Y$992,2,0),"")</f>
        <v>Chov koní a jiných koňovitých</v>
      </c>
    </row>
    <row r="149" spans="1:26" ht="12.75" customHeight="1">
      <c r="A149" s="395"/>
      <c r="B149" s="395"/>
      <c r="C149" s="395"/>
      <c r="D149" s="411">
        <f>IF(ISNUMBER(SEARCH(ZAKL_DATA!$B$14,E149)),MAX($D$2:D148)+1,0)</f>
        <v>147</v>
      </c>
      <c r="E149" s="425" t="s">
        <v>1571</v>
      </c>
      <c r="F149" s="426">
        <v>3006</v>
      </c>
      <c r="G149" s="427"/>
      <c r="H149" s="428" t="str">
        <f>IFERROR(VLOOKUP(ROWS($H$3:H149),$D$3:$E$204,2,0),"")</f>
        <v>BLANSKO</v>
      </c>
      <c r="I149" s="395"/>
      <c r="J149" s="430" t="s">
        <v>1572</v>
      </c>
      <c r="K149" s="417" t="s">
        <v>1573</v>
      </c>
      <c r="M149" s="418">
        <f>IF(ISNUMBER(SEARCH(ZAKL_DATA!$B$29,N149)),MAX($M$2:M148)+1,0)</f>
        <v>147</v>
      </c>
      <c r="N149" s="419" t="s">
        <v>1574</v>
      </c>
      <c r="O149" s="436" t="s">
        <v>1575</v>
      </c>
      <c r="P149" s="421"/>
      <c r="Q149" s="422" t="str">
        <f>IFERROR(VLOOKUP(ROWS($Q$3:Q149),$M$3:$N$992,2,0),"")</f>
        <v>Chov velbloudů a velbloudovitých</v>
      </c>
      <c r="R149">
        <f>IF(ISNUMBER(SEARCH('1Př1'!$A$35,N149)),MAX($M$2:M148)+1,0)</f>
        <v>147</v>
      </c>
      <c r="S149" s="419" t="s">
        <v>1574</v>
      </c>
      <c r="T149" t="str">
        <f>IFERROR(VLOOKUP(ROWS($T$3:T149),$R$3:$S$992,2,0),"")</f>
        <v>Chov velbloudů a velbloudovitých</v>
      </c>
      <c r="U149">
        <f>IF(ISNUMBER(SEARCH('1Př1'!$A$36,N149)),MAX($M$2:M148)+1,0)</f>
        <v>147</v>
      </c>
      <c r="V149" s="419" t="s">
        <v>1574</v>
      </c>
      <c r="W149" t="str">
        <f>IFERROR(VLOOKUP(ROWS($W$3:W149),$U$3:$V$992,2,0),"")</f>
        <v>Chov velbloudů a velbloudovitých</v>
      </c>
      <c r="X149">
        <f>IF(ISNUMBER(SEARCH('1Př1'!$A$37,N149)),MAX($M$2:M148)+1,0)</f>
        <v>147</v>
      </c>
      <c r="Y149" s="419" t="s">
        <v>1574</v>
      </c>
      <c r="Z149" t="str">
        <f>IFERROR(VLOOKUP(ROWS($Z$3:Z149),$X$3:$Y$992,2,0),"")</f>
        <v>Chov velbloudů a velbloudovitých</v>
      </c>
    </row>
    <row r="150" spans="1:26" ht="12.75" customHeight="1">
      <c r="A150" s="395"/>
      <c r="B150" s="395"/>
      <c r="C150" s="395"/>
      <c r="D150" s="411">
        <f>IF(ISNUMBER(SEARCH(ZAKL_DATA!$B$14,E150)),MAX($D$2:D149)+1,0)</f>
        <v>148</v>
      </c>
      <c r="E150" s="425" t="s">
        <v>1576</v>
      </c>
      <c r="F150" s="426">
        <v>3007</v>
      </c>
      <c r="G150" s="427"/>
      <c r="H150" s="428" t="str">
        <f>IFERROR(VLOOKUP(ROWS($H$3:H150),$D$3:$E$204,2,0),"")</f>
        <v>BOSKOVICE</v>
      </c>
      <c r="I150" s="395"/>
      <c r="J150" s="430" t="s">
        <v>1577</v>
      </c>
      <c r="K150" s="417" t="s">
        <v>1578</v>
      </c>
      <c r="M150" s="418">
        <f>IF(ISNUMBER(SEARCH(ZAKL_DATA!$B$29,N150)),MAX($M$2:M149)+1,0)</f>
        <v>148</v>
      </c>
      <c r="N150" s="419" t="s">
        <v>1579</v>
      </c>
      <c r="O150" s="436" t="s">
        <v>1580</v>
      </c>
      <c r="P150" s="421"/>
      <c r="Q150" s="422" t="str">
        <f>IFERROR(VLOOKUP(ROWS($Q$3:Q150),$M$3:$N$992,2,0),"")</f>
        <v>Chov ovcí a koz</v>
      </c>
      <c r="R150">
        <f>IF(ISNUMBER(SEARCH('1Př1'!$A$35,N150)),MAX($M$2:M149)+1,0)</f>
        <v>148</v>
      </c>
      <c r="S150" s="419" t="s">
        <v>1579</v>
      </c>
      <c r="T150" t="str">
        <f>IFERROR(VLOOKUP(ROWS($T$3:T150),$R$3:$S$992,2,0),"")</f>
        <v>Chov ovcí a koz</v>
      </c>
      <c r="U150">
        <f>IF(ISNUMBER(SEARCH('1Př1'!$A$36,N150)),MAX($M$2:M149)+1,0)</f>
        <v>148</v>
      </c>
      <c r="V150" s="419" t="s">
        <v>1579</v>
      </c>
      <c r="W150" t="str">
        <f>IFERROR(VLOOKUP(ROWS($W$3:W150),$U$3:$V$992,2,0),"")</f>
        <v>Chov ovcí a koz</v>
      </c>
      <c r="X150">
        <f>IF(ISNUMBER(SEARCH('1Př1'!$A$37,N150)),MAX($M$2:M149)+1,0)</f>
        <v>148</v>
      </c>
      <c r="Y150" s="419" t="s">
        <v>1579</v>
      </c>
      <c r="Z150" t="str">
        <f>IFERROR(VLOOKUP(ROWS($Z$3:Z150),$X$3:$Y$992,2,0),"")</f>
        <v>Chov ovcí a koz</v>
      </c>
    </row>
    <row r="151" spans="1:26" ht="12.75" customHeight="1">
      <c r="A151" s="395"/>
      <c r="B151" s="395"/>
      <c r="C151" s="395"/>
      <c r="D151" s="411">
        <f>IF(ISNUMBER(SEARCH(ZAKL_DATA!$B$14,E151)),MAX($D$2:D150)+1,0)</f>
        <v>149</v>
      </c>
      <c r="E151" s="425" t="s">
        <v>1581</v>
      </c>
      <c r="F151" s="426">
        <v>3008</v>
      </c>
      <c r="G151" s="427"/>
      <c r="H151" s="428" t="str">
        <f>IFERROR(VLOOKUP(ROWS($H$3:H151),$D$3:$E$204,2,0),"")</f>
        <v>BŘECLAV</v>
      </c>
      <c r="I151" s="395"/>
      <c r="J151" s="430" t="s">
        <v>1582</v>
      </c>
      <c r="K151" s="417" t="s">
        <v>1583</v>
      </c>
      <c r="M151" s="418">
        <f>IF(ISNUMBER(SEARCH(ZAKL_DATA!$B$29,N151)),MAX($M$2:M150)+1,0)</f>
        <v>149</v>
      </c>
      <c r="N151" s="419" t="s">
        <v>1584</v>
      </c>
      <c r="O151" s="436" t="s">
        <v>1585</v>
      </c>
      <c r="P151" s="421"/>
      <c r="Q151" s="422" t="str">
        <f>IFERROR(VLOOKUP(ROWS($Q$3:Q151),$M$3:$N$992,2,0),"")</f>
        <v>Chov prasat</v>
      </c>
      <c r="R151">
        <f>IF(ISNUMBER(SEARCH('1Př1'!$A$35,N151)),MAX($M$2:M150)+1,0)</f>
        <v>149</v>
      </c>
      <c r="S151" s="419" t="s">
        <v>1584</v>
      </c>
      <c r="T151" t="str">
        <f>IFERROR(VLOOKUP(ROWS($T$3:T151),$R$3:$S$992,2,0),"")</f>
        <v>Chov prasat</v>
      </c>
      <c r="U151">
        <f>IF(ISNUMBER(SEARCH('1Př1'!$A$36,N151)),MAX($M$2:M150)+1,0)</f>
        <v>149</v>
      </c>
      <c r="V151" s="419" t="s">
        <v>1584</v>
      </c>
      <c r="W151" t="str">
        <f>IFERROR(VLOOKUP(ROWS($W$3:W151),$U$3:$V$992,2,0),"")</f>
        <v>Chov prasat</v>
      </c>
      <c r="X151">
        <f>IF(ISNUMBER(SEARCH('1Př1'!$A$37,N151)),MAX($M$2:M150)+1,0)</f>
        <v>149</v>
      </c>
      <c r="Y151" s="419" t="s">
        <v>1584</v>
      </c>
      <c r="Z151" t="str">
        <f>IFERROR(VLOOKUP(ROWS($Z$3:Z151),$X$3:$Y$992,2,0),"")</f>
        <v>Chov prasat</v>
      </c>
    </row>
    <row r="152" spans="1:26" ht="12.75" customHeight="1">
      <c r="A152" s="395"/>
      <c r="B152" s="395"/>
      <c r="C152" s="395"/>
      <c r="D152" s="411">
        <f>IF(ISNUMBER(SEARCH(ZAKL_DATA!$B$14,E152)),MAX($D$2:D151)+1,0)</f>
        <v>150</v>
      </c>
      <c r="E152" s="425" t="s">
        <v>1586</v>
      </c>
      <c r="F152" s="426">
        <v>3009</v>
      </c>
      <c r="G152" s="427"/>
      <c r="H152" s="428" t="str">
        <f>IFERROR(VLOOKUP(ROWS($H$3:H152),$D$3:$E$204,2,0),"")</f>
        <v>BUČOVICE</v>
      </c>
      <c r="I152" s="395"/>
      <c r="J152" s="430" t="s">
        <v>1587</v>
      </c>
      <c r="K152" s="417" t="s">
        <v>1588</v>
      </c>
      <c r="M152" s="418">
        <f>IF(ISNUMBER(SEARCH(ZAKL_DATA!$B$29,N152)),MAX($M$2:M151)+1,0)</f>
        <v>150</v>
      </c>
      <c r="N152" s="419" t="s">
        <v>1589</v>
      </c>
      <c r="O152" s="436" t="s">
        <v>1590</v>
      </c>
      <c r="P152" s="421"/>
      <c r="Q152" s="422" t="str">
        <f>IFERROR(VLOOKUP(ROWS($Q$3:Q152),$M$3:$N$992,2,0),"")</f>
        <v>Chov drůbeže</v>
      </c>
      <c r="R152">
        <f>IF(ISNUMBER(SEARCH('1Př1'!$A$35,N152)),MAX($M$2:M151)+1,0)</f>
        <v>150</v>
      </c>
      <c r="S152" s="419" t="s">
        <v>1589</v>
      </c>
      <c r="T152" t="str">
        <f>IFERROR(VLOOKUP(ROWS($T$3:T152),$R$3:$S$992,2,0),"")</f>
        <v>Chov drůbeže</v>
      </c>
      <c r="U152">
        <f>IF(ISNUMBER(SEARCH('1Př1'!$A$36,N152)),MAX($M$2:M151)+1,0)</f>
        <v>150</v>
      </c>
      <c r="V152" s="419" t="s">
        <v>1589</v>
      </c>
      <c r="W152" t="str">
        <f>IFERROR(VLOOKUP(ROWS($W$3:W152),$U$3:$V$992,2,0),"")</f>
        <v>Chov drůbeže</v>
      </c>
      <c r="X152">
        <f>IF(ISNUMBER(SEARCH('1Př1'!$A$37,N152)),MAX($M$2:M151)+1,0)</f>
        <v>150</v>
      </c>
      <c r="Y152" s="419" t="s">
        <v>1589</v>
      </c>
      <c r="Z152" t="str">
        <f>IFERROR(VLOOKUP(ROWS($Z$3:Z152),$X$3:$Y$992,2,0),"")</f>
        <v>Chov drůbeže</v>
      </c>
    </row>
    <row r="153" spans="1:26" ht="12.75" customHeight="1">
      <c r="A153" s="395"/>
      <c r="B153" s="395"/>
      <c r="C153" s="395"/>
      <c r="D153" s="411">
        <f>IF(ISNUMBER(SEARCH(ZAKL_DATA!$B$14,E153)),MAX($D$2:D152)+1,0)</f>
        <v>151</v>
      </c>
      <c r="E153" s="425" t="s">
        <v>1591</v>
      </c>
      <c r="F153" s="426">
        <v>3010</v>
      </c>
      <c r="G153" s="427"/>
      <c r="H153" s="428" t="str">
        <f>IFERROR(VLOOKUP(ROWS($H$3:H153),$D$3:$E$204,2,0),"")</f>
        <v>HODONÍN</v>
      </c>
      <c r="I153" s="395"/>
      <c r="J153" s="430" t="s">
        <v>1592</v>
      </c>
      <c r="K153" s="417" t="s">
        <v>1593</v>
      </c>
      <c r="M153" s="418">
        <f>IF(ISNUMBER(SEARCH(ZAKL_DATA!$B$29,N153)),MAX($M$2:M152)+1,0)</f>
        <v>151</v>
      </c>
      <c r="N153" s="419" t="s">
        <v>1594</v>
      </c>
      <c r="O153" s="436" t="s">
        <v>1595</v>
      </c>
      <c r="P153" s="421"/>
      <c r="Q153" s="422" t="str">
        <f>IFERROR(VLOOKUP(ROWS($Q$3:Q153),$M$3:$N$992,2,0),"")</f>
        <v>Chov ostatních zvířat</v>
      </c>
      <c r="R153">
        <f>IF(ISNUMBER(SEARCH('1Př1'!$A$35,N153)),MAX($M$2:M152)+1,0)</f>
        <v>151</v>
      </c>
      <c r="S153" s="419" t="s">
        <v>1594</v>
      </c>
      <c r="T153" t="str">
        <f>IFERROR(VLOOKUP(ROWS($T$3:T153),$R$3:$S$992,2,0),"")</f>
        <v>Chov ostatních zvířat</v>
      </c>
      <c r="U153">
        <f>IF(ISNUMBER(SEARCH('1Př1'!$A$36,N153)),MAX($M$2:M152)+1,0)</f>
        <v>151</v>
      </c>
      <c r="V153" s="419" t="s">
        <v>1594</v>
      </c>
      <c r="W153" t="str">
        <f>IFERROR(VLOOKUP(ROWS($W$3:W153),$U$3:$V$992,2,0),"")</f>
        <v>Chov ostatních zvířat</v>
      </c>
      <c r="X153">
        <f>IF(ISNUMBER(SEARCH('1Př1'!$A$37,N153)),MAX($M$2:M152)+1,0)</f>
        <v>151</v>
      </c>
      <c r="Y153" s="419" t="s">
        <v>1594</v>
      </c>
      <c r="Z153" t="str">
        <f>IFERROR(VLOOKUP(ROWS($Z$3:Z153),$X$3:$Y$992,2,0),"")</f>
        <v>Chov ostatních zvířat</v>
      </c>
    </row>
    <row r="154" spans="1:26" ht="12.75" customHeight="1">
      <c r="A154" s="395"/>
      <c r="B154" s="395"/>
      <c r="C154" s="395"/>
      <c r="D154" s="411">
        <f>IF(ISNUMBER(SEARCH(ZAKL_DATA!$B$14,E154)),MAX($D$2:D153)+1,0)</f>
        <v>152</v>
      </c>
      <c r="E154" s="425" t="s">
        <v>1596</v>
      </c>
      <c r="F154" s="426">
        <v>3011</v>
      </c>
      <c r="G154" s="427"/>
      <c r="H154" s="428" t="str">
        <f>IFERROR(VLOOKUP(ROWS($H$3:H154),$D$3:$E$204,2,0),"")</f>
        <v>HUSTOPEČE</v>
      </c>
      <c r="I154" s="395"/>
      <c r="J154" s="430" t="s">
        <v>1597</v>
      </c>
      <c r="K154" s="417" t="s">
        <v>1598</v>
      </c>
      <c r="M154" s="418">
        <f>IF(ISNUMBER(SEARCH(ZAKL_DATA!$B$29,N154)),MAX($M$2:M153)+1,0)</f>
        <v>152</v>
      </c>
      <c r="N154" s="419" t="s">
        <v>1599</v>
      </c>
      <c r="O154" s="436" t="s">
        <v>1600</v>
      </c>
      <c r="P154" s="421"/>
      <c r="Q154" s="422" t="str">
        <f>IFERROR(VLOOKUP(ROWS($Q$3:Q154),$M$3:$N$992,2,0),"")</f>
        <v>Činění a úprava usní (vyčiněných kůží); zpracování a barvení kožešin; výrob</v>
      </c>
      <c r="R154">
        <f>IF(ISNUMBER(SEARCH('1Př1'!$A$35,N154)),MAX($M$2:M153)+1,0)</f>
        <v>152</v>
      </c>
      <c r="S154" s="419" t="s">
        <v>1599</v>
      </c>
      <c r="T154" t="str">
        <f>IFERROR(VLOOKUP(ROWS($T$3:T154),$R$3:$S$992,2,0),"")</f>
        <v>Činění a úprava usní (vyčiněných kůží); zpracování a barvení kožešin; výrob</v>
      </c>
      <c r="U154">
        <f>IF(ISNUMBER(SEARCH('1Př1'!$A$36,N154)),MAX($M$2:M153)+1,0)</f>
        <v>152</v>
      </c>
      <c r="V154" s="419" t="s">
        <v>1599</v>
      </c>
      <c r="W154" t="str">
        <f>IFERROR(VLOOKUP(ROWS($W$3:W154),$U$3:$V$992,2,0),"")</f>
        <v>Činění a úprava usní (vyčiněných kůží); zpracování a barvení kožešin; výrob</v>
      </c>
      <c r="X154">
        <f>IF(ISNUMBER(SEARCH('1Př1'!$A$37,N154)),MAX($M$2:M153)+1,0)</f>
        <v>152</v>
      </c>
      <c r="Y154" s="419" t="s">
        <v>1599</v>
      </c>
      <c r="Z154" t="str">
        <f>IFERROR(VLOOKUP(ROWS($Z$3:Z154),$X$3:$Y$992,2,0),"")</f>
        <v>Činění a úprava usní (vyčiněných kůží); zpracování a barvení kožešin; výrob</v>
      </c>
    </row>
    <row r="155" spans="1:26" ht="12.75" customHeight="1">
      <c r="A155" s="395"/>
      <c r="B155" s="395"/>
      <c r="C155" s="395"/>
      <c r="D155" s="411">
        <f>IF(ISNUMBER(SEARCH(ZAKL_DATA!$B$14,E155)),MAX($D$2:D154)+1,0)</f>
        <v>153</v>
      </c>
      <c r="E155" s="425" t="s">
        <v>1601</v>
      </c>
      <c r="F155" s="426">
        <v>3012</v>
      </c>
      <c r="G155" s="427"/>
      <c r="H155" s="428" t="str">
        <f>IFERROR(VLOOKUP(ROWS($H$3:H155),$D$3:$E$204,2,0),"")</f>
        <v>IVANČICE</v>
      </c>
      <c r="I155" s="395"/>
      <c r="J155" s="430" t="s">
        <v>1602</v>
      </c>
      <c r="K155" s="417" t="s">
        <v>1603</v>
      </c>
      <c r="M155" s="418">
        <f>IF(ISNUMBER(SEARCH(ZAKL_DATA!$B$29,N155)),MAX($M$2:M154)+1,0)</f>
        <v>153</v>
      </c>
      <c r="N155" s="419" t="s">
        <v>1604</v>
      </c>
      <c r="O155" s="436" t="s">
        <v>1605</v>
      </c>
      <c r="P155" s="421"/>
      <c r="Q155" s="422" t="str">
        <f>IFERROR(VLOOKUP(ROWS($Q$3:Q155),$M$3:$N$992,2,0),"")</f>
        <v>Výroba obuvi</v>
      </c>
      <c r="R155">
        <f>IF(ISNUMBER(SEARCH('1Př1'!$A$35,N155)),MAX($M$2:M154)+1,0)</f>
        <v>153</v>
      </c>
      <c r="S155" s="419" t="s">
        <v>1604</v>
      </c>
      <c r="T155" t="str">
        <f>IFERROR(VLOOKUP(ROWS($T$3:T155),$R$3:$S$992,2,0),"")</f>
        <v>Výroba obuvi</v>
      </c>
      <c r="U155">
        <f>IF(ISNUMBER(SEARCH('1Př1'!$A$36,N155)),MAX($M$2:M154)+1,0)</f>
        <v>153</v>
      </c>
      <c r="V155" s="419" t="s">
        <v>1604</v>
      </c>
      <c r="W155" t="str">
        <f>IFERROR(VLOOKUP(ROWS($W$3:W155),$U$3:$V$992,2,0),"")</f>
        <v>Výroba obuvi</v>
      </c>
      <c r="X155">
        <f>IF(ISNUMBER(SEARCH('1Př1'!$A$37,N155)),MAX($M$2:M154)+1,0)</f>
        <v>153</v>
      </c>
      <c r="Y155" s="419" t="s">
        <v>1604</v>
      </c>
      <c r="Z155" t="str">
        <f>IFERROR(VLOOKUP(ROWS($Z$3:Z155),$X$3:$Y$992,2,0),"")</f>
        <v>Výroba obuvi</v>
      </c>
    </row>
    <row r="156" spans="1:26" ht="12.75" customHeight="1">
      <c r="A156" s="395"/>
      <c r="B156" s="395"/>
      <c r="C156" s="395"/>
      <c r="D156" s="411">
        <f>IF(ISNUMBER(SEARCH(ZAKL_DATA!$B$14,E156)),MAX($D$2:D155)+1,0)</f>
        <v>154</v>
      </c>
      <c r="E156" s="425" t="s">
        <v>1606</v>
      </c>
      <c r="F156" s="426">
        <v>3013</v>
      </c>
      <c r="G156" s="427"/>
      <c r="H156" s="428" t="str">
        <f>IFERROR(VLOOKUP(ROWS($H$3:H156),$D$3:$E$204,2,0),"")</f>
        <v>KYJOV</v>
      </c>
      <c r="I156" s="395"/>
      <c r="J156" s="430" t="s">
        <v>1607</v>
      </c>
      <c r="K156" s="417" t="s">
        <v>1608</v>
      </c>
      <c r="M156" s="418">
        <f>IF(ISNUMBER(SEARCH(ZAKL_DATA!$B$29,N156)),MAX($M$2:M155)+1,0)</f>
        <v>154</v>
      </c>
      <c r="N156" s="419" t="s">
        <v>1609</v>
      </c>
      <c r="O156" s="436" t="s">
        <v>1610</v>
      </c>
      <c r="P156" s="421"/>
      <c r="Q156" s="422" t="str">
        <f>IFERROR(VLOOKUP(ROWS($Q$3:Q156),$M$3:$N$992,2,0),"")</f>
        <v>Výroba pilařská a impregnace dřeva</v>
      </c>
      <c r="R156">
        <f>IF(ISNUMBER(SEARCH('1Př1'!$A$35,N156)),MAX($M$2:M155)+1,0)</f>
        <v>154</v>
      </c>
      <c r="S156" s="419" t="s">
        <v>1609</v>
      </c>
      <c r="T156" t="str">
        <f>IFERROR(VLOOKUP(ROWS($T$3:T156),$R$3:$S$992,2,0),"")</f>
        <v>Výroba pilařská a impregnace dřeva</v>
      </c>
      <c r="U156">
        <f>IF(ISNUMBER(SEARCH('1Př1'!$A$36,N156)),MAX($M$2:M155)+1,0)</f>
        <v>154</v>
      </c>
      <c r="V156" s="419" t="s">
        <v>1609</v>
      </c>
      <c r="W156" t="str">
        <f>IFERROR(VLOOKUP(ROWS($W$3:W156),$U$3:$V$992,2,0),"")</f>
        <v>Výroba pilařská a impregnace dřeva</v>
      </c>
      <c r="X156">
        <f>IF(ISNUMBER(SEARCH('1Př1'!$A$37,N156)),MAX($M$2:M155)+1,0)</f>
        <v>154</v>
      </c>
      <c r="Y156" s="419" t="s">
        <v>1609</v>
      </c>
      <c r="Z156" t="str">
        <f>IFERROR(VLOOKUP(ROWS($Z$3:Z156),$X$3:$Y$992,2,0),"")</f>
        <v>Výroba pilařská a impregnace dřeva</v>
      </c>
    </row>
    <row r="157" spans="1:26" ht="12.75" customHeight="1">
      <c r="A157" s="395"/>
      <c r="B157" s="395"/>
      <c r="C157" s="395"/>
      <c r="D157" s="411">
        <f>IF(ISNUMBER(SEARCH(ZAKL_DATA!$B$14,E157)),MAX($D$2:D156)+1,0)</f>
        <v>155</v>
      </c>
      <c r="E157" s="425" t="s">
        <v>1611</v>
      </c>
      <c r="F157" s="426">
        <v>3014</v>
      </c>
      <c r="G157" s="427"/>
      <c r="H157" s="428" t="str">
        <f>IFERROR(VLOOKUP(ROWS($H$3:H157),$D$3:$E$204,2,0),"")</f>
        <v>MIKULOV</v>
      </c>
      <c r="I157" s="395"/>
      <c r="J157" s="430" t="s">
        <v>1612</v>
      </c>
      <c r="K157" s="417" t="s">
        <v>1613</v>
      </c>
      <c r="M157" s="418">
        <f>IF(ISNUMBER(SEARCH(ZAKL_DATA!$B$29,N157)),MAX($M$2:M156)+1,0)</f>
        <v>155</v>
      </c>
      <c r="N157" s="419" t="s">
        <v>1614</v>
      </c>
      <c r="O157" s="436" t="s">
        <v>1615</v>
      </c>
      <c r="P157" s="421"/>
      <c r="Q157" s="422" t="str">
        <f>IFERROR(VLOOKUP(ROWS($Q$3:Q157),$M$3:$N$992,2,0),"")</f>
        <v>Podpůrné činnosti pro rostlinnou výrobu</v>
      </c>
      <c r="R157">
        <f>IF(ISNUMBER(SEARCH('1Př1'!$A$35,N157)),MAX($M$2:M156)+1,0)</f>
        <v>155</v>
      </c>
      <c r="S157" s="419" t="s">
        <v>1614</v>
      </c>
      <c r="T157" t="str">
        <f>IFERROR(VLOOKUP(ROWS($T$3:T157),$R$3:$S$992,2,0),"")</f>
        <v>Podpůrné činnosti pro rostlinnou výrobu</v>
      </c>
      <c r="U157">
        <f>IF(ISNUMBER(SEARCH('1Př1'!$A$36,N157)),MAX($M$2:M156)+1,0)</f>
        <v>155</v>
      </c>
      <c r="V157" s="419" t="s">
        <v>1614</v>
      </c>
      <c r="W157" t="str">
        <f>IFERROR(VLOOKUP(ROWS($W$3:W157),$U$3:$V$992,2,0),"")</f>
        <v>Podpůrné činnosti pro rostlinnou výrobu</v>
      </c>
      <c r="X157">
        <f>IF(ISNUMBER(SEARCH('1Př1'!$A$37,N157)),MAX($M$2:M156)+1,0)</f>
        <v>155</v>
      </c>
      <c r="Y157" s="419" t="s">
        <v>1614</v>
      </c>
      <c r="Z157" t="str">
        <f>IFERROR(VLOOKUP(ROWS($Z$3:Z157),$X$3:$Y$992,2,0),"")</f>
        <v>Podpůrné činnosti pro rostlinnou výrobu</v>
      </c>
    </row>
    <row r="158" spans="1:26" ht="12.75" customHeight="1">
      <c r="A158" s="395"/>
      <c r="B158" s="395"/>
      <c r="C158" s="395"/>
      <c r="D158" s="411">
        <f>IF(ISNUMBER(SEARCH(ZAKL_DATA!$B$14,E158)),MAX($D$2:D157)+1,0)</f>
        <v>156</v>
      </c>
      <c r="E158" s="425" t="s">
        <v>1616</v>
      </c>
      <c r="F158" s="426">
        <v>3015</v>
      </c>
      <c r="G158" s="427"/>
      <c r="H158" s="428" t="str">
        <f>IFERROR(VLOOKUP(ROWS($H$3:H158),$D$3:$E$204,2,0),"")</f>
        <v>MORAVSKÝ KRUMLOV</v>
      </c>
      <c r="I158" s="395"/>
      <c r="J158" s="430" t="s">
        <v>1617</v>
      </c>
      <c r="K158" s="417" t="s">
        <v>1618</v>
      </c>
      <c r="M158" s="418">
        <f>IF(ISNUMBER(SEARCH(ZAKL_DATA!$B$29,N158)),MAX($M$2:M157)+1,0)</f>
        <v>156</v>
      </c>
      <c r="N158" s="419" t="s">
        <v>1619</v>
      </c>
      <c r="O158" s="436" t="s">
        <v>1620</v>
      </c>
      <c r="P158" s="421"/>
      <c r="Q158" s="422" t="str">
        <f>IFERROR(VLOOKUP(ROWS($Q$3:Q158),$M$3:$N$992,2,0),"")</f>
        <v>Výroba dřevěných,korkových,proutěných a slaměných výrobků,kromě nábytku</v>
      </c>
      <c r="R158">
        <f>IF(ISNUMBER(SEARCH('1Př1'!$A$35,N158)),MAX($M$2:M157)+1,0)</f>
        <v>156</v>
      </c>
      <c r="S158" s="419" t="s">
        <v>1619</v>
      </c>
      <c r="T158" t="str">
        <f>IFERROR(VLOOKUP(ROWS($T$3:T158),$R$3:$S$992,2,0),"")</f>
        <v>Výroba dřevěných,korkových,proutěných a slaměných výrobků,kromě nábytku</v>
      </c>
      <c r="U158">
        <f>IF(ISNUMBER(SEARCH('1Př1'!$A$36,N158)),MAX($M$2:M157)+1,0)</f>
        <v>156</v>
      </c>
      <c r="V158" s="419" t="s">
        <v>1619</v>
      </c>
      <c r="W158" t="str">
        <f>IFERROR(VLOOKUP(ROWS($W$3:W158),$U$3:$V$992,2,0),"")</f>
        <v>Výroba dřevěných,korkových,proutěných a slaměných výrobků,kromě nábytku</v>
      </c>
      <c r="X158">
        <f>IF(ISNUMBER(SEARCH('1Př1'!$A$37,N158)),MAX($M$2:M157)+1,0)</f>
        <v>156</v>
      </c>
      <c r="Y158" s="419" t="s">
        <v>1619</v>
      </c>
      <c r="Z158" t="str">
        <f>IFERROR(VLOOKUP(ROWS($Z$3:Z158),$X$3:$Y$992,2,0),"")</f>
        <v>Výroba dřevěných,korkových,proutěných a slaměných výrobků,kromě nábytku</v>
      </c>
    </row>
    <row r="159" spans="1:26" ht="12.75" customHeight="1">
      <c r="A159" s="395"/>
      <c r="B159" s="395"/>
      <c r="C159" s="395"/>
      <c r="D159" s="411">
        <f>IF(ISNUMBER(SEARCH(ZAKL_DATA!$B$14,E159)),MAX($D$2:D158)+1,0)</f>
        <v>157</v>
      </c>
      <c r="E159" s="425" t="s">
        <v>1621</v>
      </c>
      <c r="F159" s="426">
        <v>3016</v>
      </c>
      <c r="G159" s="427"/>
      <c r="H159" s="428" t="str">
        <f>IFERROR(VLOOKUP(ROWS($H$3:H159),$D$3:$E$204,2,0),"")</f>
        <v>SLAVKOV U BRNA</v>
      </c>
      <c r="I159" s="395"/>
      <c r="J159" s="430" t="s">
        <v>1622</v>
      </c>
      <c r="K159" s="417" t="s">
        <v>1623</v>
      </c>
      <c r="M159" s="418">
        <f>IF(ISNUMBER(SEARCH(ZAKL_DATA!$B$29,N159)),MAX($M$2:M158)+1,0)</f>
        <v>157</v>
      </c>
      <c r="N159" s="419" t="s">
        <v>1624</v>
      </c>
      <c r="O159" s="436" t="s">
        <v>1625</v>
      </c>
      <c r="P159" s="421"/>
      <c r="Q159" s="422" t="str">
        <f>IFERROR(VLOOKUP(ROWS($Q$3:Q159),$M$3:$N$992,2,0),"")</f>
        <v>Podpůrné činnosti pro živočišnou výrobu</v>
      </c>
      <c r="R159">
        <f>IF(ISNUMBER(SEARCH('1Př1'!$A$35,N159)),MAX($M$2:M158)+1,0)</f>
        <v>157</v>
      </c>
      <c r="S159" s="419" t="s">
        <v>1624</v>
      </c>
      <c r="T159" t="str">
        <f>IFERROR(VLOOKUP(ROWS($T$3:T159),$R$3:$S$992,2,0),"")</f>
        <v>Podpůrné činnosti pro živočišnou výrobu</v>
      </c>
      <c r="U159">
        <f>IF(ISNUMBER(SEARCH('1Př1'!$A$36,N159)),MAX($M$2:M158)+1,0)</f>
        <v>157</v>
      </c>
      <c r="V159" s="419" t="s">
        <v>1624</v>
      </c>
      <c r="W159" t="str">
        <f>IFERROR(VLOOKUP(ROWS($W$3:W159),$U$3:$V$992,2,0),"")</f>
        <v>Podpůrné činnosti pro živočišnou výrobu</v>
      </c>
      <c r="X159">
        <f>IF(ISNUMBER(SEARCH('1Př1'!$A$37,N159)),MAX($M$2:M158)+1,0)</f>
        <v>157</v>
      </c>
      <c r="Y159" s="419" t="s">
        <v>1624</v>
      </c>
      <c r="Z159" t="str">
        <f>IFERROR(VLOOKUP(ROWS($Z$3:Z159),$X$3:$Y$992,2,0),"")</f>
        <v>Podpůrné činnosti pro živočišnou výrobu</v>
      </c>
    </row>
    <row r="160" spans="1:26" ht="12.75" customHeight="1">
      <c r="A160" s="395"/>
      <c r="B160" s="395"/>
      <c r="C160" s="395"/>
      <c r="D160" s="411">
        <f>IF(ISNUMBER(SEARCH(ZAKL_DATA!$B$14,E160)),MAX($D$2:D159)+1,0)</f>
        <v>158</v>
      </c>
      <c r="E160" s="425" t="s">
        <v>1626</v>
      </c>
      <c r="F160" s="426">
        <v>3017</v>
      </c>
      <c r="G160" s="427"/>
      <c r="H160" s="428" t="str">
        <f>IFERROR(VLOOKUP(ROWS($H$3:H160),$D$3:$E$204,2,0),"")</f>
        <v>TIŠNOV</v>
      </c>
      <c r="I160" s="395"/>
      <c r="J160" s="430" t="s">
        <v>1627</v>
      </c>
      <c r="K160" s="417" t="s">
        <v>1628</v>
      </c>
      <c r="M160" s="418">
        <f>IF(ISNUMBER(SEARCH(ZAKL_DATA!$B$29,N160)),MAX($M$2:M159)+1,0)</f>
        <v>158</v>
      </c>
      <c r="N160" s="419" t="s">
        <v>1629</v>
      </c>
      <c r="O160" s="436" t="s">
        <v>1630</v>
      </c>
      <c r="P160" s="421"/>
      <c r="Q160" s="422" t="str">
        <f>IFERROR(VLOOKUP(ROWS($Q$3:Q160),$M$3:$N$992,2,0),"")</f>
        <v>Posklizňové činnosti</v>
      </c>
      <c r="R160">
        <f>IF(ISNUMBER(SEARCH('1Př1'!$A$35,N160)),MAX($M$2:M159)+1,0)</f>
        <v>158</v>
      </c>
      <c r="S160" s="419" t="s">
        <v>1629</v>
      </c>
      <c r="T160" t="str">
        <f>IFERROR(VLOOKUP(ROWS($T$3:T160),$R$3:$S$992,2,0),"")</f>
        <v>Posklizňové činnosti</v>
      </c>
      <c r="U160">
        <f>IF(ISNUMBER(SEARCH('1Př1'!$A$36,N160)),MAX($M$2:M159)+1,0)</f>
        <v>158</v>
      </c>
      <c r="V160" s="419" t="s">
        <v>1629</v>
      </c>
      <c r="W160" t="str">
        <f>IFERROR(VLOOKUP(ROWS($W$3:W160),$U$3:$V$992,2,0),"")</f>
        <v>Posklizňové činnosti</v>
      </c>
      <c r="X160">
        <f>IF(ISNUMBER(SEARCH('1Př1'!$A$37,N160)),MAX($M$2:M159)+1,0)</f>
        <v>158</v>
      </c>
      <c r="Y160" s="419" t="s">
        <v>1629</v>
      </c>
      <c r="Z160" t="str">
        <f>IFERROR(VLOOKUP(ROWS($Z$3:Z160),$X$3:$Y$992,2,0),"")</f>
        <v>Posklizňové činnosti</v>
      </c>
    </row>
    <row r="161" spans="1:26" ht="12.75" customHeight="1">
      <c r="A161" s="395"/>
      <c r="B161" s="395"/>
      <c r="C161" s="395"/>
      <c r="D161" s="411">
        <f>IF(ISNUMBER(SEARCH(ZAKL_DATA!$B$14,E161)),MAX($D$2:D160)+1,0)</f>
        <v>159</v>
      </c>
      <c r="E161" s="425" t="s">
        <v>1631</v>
      </c>
      <c r="F161" s="426">
        <v>3018</v>
      </c>
      <c r="G161" s="427"/>
      <c r="H161" s="428" t="str">
        <f>IFERROR(VLOOKUP(ROWS($H$3:H161),$D$3:$E$204,2,0),"")</f>
        <v>VESELÍ NAD MORAVOU</v>
      </c>
      <c r="I161" s="395"/>
      <c r="J161" s="429" t="s">
        <v>1632</v>
      </c>
      <c r="K161" s="417" t="s">
        <v>1633</v>
      </c>
      <c r="M161" s="418">
        <f>IF(ISNUMBER(SEARCH(ZAKL_DATA!$B$29,N161)),MAX($M$2:M160)+1,0)</f>
        <v>159</v>
      </c>
      <c r="N161" s="419" t="s">
        <v>1634</v>
      </c>
      <c r="O161" s="436" t="s">
        <v>1635</v>
      </c>
      <c r="P161" s="421"/>
      <c r="Q161" s="422" t="str">
        <f>IFERROR(VLOOKUP(ROWS($Q$3:Q161),$M$3:$N$992,2,0),"")</f>
        <v>Zpracování osiva pro účely množení</v>
      </c>
      <c r="R161">
        <f>IF(ISNUMBER(SEARCH('1Př1'!$A$35,N161)),MAX($M$2:M160)+1,0)</f>
        <v>159</v>
      </c>
      <c r="S161" s="419" t="s">
        <v>1634</v>
      </c>
      <c r="T161" t="str">
        <f>IFERROR(VLOOKUP(ROWS($T$3:T161),$R$3:$S$992,2,0),"")</f>
        <v>Zpracování osiva pro účely množení</v>
      </c>
      <c r="U161">
        <f>IF(ISNUMBER(SEARCH('1Př1'!$A$36,N161)),MAX($M$2:M160)+1,0)</f>
        <v>159</v>
      </c>
      <c r="V161" s="419" t="s">
        <v>1634</v>
      </c>
      <c r="W161" t="str">
        <f>IFERROR(VLOOKUP(ROWS($W$3:W161),$U$3:$V$992,2,0),"")</f>
        <v>Zpracování osiva pro účely množení</v>
      </c>
      <c r="X161">
        <f>IF(ISNUMBER(SEARCH('1Př1'!$A$37,N161)),MAX($M$2:M160)+1,0)</f>
        <v>159</v>
      </c>
      <c r="Y161" s="419" t="s">
        <v>1634</v>
      </c>
      <c r="Z161" t="str">
        <f>IFERROR(VLOOKUP(ROWS($Z$3:Z161),$X$3:$Y$992,2,0),"")</f>
        <v>Zpracování osiva pro účely množení</v>
      </c>
    </row>
    <row r="162" spans="1:26" ht="12.75" customHeight="1">
      <c r="A162" s="395"/>
      <c r="B162" s="395"/>
      <c r="C162" s="395"/>
      <c r="D162" s="411">
        <f>IF(ISNUMBER(SEARCH(ZAKL_DATA!$B$14,E162)),MAX($D$2:D161)+1,0)</f>
        <v>160</v>
      </c>
      <c r="E162" s="425" t="s">
        <v>1636</v>
      </c>
      <c r="F162" s="426">
        <v>3019</v>
      </c>
      <c r="G162" s="427"/>
      <c r="H162" s="428" t="str">
        <f>IFERROR(VLOOKUP(ROWS($H$3:H162),$D$3:$E$204,2,0),"")</f>
        <v>VYŠKOV</v>
      </c>
      <c r="I162" s="395"/>
      <c r="J162" s="430" t="s">
        <v>1637</v>
      </c>
      <c r="K162" s="417" t="s">
        <v>1638</v>
      </c>
      <c r="M162" s="418">
        <f>IF(ISNUMBER(SEARCH(ZAKL_DATA!$B$29,N162)),MAX($M$2:M161)+1,0)</f>
        <v>160</v>
      </c>
      <c r="N162" s="419" t="s">
        <v>1639</v>
      </c>
      <c r="O162" s="436" t="s">
        <v>1640</v>
      </c>
      <c r="P162" s="421"/>
      <c r="Q162" s="422" t="str">
        <f>IFERROR(VLOOKUP(ROWS($Q$3:Q162),$M$3:$N$992,2,0),"")</f>
        <v>Výroba buničiny, papíru a lepenky</v>
      </c>
      <c r="R162">
        <f>IF(ISNUMBER(SEARCH('1Př1'!$A$35,N162)),MAX($M$2:M161)+1,0)</f>
        <v>160</v>
      </c>
      <c r="S162" s="419" t="s">
        <v>1639</v>
      </c>
      <c r="T162" t="str">
        <f>IFERROR(VLOOKUP(ROWS($T$3:T162),$R$3:$S$992,2,0),"")</f>
        <v>Výroba buničiny, papíru a lepenky</v>
      </c>
      <c r="U162">
        <f>IF(ISNUMBER(SEARCH('1Př1'!$A$36,N162)),MAX($M$2:M161)+1,0)</f>
        <v>160</v>
      </c>
      <c r="V162" s="419" t="s">
        <v>1639</v>
      </c>
      <c r="W162" t="str">
        <f>IFERROR(VLOOKUP(ROWS($W$3:W162),$U$3:$V$992,2,0),"")</f>
        <v>Výroba buničiny, papíru a lepenky</v>
      </c>
      <c r="X162">
        <f>IF(ISNUMBER(SEARCH('1Př1'!$A$37,N162)),MAX($M$2:M161)+1,0)</f>
        <v>160</v>
      </c>
      <c r="Y162" s="419" t="s">
        <v>1639</v>
      </c>
      <c r="Z162" t="str">
        <f>IFERROR(VLOOKUP(ROWS($Z$3:Z162),$X$3:$Y$992,2,0),"")</f>
        <v>Výroba buničiny, papíru a lepenky</v>
      </c>
    </row>
    <row r="163" spans="1:26" ht="12.75" customHeight="1">
      <c r="A163" s="395"/>
      <c r="B163" s="395"/>
      <c r="C163" s="395"/>
      <c r="D163" s="411">
        <f>IF(ISNUMBER(SEARCH(ZAKL_DATA!$B$14,E163)),MAX($D$2:D162)+1,0)</f>
        <v>161</v>
      </c>
      <c r="E163" s="425" t="s">
        <v>1641</v>
      </c>
      <c r="F163" s="426">
        <v>3020</v>
      </c>
      <c r="G163" s="427"/>
      <c r="H163" s="428" t="str">
        <f>IFERROR(VLOOKUP(ROWS($H$3:H163),$D$3:$E$204,2,0),"")</f>
        <v>ZNOJMO</v>
      </c>
      <c r="I163" s="395"/>
      <c r="J163" s="430" t="s">
        <v>1642</v>
      </c>
      <c r="K163" s="417" t="s">
        <v>1643</v>
      </c>
      <c r="M163" s="418">
        <f>IF(ISNUMBER(SEARCH(ZAKL_DATA!$B$29,N163)),MAX($M$2:M162)+1,0)</f>
        <v>161</v>
      </c>
      <c r="N163" s="419" t="s">
        <v>1644</v>
      </c>
      <c r="O163" s="436" t="s">
        <v>1645</v>
      </c>
      <c r="P163" s="421"/>
      <c r="Q163" s="422" t="str">
        <f>IFERROR(VLOOKUP(ROWS($Q$3:Q163),$M$3:$N$992,2,0),"")</f>
        <v>Výroba výrobků z papíru a lepenky</v>
      </c>
      <c r="R163">
        <f>IF(ISNUMBER(SEARCH('1Př1'!$A$35,N163)),MAX($M$2:M162)+1,0)</f>
        <v>161</v>
      </c>
      <c r="S163" s="419" t="s">
        <v>1644</v>
      </c>
      <c r="T163" t="str">
        <f>IFERROR(VLOOKUP(ROWS($T$3:T163),$R$3:$S$992,2,0),"")</f>
        <v>Výroba výrobků z papíru a lepenky</v>
      </c>
      <c r="U163">
        <f>IF(ISNUMBER(SEARCH('1Př1'!$A$36,N163)),MAX($M$2:M162)+1,0)</f>
        <v>161</v>
      </c>
      <c r="V163" s="419" t="s">
        <v>1644</v>
      </c>
      <c r="W163" t="str">
        <f>IFERROR(VLOOKUP(ROWS($W$3:W163),$U$3:$V$992,2,0),"")</f>
        <v>Výroba výrobků z papíru a lepenky</v>
      </c>
      <c r="X163">
        <f>IF(ISNUMBER(SEARCH('1Př1'!$A$37,N163)),MAX($M$2:M162)+1,0)</f>
        <v>161</v>
      </c>
      <c r="Y163" s="419" t="s">
        <v>1644</v>
      </c>
      <c r="Z163" t="str">
        <f>IFERROR(VLOOKUP(ROWS($Z$3:Z163),$X$3:$Y$992,2,0),"")</f>
        <v>Výroba výrobků z papíru a lepenky</v>
      </c>
    </row>
    <row r="164" spans="1:26" ht="12.75" customHeight="1">
      <c r="A164" s="395"/>
      <c r="B164" s="395"/>
      <c r="C164" s="395"/>
      <c r="D164" s="411">
        <f>IF(ISNUMBER(SEARCH(ZAKL_DATA!$B$14,E164)),MAX($D$2:D163)+1,0)</f>
        <v>162</v>
      </c>
      <c r="E164" s="425" t="s">
        <v>1646</v>
      </c>
      <c r="F164" s="426">
        <v>3101</v>
      </c>
      <c r="G164" s="427"/>
      <c r="H164" s="428" t="str">
        <f>IFERROR(VLOOKUP(ROWS($H$3:H164),$D$3:$E$204,2,0),"")</f>
        <v>OLOMOUC</v>
      </c>
      <c r="I164" s="395"/>
      <c r="J164" s="430" t="s">
        <v>1647</v>
      </c>
      <c r="K164" s="417" t="s">
        <v>1648</v>
      </c>
      <c r="M164" s="418">
        <f>IF(ISNUMBER(SEARCH(ZAKL_DATA!$B$29,N164)),MAX($M$2:M163)+1,0)</f>
        <v>162</v>
      </c>
      <c r="N164" s="419" t="s">
        <v>1649</v>
      </c>
      <c r="O164" s="436" t="s">
        <v>1650</v>
      </c>
      <c r="P164" s="421"/>
      <c r="Q164" s="422" t="str">
        <f>IFERROR(VLOOKUP(ROWS($Q$3:Q164),$M$3:$N$992,2,0),"")</f>
        <v>Tisk a činnosti související s tiskem</v>
      </c>
      <c r="R164">
        <f>IF(ISNUMBER(SEARCH('1Př1'!$A$35,N164)),MAX($M$2:M163)+1,0)</f>
        <v>162</v>
      </c>
      <c r="S164" s="419" t="s">
        <v>1649</v>
      </c>
      <c r="T164" t="str">
        <f>IFERROR(VLOOKUP(ROWS($T$3:T164),$R$3:$S$992,2,0),"")</f>
        <v>Tisk a činnosti související s tiskem</v>
      </c>
      <c r="U164">
        <f>IF(ISNUMBER(SEARCH('1Př1'!$A$36,N164)),MAX($M$2:M163)+1,0)</f>
        <v>162</v>
      </c>
      <c r="V164" s="419" t="s">
        <v>1649</v>
      </c>
      <c r="W164" t="str">
        <f>IFERROR(VLOOKUP(ROWS($W$3:W164),$U$3:$V$992,2,0),"")</f>
        <v>Tisk a činnosti související s tiskem</v>
      </c>
      <c r="X164">
        <f>IF(ISNUMBER(SEARCH('1Př1'!$A$37,N164)),MAX($M$2:M163)+1,0)</f>
        <v>162</v>
      </c>
      <c r="Y164" s="419" t="s">
        <v>1649</v>
      </c>
      <c r="Z164" t="str">
        <f>IFERROR(VLOOKUP(ROWS($Z$3:Z164),$X$3:$Y$992,2,0),"")</f>
        <v>Tisk a činnosti související s tiskem</v>
      </c>
    </row>
    <row r="165" spans="1:26" ht="12.75" customHeight="1">
      <c r="A165" s="395"/>
      <c r="B165" s="395"/>
      <c r="C165" s="395"/>
      <c r="D165" s="411">
        <f>IF(ISNUMBER(SEARCH(ZAKL_DATA!$B$14,E165)),MAX($D$2:D164)+1,0)</f>
        <v>163</v>
      </c>
      <c r="E165" s="425" t="s">
        <v>1651</v>
      </c>
      <c r="F165" s="426">
        <v>3102</v>
      </c>
      <c r="G165" s="427"/>
      <c r="H165" s="428" t="str">
        <f>IFERROR(VLOOKUP(ROWS($H$3:H165),$D$3:$E$204,2,0),"")</f>
        <v>HRANICE</v>
      </c>
      <c r="I165" s="395"/>
      <c r="J165" s="429" t="s">
        <v>1652</v>
      </c>
      <c r="K165" s="417" t="s">
        <v>1653</v>
      </c>
      <c r="M165" s="418">
        <f>IF(ISNUMBER(SEARCH(ZAKL_DATA!$B$29,N165)),MAX($M$2:M164)+1,0)</f>
        <v>163</v>
      </c>
      <c r="N165" s="419" t="s">
        <v>1654</v>
      </c>
      <c r="O165" s="436" t="s">
        <v>1655</v>
      </c>
      <c r="P165" s="421"/>
      <c r="Q165" s="422" t="str">
        <f>IFERROR(VLOOKUP(ROWS($Q$3:Q165),$M$3:$N$992,2,0),"")</f>
        <v>Rozmnožování nahraných nosičů</v>
      </c>
      <c r="R165">
        <f>IF(ISNUMBER(SEARCH('1Př1'!$A$35,N165)),MAX($M$2:M164)+1,0)</f>
        <v>163</v>
      </c>
      <c r="S165" s="419" t="s">
        <v>1654</v>
      </c>
      <c r="T165" t="str">
        <f>IFERROR(VLOOKUP(ROWS($T$3:T165),$R$3:$S$992,2,0),"")</f>
        <v>Rozmnožování nahraných nosičů</v>
      </c>
      <c r="U165">
        <f>IF(ISNUMBER(SEARCH('1Př1'!$A$36,N165)),MAX($M$2:M164)+1,0)</f>
        <v>163</v>
      </c>
      <c r="V165" s="419" t="s">
        <v>1654</v>
      </c>
      <c r="W165" t="str">
        <f>IFERROR(VLOOKUP(ROWS($W$3:W165),$U$3:$V$992,2,0),"")</f>
        <v>Rozmnožování nahraných nosičů</v>
      </c>
      <c r="X165">
        <f>IF(ISNUMBER(SEARCH('1Př1'!$A$37,N165)),MAX($M$2:M164)+1,0)</f>
        <v>163</v>
      </c>
      <c r="Y165" s="419" t="s">
        <v>1654</v>
      </c>
      <c r="Z165" t="str">
        <f>IFERROR(VLOOKUP(ROWS($Z$3:Z165),$X$3:$Y$992,2,0),"")</f>
        <v>Rozmnožování nahraných nosičů</v>
      </c>
    </row>
    <row r="166" spans="1:26" ht="12.75" customHeight="1">
      <c r="A166" s="395"/>
      <c r="B166" s="395"/>
      <c r="C166" s="395"/>
      <c r="D166" s="411">
        <f>IF(ISNUMBER(SEARCH(ZAKL_DATA!$B$14,E166)),MAX($D$2:D165)+1,0)</f>
        <v>164</v>
      </c>
      <c r="E166" s="425" t="s">
        <v>1656</v>
      </c>
      <c r="F166" s="426">
        <v>3103</v>
      </c>
      <c r="G166" s="427"/>
      <c r="H166" s="428" t="str">
        <f>IFERROR(VLOOKUP(ROWS($H$3:H166),$D$3:$E$204,2,0),"")</f>
        <v>JESENÍK</v>
      </c>
      <c r="I166" s="395"/>
      <c r="J166" s="430" t="s">
        <v>1657</v>
      </c>
      <c r="K166" s="417" t="s">
        <v>1658</v>
      </c>
      <c r="M166" s="418">
        <f>IF(ISNUMBER(SEARCH(ZAKL_DATA!$B$29,N166)),MAX($M$2:M165)+1,0)</f>
        <v>164</v>
      </c>
      <c r="N166" s="419" t="s">
        <v>1659</v>
      </c>
      <c r="O166" s="436" t="s">
        <v>1660</v>
      </c>
      <c r="P166" s="421"/>
      <c r="Q166" s="422" t="str">
        <f>IFERROR(VLOOKUP(ROWS($Q$3:Q166),$M$3:$N$992,2,0),"")</f>
        <v>Výroba koksárenských produktů</v>
      </c>
      <c r="R166">
        <f>IF(ISNUMBER(SEARCH('1Př1'!$A$35,N166)),MAX($M$2:M165)+1,0)</f>
        <v>164</v>
      </c>
      <c r="S166" s="419" t="s">
        <v>1659</v>
      </c>
      <c r="T166" t="str">
        <f>IFERROR(VLOOKUP(ROWS($T$3:T166),$R$3:$S$992,2,0),"")</f>
        <v>Výroba koksárenských produktů</v>
      </c>
      <c r="U166">
        <f>IF(ISNUMBER(SEARCH('1Př1'!$A$36,N166)),MAX($M$2:M165)+1,0)</f>
        <v>164</v>
      </c>
      <c r="V166" s="419" t="s">
        <v>1659</v>
      </c>
      <c r="W166" t="str">
        <f>IFERROR(VLOOKUP(ROWS($W$3:W166),$U$3:$V$992,2,0),"")</f>
        <v>Výroba koksárenských produktů</v>
      </c>
      <c r="X166">
        <f>IF(ISNUMBER(SEARCH('1Př1'!$A$37,N166)),MAX($M$2:M165)+1,0)</f>
        <v>164</v>
      </c>
      <c r="Y166" s="419" t="s">
        <v>1659</v>
      </c>
      <c r="Z166" t="str">
        <f>IFERROR(VLOOKUP(ROWS($Z$3:Z166),$X$3:$Y$992,2,0),"")</f>
        <v>Výroba koksárenských produktů</v>
      </c>
    </row>
    <row r="167" spans="1:26" ht="12.75" customHeight="1">
      <c r="A167" s="395"/>
      <c r="B167" s="395"/>
      <c r="C167" s="395"/>
      <c r="D167" s="411">
        <f>IF(ISNUMBER(SEARCH(ZAKL_DATA!$B$14,E167)),MAX($D$2:D166)+1,0)</f>
        <v>165</v>
      </c>
      <c r="E167" s="425" t="s">
        <v>1661</v>
      </c>
      <c r="F167" s="426">
        <v>3104</v>
      </c>
      <c r="G167" s="427"/>
      <c r="H167" s="428" t="str">
        <f>IFERROR(VLOOKUP(ROWS($H$3:H167),$D$3:$E$204,2,0),"")</f>
        <v>KONICE</v>
      </c>
      <c r="I167" s="395"/>
      <c r="J167" s="430" t="s">
        <v>1662</v>
      </c>
      <c r="K167" s="417" t="s">
        <v>1663</v>
      </c>
      <c r="M167" s="418">
        <f>IF(ISNUMBER(SEARCH(ZAKL_DATA!$B$29,N167)),MAX($M$2:M166)+1,0)</f>
        <v>165</v>
      </c>
      <c r="N167" s="419" t="s">
        <v>1664</v>
      </c>
      <c r="O167" s="436" t="s">
        <v>1665</v>
      </c>
      <c r="P167" s="421"/>
      <c r="Q167" s="422" t="str">
        <f>IFERROR(VLOOKUP(ROWS($Q$3:Q167),$M$3:$N$992,2,0),"")</f>
        <v>Výroba rafinovaných ropných produktů</v>
      </c>
      <c r="R167">
        <f>IF(ISNUMBER(SEARCH('1Př1'!$A$35,N167)),MAX($M$2:M166)+1,0)</f>
        <v>165</v>
      </c>
      <c r="S167" s="419" t="s">
        <v>1664</v>
      </c>
      <c r="T167" t="str">
        <f>IFERROR(VLOOKUP(ROWS($T$3:T167),$R$3:$S$992,2,0),"")</f>
        <v>Výroba rafinovaných ropných produktů</v>
      </c>
      <c r="U167">
        <f>IF(ISNUMBER(SEARCH('1Př1'!$A$36,N167)),MAX($M$2:M166)+1,0)</f>
        <v>165</v>
      </c>
      <c r="V167" s="419" t="s">
        <v>1664</v>
      </c>
      <c r="W167" t="str">
        <f>IFERROR(VLOOKUP(ROWS($W$3:W167),$U$3:$V$992,2,0),"")</f>
        <v>Výroba rafinovaných ropných produktů</v>
      </c>
      <c r="X167">
        <f>IF(ISNUMBER(SEARCH('1Př1'!$A$37,N167)),MAX($M$2:M166)+1,0)</f>
        <v>165</v>
      </c>
      <c r="Y167" s="419" t="s">
        <v>1664</v>
      </c>
      <c r="Z167" t="str">
        <f>IFERROR(VLOOKUP(ROWS($Z$3:Z167),$X$3:$Y$992,2,0),"")</f>
        <v>Výroba rafinovaných ropných produktů</v>
      </c>
    </row>
    <row r="168" spans="1:26" ht="12.75" customHeight="1">
      <c r="A168" s="395"/>
      <c r="B168" s="395"/>
      <c r="C168" s="395"/>
      <c r="D168" s="411">
        <f>IF(ISNUMBER(SEARCH(ZAKL_DATA!$B$14,E168)),MAX($D$2:D167)+1,0)</f>
        <v>166</v>
      </c>
      <c r="E168" s="425" t="s">
        <v>1666</v>
      </c>
      <c r="F168" s="426">
        <v>3105</v>
      </c>
      <c r="G168" s="427"/>
      <c r="H168" s="428" t="str">
        <f>IFERROR(VLOOKUP(ROWS($H$3:H168),$D$3:$E$204,2,0),"")</f>
        <v>LITOVEL</v>
      </c>
      <c r="I168" s="395"/>
      <c r="J168" s="430" t="s">
        <v>1667</v>
      </c>
      <c r="K168" s="417" t="s">
        <v>1668</v>
      </c>
      <c r="M168" s="418">
        <f>IF(ISNUMBER(SEARCH(ZAKL_DATA!$B$29,N168)),MAX($M$2:M167)+1,0)</f>
        <v>166</v>
      </c>
      <c r="N168" s="419" t="s">
        <v>1669</v>
      </c>
      <c r="O168" s="420" t="s">
        <v>1670</v>
      </c>
      <c r="P168" s="421"/>
      <c r="Q168" s="422" t="str">
        <f>IFERROR(VLOOKUP(ROWS($Q$3:Q168),$M$3:$N$992,2,0),"")</f>
        <v>Výroba zákl.chem.látek,hnojiv a dusík.sl.,plastů a synt.kaučuku v prim.f.</v>
      </c>
      <c r="R168">
        <f>IF(ISNUMBER(SEARCH('1Př1'!$A$35,N168)),MAX($M$2:M167)+1,0)</f>
        <v>166</v>
      </c>
      <c r="S168" s="419" t="s">
        <v>1669</v>
      </c>
      <c r="T168" t="str">
        <f>IFERROR(VLOOKUP(ROWS($T$3:T168),$R$3:$S$992,2,0),"")</f>
        <v>Výroba zákl.chem.látek,hnojiv a dusík.sl.,plastů a synt.kaučuku v prim.f.</v>
      </c>
      <c r="U168">
        <f>IF(ISNUMBER(SEARCH('1Př1'!$A$36,N168)),MAX($M$2:M167)+1,0)</f>
        <v>166</v>
      </c>
      <c r="V168" s="419" t="s">
        <v>1669</v>
      </c>
      <c r="W168" t="str">
        <f>IFERROR(VLOOKUP(ROWS($W$3:W168),$U$3:$V$992,2,0),"")</f>
        <v>Výroba zákl.chem.látek,hnojiv a dusík.sl.,plastů a synt.kaučuku v prim.f.</v>
      </c>
      <c r="X168">
        <f>IF(ISNUMBER(SEARCH('1Př1'!$A$37,N168)),MAX($M$2:M167)+1,0)</f>
        <v>166</v>
      </c>
      <c r="Y168" s="419" t="s">
        <v>1669</v>
      </c>
      <c r="Z168" t="str">
        <f>IFERROR(VLOOKUP(ROWS($Z$3:Z168),$X$3:$Y$992,2,0),"")</f>
        <v>Výroba zákl.chem.látek,hnojiv a dusík.sl.,plastů a synt.kaučuku v prim.f.</v>
      </c>
    </row>
    <row r="169" spans="1:26" ht="12.75" customHeight="1">
      <c r="A169" s="395"/>
      <c r="B169" s="395"/>
      <c r="C169" s="395"/>
      <c r="D169" s="411">
        <f>IF(ISNUMBER(SEARCH(ZAKL_DATA!$B$14,E169)),MAX($D$2:D168)+1,0)</f>
        <v>167</v>
      </c>
      <c r="E169" s="425" t="s">
        <v>1671</v>
      </c>
      <c r="F169" s="426">
        <v>3106</v>
      </c>
      <c r="G169" s="427"/>
      <c r="H169" s="428" t="str">
        <f>IFERROR(VLOOKUP(ROWS($H$3:H169),$D$3:$E$204,2,0),"")</f>
        <v>PROSTĚJOV</v>
      </c>
      <c r="I169" s="395"/>
      <c r="J169" s="430" t="s">
        <v>1672</v>
      </c>
      <c r="K169" s="417" t="s">
        <v>1673</v>
      </c>
      <c r="M169" s="418">
        <f>IF(ISNUMBER(SEARCH(ZAKL_DATA!$B$29,N169)),MAX($M$2:M168)+1,0)</f>
        <v>167</v>
      </c>
      <c r="N169" s="419" t="s">
        <v>1674</v>
      </c>
      <c r="O169" s="420" t="s">
        <v>1675</v>
      </c>
      <c r="P169" s="421"/>
      <c r="Q169" s="422" t="str">
        <f>IFERROR(VLOOKUP(ROWS($Q$3:Q169),$M$3:$N$992,2,0),"")</f>
        <v>Výroba pesticidů a jiných agrochemických přípravků</v>
      </c>
      <c r="R169">
        <f>IF(ISNUMBER(SEARCH('1Př1'!$A$35,N169)),MAX($M$2:M168)+1,0)</f>
        <v>167</v>
      </c>
      <c r="S169" s="419" t="s">
        <v>1674</v>
      </c>
      <c r="T169" t="str">
        <f>IFERROR(VLOOKUP(ROWS($T$3:T169),$R$3:$S$992,2,0),"")</f>
        <v>Výroba pesticidů a jiných agrochemických přípravků</v>
      </c>
      <c r="U169">
        <f>IF(ISNUMBER(SEARCH('1Př1'!$A$36,N169)),MAX($M$2:M168)+1,0)</f>
        <v>167</v>
      </c>
      <c r="V169" s="419" t="s">
        <v>1674</v>
      </c>
      <c r="W169" t="str">
        <f>IFERROR(VLOOKUP(ROWS($W$3:W169),$U$3:$V$992,2,0),"")</f>
        <v>Výroba pesticidů a jiných agrochemických přípravků</v>
      </c>
      <c r="X169">
        <f>IF(ISNUMBER(SEARCH('1Př1'!$A$37,N169)),MAX($M$2:M168)+1,0)</f>
        <v>167</v>
      </c>
      <c r="Y169" s="419" t="s">
        <v>1674</v>
      </c>
      <c r="Z169" t="str">
        <f>IFERROR(VLOOKUP(ROWS($Z$3:Z169),$X$3:$Y$992,2,0),"")</f>
        <v>Výroba pesticidů a jiných agrochemických přípravků</v>
      </c>
    </row>
    <row r="170" spans="1:26" ht="12.75" customHeight="1">
      <c r="A170" s="395"/>
      <c r="B170" s="395"/>
      <c r="C170" s="395"/>
      <c r="D170" s="411">
        <f>IF(ISNUMBER(SEARCH(ZAKL_DATA!$B$14,E170)),MAX($D$2:D169)+1,0)</f>
        <v>168</v>
      </c>
      <c r="E170" s="425" t="s">
        <v>1676</v>
      </c>
      <c r="F170" s="426">
        <v>3107</v>
      </c>
      <c r="G170" s="427"/>
      <c r="H170" s="428" t="str">
        <f>IFERROR(VLOOKUP(ROWS($H$3:H170),$D$3:$E$204,2,0),"")</f>
        <v>PŘEROV</v>
      </c>
      <c r="I170" s="395"/>
      <c r="J170" s="430" t="s">
        <v>1677</v>
      </c>
      <c r="K170" s="417" t="s">
        <v>1678</v>
      </c>
      <c r="M170" s="418">
        <f>IF(ISNUMBER(SEARCH(ZAKL_DATA!$B$29,N170)),MAX($M$2:M169)+1,0)</f>
        <v>168</v>
      </c>
      <c r="N170" s="419" t="s">
        <v>1679</v>
      </c>
      <c r="O170" s="420" t="s">
        <v>1680</v>
      </c>
      <c r="P170" s="421"/>
      <c r="Q170" s="422" t="str">
        <f>IFERROR(VLOOKUP(ROWS($Q$3:Q170),$M$3:$N$992,2,0),"")</f>
        <v>Výroba nátěr.barev,laků a jiných nátěrových mater.,tisk.barev a tmelů</v>
      </c>
      <c r="R170">
        <f>IF(ISNUMBER(SEARCH('1Př1'!$A$35,N170)),MAX($M$2:M169)+1,0)</f>
        <v>168</v>
      </c>
      <c r="S170" s="419" t="s">
        <v>1679</v>
      </c>
      <c r="T170" t="str">
        <f>IFERROR(VLOOKUP(ROWS($T$3:T170),$R$3:$S$992,2,0),"")</f>
        <v>Výroba nátěr.barev,laků a jiných nátěrových mater.,tisk.barev a tmelů</v>
      </c>
      <c r="U170">
        <f>IF(ISNUMBER(SEARCH('1Př1'!$A$36,N170)),MAX($M$2:M169)+1,0)</f>
        <v>168</v>
      </c>
      <c r="V170" s="419" t="s">
        <v>1679</v>
      </c>
      <c r="W170" t="str">
        <f>IFERROR(VLOOKUP(ROWS($W$3:W170),$U$3:$V$992,2,0),"")</f>
        <v>Výroba nátěr.barev,laků a jiných nátěrových mater.,tisk.barev a tmelů</v>
      </c>
      <c r="X170">
        <f>IF(ISNUMBER(SEARCH('1Př1'!$A$37,N170)),MAX($M$2:M169)+1,0)</f>
        <v>168</v>
      </c>
      <c r="Y170" s="419" t="s">
        <v>1679</v>
      </c>
      <c r="Z170" t="str">
        <f>IFERROR(VLOOKUP(ROWS($Z$3:Z170),$X$3:$Y$992,2,0),"")</f>
        <v>Výroba nátěr.barev,laků a jiných nátěrových mater.,tisk.barev a tmelů</v>
      </c>
    </row>
    <row r="171" spans="1:26" ht="12.75" customHeight="1">
      <c r="A171" s="395"/>
      <c r="B171" s="395"/>
      <c r="C171" s="395"/>
      <c r="D171" s="411">
        <f>IF(ISNUMBER(SEARCH(ZAKL_DATA!$B$14,E171)),MAX($D$2:D170)+1,0)</f>
        <v>169</v>
      </c>
      <c r="E171" s="425" t="s">
        <v>1681</v>
      </c>
      <c r="F171" s="426">
        <v>3108</v>
      </c>
      <c r="G171" s="427"/>
      <c r="H171" s="428" t="str">
        <f>IFERROR(VLOOKUP(ROWS($H$3:H171),$D$3:$E$204,2,0),"")</f>
        <v>ŠTERNBERK</v>
      </c>
      <c r="I171" s="395"/>
      <c r="J171" s="430" t="s">
        <v>1682</v>
      </c>
      <c r="K171" s="417" t="s">
        <v>1683</v>
      </c>
      <c r="M171" s="418">
        <f>IF(ISNUMBER(SEARCH(ZAKL_DATA!$B$29,N171)),MAX($M$2:M170)+1,0)</f>
        <v>169</v>
      </c>
      <c r="N171" s="419" t="s">
        <v>1684</v>
      </c>
      <c r="O171" s="420" t="s">
        <v>1685</v>
      </c>
      <c r="P171" s="421"/>
      <c r="Q171" s="422" t="str">
        <f>IFERROR(VLOOKUP(ROWS($Q$3:Q171),$M$3:$N$992,2,0),"")</f>
        <v>Výroba mýdel a detergentů,čist.a lešticích prostř.,parfémů a toal. přípr.</v>
      </c>
      <c r="R171">
        <f>IF(ISNUMBER(SEARCH('1Př1'!$A$35,N171)),MAX($M$2:M170)+1,0)</f>
        <v>169</v>
      </c>
      <c r="S171" s="419" t="s">
        <v>1684</v>
      </c>
      <c r="T171" t="str">
        <f>IFERROR(VLOOKUP(ROWS($T$3:T171),$R$3:$S$992,2,0),"")</f>
        <v>Výroba mýdel a detergentů,čist.a lešticích prostř.,parfémů a toal. přípr.</v>
      </c>
      <c r="U171">
        <f>IF(ISNUMBER(SEARCH('1Př1'!$A$36,N171)),MAX($M$2:M170)+1,0)</f>
        <v>169</v>
      </c>
      <c r="V171" s="419" t="s">
        <v>1684</v>
      </c>
      <c r="W171" t="str">
        <f>IFERROR(VLOOKUP(ROWS($W$3:W171),$U$3:$V$992,2,0),"")</f>
        <v>Výroba mýdel a detergentů,čist.a lešticích prostř.,parfémů a toal. přípr.</v>
      </c>
      <c r="X171">
        <f>IF(ISNUMBER(SEARCH('1Př1'!$A$37,N171)),MAX($M$2:M170)+1,0)</f>
        <v>169</v>
      </c>
      <c r="Y171" s="419" t="s">
        <v>1684</v>
      </c>
      <c r="Z171" t="str">
        <f>IFERROR(VLOOKUP(ROWS($Z$3:Z171),$X$3:$Y$992,2,0),"")</f>
        <v>Výroba mýdel a detergentů,čist.a lešticích prostř.,parfémů a toal. přípr.</v>
      </c>
    </row>
    <row r="172" spans="1:26" ht="12.75" customHeight="1">
      <c r="A172" s="395"/>
      <c r="B172" s="395"/>
      <c r="C172" s="395"/>
      <c r="D172" s="411">
        <f>IF(ISNUMBER(SEARCH(ZAKL_DATA!$B$14,E172)),MAX($D$2:D171)+1,0)</f>
        <v>170</v>
      </c>
      <c r="E172" s="425" t="s">
        <v>1686</v>
      </c>
      <c r="F172" s="426">
        <v>3109</v>
      </c>
      <c r="G172" s="427"/>
      <c r="H172" s="428" t="str">
        <f>IFERROR(VLOOKUP(ROWS($H$3:H172),$D$3:$E$204,2,0),"")</f>
        <v>ŠUMPERK</v>
      </c>
      <c r="I172" s="395"/>
      <c r="J172" s="430" t="s">
        <v>1687</v>
      </c>
      <c r="K172" s="417" t="s">
        <v>1688</v>
      </c>
      <c r="M172" s="418">
        <f>IF(ISNUMBER(SEARCH(ZAKL_DATA!$B$29,N172)),MAX($M$2:M171)+1,0)</f>
        <v>170</v>
      </c>
      <c r="N172" s="419" t="s">
        <v>1689</v>
      </c>
      <c r="O172" s="436" t="s">
        <v>1690</v>
      </c>
      <c r="P172" s="421"/>
      <c r="Q172" s="422" t="str">
        <f>IFERROR(VLOOKUP(ROWS($Q$3:Q172),$M$3:$N$992,2,0),"")</f>
        <v>Výroba ostatních chemických výrobků</v>
      </c>
      <c r="R172">
        <f>IF(ISNUMBER(SEARCH('1Př1'!$A$35,N172)),MAX($M$2:M171)+1,0)</f>
        <v>170</v>
      </c>
      <c r="S172" s="419" t="s">
        <v>1689</v>
      </c>
      <c r="T172" t="str">
        <f>IFERROR(VLOOKUP(ROWS($T$3:T172),$R$3:$S$992,2,0),"")</f>
        <v>Výroba ostatních chemických výrobků</v>
      </c>
      <c r="U172">
        <f>IF(ISNUMBER(SEARCH('1Př1'!$A$36,N172)),MAX($M$2:M171)+1,0)</f>
        <v>170</v>
      </c>
      <c r="V172" s="419" t="s">
        <v>1689</v>
      </c>
      <c r="W172" t="str">
        <f>IFERROR(VLOOKUP(ROWS($W$3:W172),$U$3:$V$992,2,0),"")</f>
        <v>Výroba ostatních chemických výrobků</v>
      </c>
      <c r="X172">
        <f>IF(ISNUMBER(SEARCH('1Př1'!$A$37,N172)),MAX($M$2:M171)+1,0)</f>
        <v>170</v>
      </c>
      <c r="Y172" s="419" t="s">
        <v>1689</v>
      </c>
      <c r="Z172" t="str">
        <f>IFERROR(VLOOKUP(ROWS($Z$3:Z172),$X$3:$Y$992,2,0),"")</f>
        <v>Výroba ostatních chemických výrobků</v>
      </c>
    </row>
    <row r="173" spans="1:26" ht="12.75" customHeight="1">
      <c r="A173" s="395"/>
      <c r="B173" s="395"/>
      <c r="C173" s="395"/>
      <c r="D173" s="411">
        <f>IF(ISNUMBER(SEARCH(ZAKL_DATA!$B$14,E173)),MAX($D$2:D172)+1,0)</f>
        <v>171</v>
      </c>
      <c r="E173" s="425" t="s">
        <v>1691</v>
      </c>
      <c r="F173" s="426">
        <v>3110</v>
      </c>
      <c r="G173" s="427"/>
      <c r="H173" s="428" t="str">
        <f>IFERROR(VLOOKUP(ROWS($H$3:H173),$D$3:$E$204,2,0),"")</f>
        <v>ZÁBŘEH</v>
      </c>
      <c r="I173" s="395"/>
      <c r="J173" s="430" t="s">
        <v>1692</v>
      </c>
      <c r="K173" s="417" t="s">
        <v>1693</v>
      </c>
      <c r="M173" s="418">
        <f>IF(ISNUMBER(SEARCH(ZAKL_DATA!$B$29,N173)),MAX($M$2:M172)+1,0)</f>
        <v>171</v>
      </c>
      <c r="N173" s="419" t="s">
        <v>1694</v>
      </c>
      <c r="O173" s="420" t="s">
        <v>1695</v>
      </c>
      <c r="P173" s="421"/>
      <c r="Q173" s="422" t="str">
        <f>IFERROR(VLOOKUP(ROWS($Q$3:Q173),$M$3:$N$992,2,0),"")</f>
        <v>Výroba chemických vláken</v>
      </c>
      <c r="R173">
        <f>IF(ISNUMBER(SEARCH('1Př1'!$A$35,N173)),MAX($M$2:M172)+1,0)</f>
        <v>171</v>
      </c>
      <c r="S173" s="419" t="s">
        <v>1694</v>
      </c>
      <c r="T173" t="str">
        <f>IFERROR(VLOOKUP(ROWS($T$3:T173),$R$3:$S$992,2,0),"")</f>
        <v>Výroba chemických vláken</v>
      </c>
      <c r="U173">
        <f>IF(ISNUMBER(SEARCH('1Př1'!$A$36,N173)),MAX($M$2:M172)+1,0)</f>
        <v>171</v>
      </c>
      <c r="V173" s="419" t="s">
        <v>1694</v>
      </c>
      <c r="W173" t="str">
        <f>IFERROR(VLOOKUP(ROWS($W$3:W173),$U$3:$V$992,2,0),"")</f>
        <v>Výroba chemických vláken</v>
      </c>
      <c r="X173">
        <f>IF(ISNUMBER(SEARCH('1Př1'!$A$37,N173)),MAX($M$2:M172)+1,0)</f>
        <v>171</v>
      </c>
      <c r="Y173" s="419" t="s">
        <v>1694</v>
      </c>
      <c r="Z173" t="str">
        <f>IFERROR(VLOOKUP(ROWS($Z$3:Z173),$X$3:$Y$992,2,0),"")</f>
        <v>Výroba chemických vláken</v>
      </c>
    </row>
    <row r="174" spans="1:26" ht="12.75" customHeight="1">
      <c r="A174" s="395"/>
      <c r="B174" s="395"/>
      <c r="C174" s="395"/>
      <c r="D174" s="411">
        <f>IF(ISNUMBER(SEARCH(ZAKL_DATA!$B$14,E174)),MAX($D$2:D173)+1,0)</f>
        <v>172</v>
      </c>
      <c r="E174" s="425" t="s">
        <v>1696</v>
      </c>
      <c r="F174" s="426">
        <v>3201</v>
      </c>
      <c r="G174" s="427"/>
      <c r="H174" s="428" t="str">
        <f>IFERROR(VLOOKUP(ROWS($H$3:H174),$D$3:$E$204,2,0),"")</f>
        <v>OSTRAVA I</v>
      </c>
      <c r="I174" s="395"/>
      <c r="J174" s="430" t="s">
        <v>1697</v>
      </c>
      <c r="K174" s="417" t="s">
        <v>1698</v>
      </c>
      <c r="M174" s="418">
        <f>IF(ISNUMBER(SEARCH(ZAKL_DATA!$B$29,N174)),MAX($M$2:M173)+1,0)</f>
        <v>172</v>
      </c>
      <c r="N174" s="419" t="s">
        <v>1699</v>
      </c>
      <c r="O174" s="436" t="s">
        <v>1700</v>
      </c>
      <c r="P174" s="421"/>
      <c r="Q174" s="422" t="str">
        <f>IFERROR(VLOOKUP(ROWS($Q$3:Q174),$M$3:$N$992,2,0),"")</f>
        <v>Výroba základních farmaceutických výrobků</v>
      </c>
      <c r="R174">
        <f>IF(ISNUMBER(SEARCH('1Př1'!$A$35,N174)),MAX($M$2:M173)+1,0)</f>
        <v>172</v>
      </c>
      <c r="S174" s="419" t="s">
        <v>1699</v>
      </c>
      <c r="T174" t="str">
        <f>IFERROR(VLOOKUP(ROWS($T$3:T174),$R$3:$S$992,2,0),"")</f>
        <v>Výroba základních farmaceutických výrobků</v>
      </c>
      <c r="U174">
        <f>IF(ISNUMBER(SEARCH('1Př1'!$A$36,N174)),MAX($M$2:M173)+1,0)</f>
        <v>172</v>
      </c>
      <c r="V174" s="419" t="s">
        <v>1699</v>
      </c>
      <c r="W174" t="str">
        <f>IFERROR(VLOOKUP(ROWS($W$3:W174),$U$3:$V$992,2,0),"")</f>
        <v>Výroba základních farmaceutických výrobků</v>
      </c>
      <c r="X174">
        <f>IF(ISNUMBER(SEARCH('1Př1'!$A$37,N174)),MAX($M$2:M173)+1,0)</f>
        <v>172</v>
      </c>
      <c r="Y174" s="419" t="s">
        <v>1699</v>
      </c>
      <c r="Z174" t="str">
        <f>IFERROR(VLOOKUP(ROWS($Z$3:Z174),$X$3:$Y$992,2,0),"")</f>
        <v>Výroba základních farmaceutických výrobků</v>
      </c>
    </row>
    <row r="175" spans="1:26" ht="12.75" customHeight="1">
      <c r="A175" s="395"/>
      <c r="B175" s="395"/>
      <c r="C175" s="395"/>
      <c r="D175" s="411">
        <f>IF(ISNUMBER(SEARCH(ZAKL_DATA!$B$14,E175)),MAX($D$2:D174)+1,0)</f>
        <v>173</v>
      </c>
      <c r="E175" s="425" t="s">
        <v>1701</v>
      </c>
      <c r="F175" s="426">
        <v>3202</v>
      </c>
      <c r="G175" s="427"/>
      <c r="H175" s="428" t="str">
        <f>IFERROR(VLOOKUP(ROWS($H$3:H175),$D$3:$E$204,2,0),"")</f>
        <v>OSTRAVA II</v>
      </c>
      <c r="I175" s="395"/>
      <c r="J175" s="430" t="s">
        <v>1702</v>
      </c>
      <c r="K175" s="417" t="s">
        <v>1703</v>
      </c>
      <c r="M175" s="418">
        <f>IF(ISNUMBER(SEARCH(ZAKL_DATA!$B$29,N175)),MAX($M$2:M174)+1,0)</f>
        <v>173</v>
      </c>
      <c r="N175" s="419" t="s">
        <v>1704</v>
      </c>
      <c r="O175" s="420" t="s">
        <v>1705</v>
      </c>
      <c r="P175" s="421"/>
      <c r="Q175" s="422" t="str">
        <f>IFERROR(VLOOKUP(ROWS($Q$3:Q175),$M$3:$N$992,2,0),"")</f>
        <v>Výroba farmaceutických přípravků</v>
      </c>
      <c r="R175">
        <f>IF(ISNUMBER(SEARCH('1Př1'!$A$35,N175)),MAX($M$2:M174)+1,0)</f>
        <v>173</v>
      </c>
      <c r="S175" s="419" t="s">
        <v>1704</v>
      </c>
      <c r="T175" t="str">
        <f>IFERROR(VLOOKUP(ROWS($T$3:T175),$R$3:$S$992,2,0),"")</f>
        <v>Výroba farmaceutických přípravků</v>
      </c>
      <c r="U175">
        <f>IF(ISNUMBER(SEARCH('1Př1'!$A$36,N175)),MAX($M$2:M174)+1,0)</f>
        <v>173</v>
      </c>
      <c r="V175" s="419" t="s">
        <v>1704</v>
      </c>
      <c r="W175" t="str">
        <f>IFERROR(VLOOKUP(ROWS($W$3:W175),$U$3:$V$992,2,0),"")</f>
        <v>Výroba farmaceutických přípravků</v>
      </c>
      <c r="X175">
        <f>IF(ISNUMBER(SEARCH('1Př1'!$A$37,N175)),MAX($M$2:M174)+1,0)</f>
        <v>173</v>
      </c>
      <c r="Y175" s="419" t="s">
        <v>1704</v>
      </c>
      <c r="Z175" t="str">
        <f>IFERROR(VLOOKUP(ROWS($Z$3:Z175),$X$3:$Y$992,2,0),"")</f>
        <v>Výroba farmaceutických přípravků</v>
      </c>
    </row>
    <row r="176" spans="1:26" ht="12.75" customHeight="1">
      <c r="A176" s="395"/>
      <c r="B176" s="395"/>
      <c r="C176" s="395"/>
      <c r="D176" s="411">
        <f>IF(ISNUMBER(SEARCH(ZAKL_DATA!$B$14,E176)),MAX($D$2:D175)+1,0)</f>
        <v>174</v>
      </c>
      <c r="E176" s="425" t="s">
        <v>1706</v>
      </c>
      <c r="F176" s="426">
        <v>3203</v>
      </c>
      <c r="G176" s="427"/>
      <c r="H176" s="428" t="str">
        <f>IFERROR(VLOOKUP(ROWS($H$3:H176),$D$3:$E$204,2,0),"")</f>
        <v>OSTRAVA III</v>
      </c>
      <c r="I176" s="395"/>
      <c r="J176" s="430" t="s">
        <v>1707</v>
      </c>
      <c r="K176" s="417" t="s">
        <v>1708</v>
      </c>
      <c r="M176" s="418">
        <f>IF(ISNUMBER(SEARCH(ZAKL_DATA!$B$29,N176)),MAX($M$2:M175)+1,0)</f>
        <v>174</v>
      </c>
      <c r="N176" s="419" t="s">
        <v>1709</v>
      </c>
      <c r="O176" s="436" t="s">
        <v>1710</v>
      </c>
      <c r="P176" s="421"/>
      <c r="Q176" s="422" t="str">
        <f>IFERROR(VLOOKUP(ROWS($Q$3:Q176),$M$3:$N$992,2,0),"")</f>
        <v>Výroba pryžových výrobků</v>
      </c>
      <c r="R176">
        <f>IF(ISNUMBER(SEARCH('1Př1'!$A$35,N176)),MAX($M$2:M175)+1,0)</f>
        <v>174</v>
      </c>
      <c r="S176" s="419" t="s">
        <v>1709</v>
      </c>
      <c r="T176" t="str">
        <f>IFERROR(VLOOKUP(ROWS($T$3:T176),$R$3:$S$992,2,0),"")</f>
        <v>Výroba pryžových výrobků</v>
      </c>
      <c r="U176">
        <f>IF(ISNUMBER(SEARCH('1Př1'!$A$36,N176)),MAX($M$2:M175)+1,0)</f>
        <v>174</v>
      </c>
      <c r="V176" s="419" t="s">
        <v>1709</v>
      </c>
      <c r="W176" t="str">
        <f>IFERROR(VLOOKUP(ROWS($W$3:W176),$U$3:$V$992,2,0),"")</f>
        <v>Výroba pryžových výrobků</v>
      </c>
      <c r="X176">
        <f>IF(ISNUMBER(SEARCH('1Př1'!$A$37,N176)),MAX($M$2:M175)+1,0)</f>
        <v>174</v>
      </c>
      <c r="Y176" s="419" t="s">
        <v>1709</v>
      </c>
      <c r="Z176" t="str">
        <f>IFERROR(VLOOKUP(ROWS($Z$3:Z176),$X$3:$Y$992,2,0),"")</f>
        <v>Výroba pryžových výrobků</v>
      </c>
    </row>
    <row r="177" spans="1:26" ht="12.75" customHeight="1">
      <c r="A177" s="395"/>
      <c r="B177" s="395"/>
      <c r="C177" s="395"/>
      <c r="D177" s="411">
        <f>IF(ISNUMBER(SEARCH(ZAKL_DATA!$B$14,E177)),MAX($D$2:D176)+1,0)</f>
        <v>175</v>
      </c>
      <c r="E177" s="425" t="s">
        <v>1711</v>
      </c>
      <c r="F177" s="426">
        <v>3204</v>
      </c>
      <c r="G177" s="427"/>
      <c r="H177" s="428" t="str">
        <f>IFERROR(VLOOKUP(ROWS($H$3:H177),$D$3:$E$204,2,0),"")</f>
        <v>BOHUMÍN</v>
      </c>
      <c r="I177" s="395"/>
      <c r="J177" s="430" t="s">
        <v>1712</v>
      </c>
      <c r="K177" s="417" t="s">
        <v>1713</v>
      </c>
      <c r="M177" s="418">
        <f>IF(ISNUMBER(SEARCH(ZAKL_DATA!$B$29,N177)),MAX($M$2:M176)+1,0)</f>
        <v>175</v>
      </c>
      <c r="N177" s="419" t="s">
        <v>1714</v>
      </c>
      <c r="O177" s="420" t="s">
        <v>1715</v>
      </c>
      <c r="P177" s="421"/>
      <c r="Q177" s="422" t="str">
        <f>IFERROR(VLOOKUP(ROWS($Q$3:Q177),$M$3:$N$992,2,0),"")</f>
        <v>Výroba plastových výrobků</v>
      </c>
      <c r="R177">
        <f>IF(ISNUMBER(SEARCH('1Př1'!$A$35,N177)),MAX($M$2:M176)+1,0)</f>
        <v>175</v>
      </c>
      <c r="S177" s="419" t="s">
        <v>1714</v>
      </c>
      <c r="T177" t="str">
        <f>IFERROR(VLOOKUP(ROWS($T$3:T177),$R$3:$S$992,2,0),"")</f>
        <v>Výroba plastových výrobků</v>
      </c>
      <c r="U177">
        <f>IF(ISNUMBER(SEARCH('1Př1'!$A$36,N177)),MAX($M$2:M176)+1,0)</f>
        <v>175</v>
      </c>
      <c r="V177" s="419" t="s">
        <v>1714</v>
      </c>
      <c r="W177" t="str">
        <f>IFERROR(VLOOKUP(ROWS($W$3:W177),$U$3:$V$992,2,0),"")</f>
        <v>Výroba plastových výrobků</v>
      </c>
      <c r="X177">
        <f>IF(ISNUMBER(SEARCH('1Př1'!$A$37,N177)),MAX($M$2:M176)+1,0)</f>
        <v>175</v>
      </c>
      <c r="Y177" s="419" t="s">
        <v>1714</v>
      </c>
      <c r="Z177" t="str">
        <f>IFERROR(VLOOKUP(ROWS($Z$3:Z177),$X$3:$Y$992,2,0),"")</f>
        <v>Výroba plastových výrobků</v>
      </c>
    </row>
    <row r="178" spans="1:26" ht="12.75" customHeight="1">
      <c r="A178" s="395"/>
      <c r="B178" s="395"/>
      <c r="C178" s="395"/>
      <c r="D178" s="411">
        <f>IF(ISNUMBER(SEARCH(ZAKL_DATA!$B$14,E178)),MAX($D$2:D177)+1,0)</f>
        <v>176</v>
      </c>
      <c r="E178" s="425" t="s">
        <v>1716</v>
      </c>
      <c r="F178" s="426">
        <v>3205</v>
      </c>
      <c r="G178" s="427"/>
      <c r="H178" s="428" t="str">
        <f>IFERROR(VLOOKUP(ROWS($H$3:H178),$D$3:$E$204,2,0),"")</f>
        <v>BRUNTÁL</v>
      </c>
      <c r="I178" s="395"/>
      <c r="J178" s="430" t="s">
        <v>1717</v>
      </c>
      <c r="K178" s="417" t="s">
        <v>1718</v>
      </c>
      <c r="M178" s="418">
        <f>IF(ISNUMBER(SEARCH(ZAKL_DATA!$B$29,N178)),MAX($M$2:M177)+1,0)</f>
        <v>176</v>
      </c>
      <c r="N178" s="419" t="s">
        <v>1719</v>
      </c>
      <c r="O178" s="436" t="s">
        <v>1720</v>
      </c>
      <c r="P178" s="421"/>
      <c r="Q178" s="422" t="str">
        <f>IFERROR(VLOOKUP(ROWS($Q$3:Q178),$M$3:$N$992,2,0),"")</f>
        <v>Výroba skla a skleněných výrobků</v>
      </c>
      <c r="R178">
        <f>IF(ISNUMBER(SEARCH('1Př1'!$A$35,N178)),MAX($M$2:M177)+1,0)</f>
        <v>176</v>
      </c>
      <c r="S178" s="419" t="s">
        <v>1719</v>
      </c>
      <c r="T178" t="str">
        <f>IFERROR(VLOOKUP(ROWS($T$3:T178),$R$3:$S$992,2,0),"")</f>
        <v>Výroba skla a skleněných výrobků</v>
      </c>
      <c r="U178">
        <f>IF(ISNUMBER(SEARCH('1Př1'!$A$36,N178)),MAX($M$2:M177)+1,0)</f>
        <v>176</v>
      </c>
      <c r="V178" s="419" t="s">
        <v>1719</v>
      </c>
      <c r="W178" t="str">
        <f>IFERROR(VLOOKUP(ROWS($W$3:W178),$U$3:$V$992,2,0),"")</f>
        <v>Výroba skla a skleněných výrobků</v>
      </c>
      <c r="X178">
        <f>IF(ISNUMBER(SEARCH('1Př1'!$A$37,N178)),MAX($M$2:M177)+1,0)</f>
        <v>176</v>
      </c>
      <c r="Y178" s="419" t="s">
        <v>1719</v>
      </c>
      <c r="Z178" t="str">
        <f>IFERROR(VLOOKUP(ROWS($Z$3:Z178),$X$3:$Y$992,2,0),"")</f>
        <v>Výroba skla a skleněných výrobků</v>
      </c>
    </row>
    <row r="179" spans="1:26" ht="12.75" customHeight="1">
      <c r="A179" s="395"/>
      <c r="B179" s="395"/>
      <c r="C179" s="395"/>
      <c r="D179" s="411">
        <f>IF(ISNUMBER(SEARCH(ZAKL_DATA!$B$14,E179)),MAX($D$2:D178)+1,0)</f>
        <v>177</v>
      </c>
      <c r="E179" s="425" t="s">
        <v>1721</v>
      </c>
      <c r="F179" s="426">
        <v>3206</v>
      </c>
      <c r="G179" s="427"/>
      <c r="H179" s="428" t="str">
        <f>IFERROR(VLOOKUP(ROWS($H$3:H179),$D$3:$E$204,2,0),"")</f>
        <v>ČESKÝ TĚŠÍN</v>
      </c>
      <c r="I179" s="395"/>
      <c r="J179" s="430" t="s">
        <v>1722</v>
      </c>
      <c r="K179" s="417" t="s">
        <v>1723</v>
      </c>
      <c r="M179" s="418">
        <f>IF(ISNUMBER(SEARCH(ZAKL_DATA!$B$29,N179)),MAX($M$2:M178)+1,0)</f>
        <v>177</v>
      </c>
      <c r="N179" s="419" t="s">
        <v>1724</v>
      </c>
      <c r="O179" s="436" t="s">
        <v>1725</v>
      </c>
      <c r="P179" s="421"/>
      <c r="Q179" s="422" t="str">
        <f>IFERROR(VLOOKUP(ROWS($Q$3:Q179),$M$3:$N$992,2,0),"")</f>
        <v>Výroba žáruvzdorných výrobků</v>
      </c>
      <c r="R179">
        <f>IF(ISNUMBER(SEARCH('1Př1'!$A$35,N179)),MAX($M$2:M178)+1,0)</f>
        <v>177</v>
      </c>
      <c r="S179" s="419" t="s">
        <v>1724</v>
      </c>
      <c r="T179" t="str">
        <f>IFERROR(VLOOKUP(ROWS($T$3:T179),$R$3:$S$992,2,0),"")</f>
        <v>Výroba žáruvzdorných výrobků</v>
      </c>
      <c r="U179">
        <f>IF(ISNUMBER(SEARCH('1Př1'!$A$36,N179)),MAX($M$2:M178)+1,0)</f>
        <v>177</v>
      </c>
      <c r="V179" s="419" t="s">
        <v>1724</v>
      </c>
      <c r="W179" t="str">
        <f>IFERROR(VLOOKUP(ROWS($W$3:W179),$U$3:$V$992,2,0),"")</f>
        <v>Výroba žáruvzdorných výrobků</v>
      </c>
      <c r="X179">
        <f>IF(ISNUMBER(SEARCH('1Př1'!$A$37,N179)),MAX($M$2:M178)+1,0)</f>
        <v>177</v>
      </c>
      <c r="Y179" s="419" t="s">
        <v>1724</v>
      </c>
      <c r="Z179" t="str">
        <f>IFERROR(VLOOKUP(ROWS($Z$3:Z179),$X$3:$Y$992,2,0),"")</f>
        <v>Výroba žáruvzdorných výrobků</v>
      </c>
    </row>
    <row r="180" spans="1:26" ht="12.75" customHeight="1">
      <c r="A180" s="395"/>
      <c r="B180" s="395"/>
      <c r="C180" s="395"/>
      <c r="D180" s="411">
        <f>IF(ISNUMBER(SEARCH(ZAKL_DATA!$B$14,E180)),MAX($D$2:D179)+1,0)</f>
        <v>178</v>
      </c>
      <c r="E180" s="425" t="s">
        <v>1726</v>
      </c>
      <c r="F180" s="426">
        <v>3207</v>
      </c>
      <c r="G180" s="427"/>
      <c r="H180" s="428" t="str">
        <f>IFERROR(VLOOKUP(ROWS($H$3:H180),$D$3:$E$204,2,0),"")</f>
        <v>FRÝDEK-MÍSTEK</v>
      </c>
      <c r="I180" s="395"/>
      <c r="J180" s="430" t="s">
        <v>1727</v>
      </c>
      <c r="K180" s="417" t="s">
        <v>1728</v>
      </c>
      <c r="M180" s="418">
        <f>IF(ISNUMBER(SEARCH(ZAKL_DATA!$B$29,N180)),MAX($M$2:M179)+1,0)</f>
        <v>178</v>
      </c>
      <c r="N180" s="419" t="s">
        <v>1729</v>
      </c>
      <c r="O180" s="436" t="s">
        <v>1730</v>
      </c>
      <c r="P180" s="421"/>
      <c r="Q180" s="422" t="str">
        <f>IFERROR(VLOOKUP(ROWS($Q$3:Q180),$M$3:$N$992,2,0),"")</f>
        <v>Výroba stavebních výrobků z jílovitých materiálů</v>
      </c>
      <c r="R180">
        <f>IF(ISNUMBER(SEARCH('1Př1'!$A$35,N180)),MAX($M$2:M179)+1,0)</f>
        <v>178</v>
      </c>
      <c r="S180" s="419" t="s">
        <v>1729</v>
      </c>
      <c r="T180" t="str">
        <f>IFERROR(VLOOKUP(ROWS($T$3:T180),$R$3:$S$992,2,0),"")</f>
        <v>Výroba stavebních výrobků z jílovitých materiálů</v>
      </c>
      <c r="U180">
        <f>IF(ISNUMBER(SEARCH('1Př1'!$A$36,N180)),MAX($M$2:M179)+1,0)</f>
        <v>178</v>
      </c>
      <c r="V180" s="419" t="s">
        <v>1729</v>
      </c>
      <c r="W180" t="str">
        <f>IFERROR(VLOOKUP(ROWS($W$3:W180),$U$3:$V$992,2,0),"")</f>
        <v>Výroba stavebních výrobků z jílovitých materiálů</v>
      </c>
      <c r="X180">
        <f>IF(ISNUMBER(SEARCH('1Př1'!$A$37,N180)),MAX($M$2:M179)+1,0)</f>
        <v>178</v>
      </c>
      <c r="Y180" s="419" t="s">
        <v>1729</v>
      </c>
      <c r="Z180" t="str">
        <f>IFERROR(VLOOKUP(ROWS($Z$3:Z180),$X$3:$Y$992,2,0),"")</f>
        <v>Výroba stavebních výrobků z jílovitých materiálů</v>
      </c>
    </row>
    <row r="181" spans="1:26" ht="12.75" customHeight="1">
      <c r="A181" s="395"/>
      <c r="B181" s="395"/>
      <c r="C181" s="395"/>
      <c r="D181" s="411">
        <f>IF(ISNUMBER(SEARCH(ZAKL_DATA!$B$14,E181)),MAX($D$2:D180)+1,0)</f>
        <v>179</v>
      </c>
      <c r="E181" s="425" t="s">
        <v>1731</v>
      </c>
      <c r="F181" s="426">
        <v>3208</v>
      </c>
      <c r="G181" s="427"/>
      <c r="H181" s="428" t="str">
        <f>IFERROR(VLOOKUP(ROWS($H$3:H181),$D$3:$E$204,2,0),"")</f>
        <v>FRÝDLANT NAD OSTRAV.</v>
      </c>
      <c r="I181" s="395"/>
      <c r="J181" s="430" t="s">
        <v>1732</v>
      </c>
      <c r="K181" s="417" t="s">
        <v>1733</v>
      </c>
      <c r="M181" s="418">
        <f>IF(ISNUMBER(SEARCH(ZAKL_DATA!$B$29,N181)),MAX($M$2:M180)+1,0)</f>
        <v>179</v>
      </c>
      <c r="N181" s="419" t="s">
        <v>1734</v>
      </c>
      <c r="O181" s="436" t="s">
        <v>1735</v>
      </c>
      <c r="P181" s="421"/>
      <c r="Q181" s="422" t="str">
        <f>IFERROR(VLOOKUP(ROWS($Q$3:Q181),$M$3:$N$992,2,0),"")</f>
        <v>Výroba ostatních porcelánových a keramických výrobků</v>
      </c>
      <c r="R181">
        <f>IF(ISNUMBER(SEARCH('1Př1'!$A$35,N181)),MAX($M$2:M180)+1,0)</f>
        <v>179</v>
      </c>
      <c r="S181" s="419" t="s">
        <v>1734</v>
      </c>
      <c r="T181" t="str">
        <f>IFERROR(VLOOKUP(ROWS($T$3:T181),$R$3:$S$992,2,0),"")</f>
        <v>Výroba ostatních porcelánových a keramických výrobků</v>
      </c>
      <c r="U181">
        <f>IF(ISNUMBER(SEARCH('1Př1'!$A$36,N181)),MAX($M$2:M180)+1,0)</f>
        <v>179</v>
      </c>
      <c r="V181" s="419" t="s">
        <v>1734</v>
      </c>
      <c r="W181" t="str">
        <f>IFERROR(VLOOKUP(ROWS($W$3:W181),$U$3:$V$992,2,0),"")</f>
        <v>Výroba ostatních porcelánových a keramických výrobků</v>
      </c>
      <c r="X181">
        <f>IF(ISNUMBER(SEARCH('1Př1'!$A$37,N181)),MAX($M$2:M180)+1,0)</f>
        <v>179</v>
      </c>
      <c r="Y181" s="419" t="s">
        <v>1734</v>
      </c>
      <c r="Z181" t="str">
        <f>IFERROR(VLOOKUP(ROWS($Z$3:Z181),$X$3:$Y$992,2,0),"")</f>
        <v>Výroba ostatních porcelánových a keramických výrobků</v>
      </c>
    </row>
    <row r="182" spans="1:26" ht="12.75" customHeight="1">
      <c r="A182" s="395"/>
      <c r="B182" s="395"/>
      <c r="C182" s="395"/>
      <c r="D182" s="411">
        <f>IF(ISNUMBER(SEARCH(ZAKL_DATA!$B$14,E182)),MAX($D$2:D181)+1,0)</f>
        <v>180</v>
      </c>
      <c r="E182" s="425" t="s">
        <v>1736</v>
      </c>
      <c r="F182" s="426">
        <v>3209</v>
      </c>
      <c r="G182" s="427"/>
      <c r="H182" s="428" t="str">
        <f>IFERROR(VLOOKUP(ROWS($H$3:H182),$D$3:$E$204,2,0),"")</f>
        <v>FULNEK</v>
      </c>
      <c r="I182" s="395"/>
      <c r="J182" s="430" t="s">
        <v>1737</v>
      </c>
      <c r="K182" s="417" t="s">
        <v>1738</v>
      </c>
      <c r="M182" s="418">
        <f>IF(ISNUMBER(SEARCH(ZAKL_DATA!$B$29,N182)),MAX($M$2:M181)+1,0)</f>
        <v>180</v>
      </c>
      <c r="N182" s="419" t="s">
        <v>1739</v>
      </c>
      <c r="O182" s="436" t="s">
        <v>1740</v>
      </c>
      <c r="P182" s="421"/>
      <c r="Q182" s="422" t="str">
        <f>IFERROR(VLOOKUP(ROWS($Q$3:Q182),$M$3:$N$992,2,0),"")</f>
        <v>Výroba cementu, vápna a sádry</v>
      </c>
      <c r="R182">
        <f>IF(ISNUMBER(SEARCH('1Př1'!$A$35,N182)),MAX($M$2:M181)+1,0)</f>
        <v>180</v>
      </c>
      <c r="S182" s="419" t="s">
        <v>1739</v>
      </c>
      <c r="T182" t="str">
        <f>IFERROR(VLOOKUP(ROWS($T$3:T182),$R$3:$S$992,2,0),"")</f>
        <v>Výroba cementu, vápna a sádry</v>
      </c>
      <c r="U182">
        <f>IF(ISNUMBER(SEARCH('1Př1'!$A$36,N182)),MAX($M$2:M181)+1,0)</f>
        <v>180</v>
      </c>
      <c r="V182" s="419" t="s">
        <v>1739</v>
      </c>
      <c r="W182" t="str">
        <f>IFERROR(VLOOKUP(ROWS($W$3:W182),$U$3:$V$992,2,0),"")</f>
        <v>Výroba cementu, vápna a sádry</v>
      </c>
      <c r="X182">
        <f>IF(ISNUMBER(SEARCH('1Př1'!$A$37,N182)),MAX($M$2:M181)+1,0)</f>
        <v>180</v>
      </c>
      <c r="Y182" s="419" t="s">
        <v>1739</v>
      </c>
      <c r="Z182" t="str">
        <f>IFERROR(VLOOKUP(ROWS($Z$3:Z182),$X$3:$Y$992,2,0),"")</f>
        <v>Výroba cementu, vápna a sádry</v>
      </c>
    </row>
    <row r="183" spans="1:26" ht="12.75" customHeight="1">
      <c r="A183" s="395"/>
      <c r="B183" s="395"/>
      <c r="C183" s="395"/>
      <c r="D183" s="411">
        <f>IF(ISNUMBER(SEARCH(ZAKL_DATA!$B$14,E183)),MAX($D$2:D182)+1,0)</f>
        <v>181</v>
      </c>
      <c r="E183" s="425" t="s">
        <v>1741</v>
      </c>
      <c r="F183" s="426">
        <v>3210</v>
      </c>
      <c r="G183" s="427"/>
      <c r="H183" s="428" t="str">
        <f>IFERROR(VLOOKUP(ROWS($H$3:H183),$D$3:$E$204,2,0),"")</f>
        <v>HAVÍŘOV</v>
      </c>
      <c r="I183" s="395"/>
      <c r="J183" s="430" t="s">
        <v>1742</v>
      </c>
      <c r="K183" s="417" t="s">
        <v>1743</v>
      </c>
      <c r="M183" s="418">
        <f>IF(ISNUMBER(SEARCH(ZAKL_DATA!$B$29,N183)),MAX($M$2:M182)+1,0)</f>
        <v>181</v>
      </c>
      <c r="N183" s="419" t="s">
        <v>1744</v>
      </c>
      <c r="O183" s="436" t="s">
        <v>1745</v>
      </c>
      <c r="P183" s="421"/>
      <c r="Q183" s="422" t="str">
        <f>IFERROR(VLOOKUP(ROWS($Q$3:Q183),$M$3:$N$992,2,0),"")</f>
        <v>Výroba betonových, cementových a sádrových výrobků</v>
      </c>
      <c r="R183">
        <f>IF(ISNUMBER(SEARCH('1Př1'!$A$35,N183)),MAX($M$2:M182)+1,0)</f>
        <v>181</v>
      </c>
      <c r="S183" s="419" t="s">
        <v>1744</v>
      </c>
      <c r="T183" t="str">
        <f>IFERROR(VLOOKUP(ROWS($T$3:T183),$R$3:$S$992,2,0),"")</f>
        <v>Výroba betonových, cementových a sádrových výrobků</v>
      </c>
      <c r="U183">
        <f>IF(ISNUMBER(SEARCH('1Př1'!$A$36,N183)),MAX($M$2:M182)+1,0)</f>
        <v>181</v>
      </c>
      <c r="V183" s="419" t="s">
        <v>1744</v>
      </c>
      <c r="W183" t="str">
        <f>IFERROR(VLOOKUP(ROWS($W$3:W183),$U$3:$V$992,2,0),"")</f>
        <v>Výroba betonových, cementových a sádrových výrobků</v>
      </c>
      <c r="X183">
        <f>IF(ISNUMBER(SEARCH('1Př1'!$A$37,N183)),MAX($M$2:M182)+1,0)</f>
        <v>181</v>
      </c>
      <c r="Y183" s="419" t="s">
        <v>1744</v>
      </c>
      <c r="Z183" t="str">
        <f>IFERROR(VLOOKUP(ROWS($Z$3:Z183),$X$3:$Y$992,2,0),"")</f>
        <v>Výroba betonových, cementových a sádrových výrobků</v>
      </c>
    </row>
    <row r="184" spans="1:26" ht="12.75" customHeight="1">
      <c r="A184" s="395"/>
      <c r="B184" s="395"/>
      <c r="C184" s="395"/>
      <c r="D184" s="411">
        <f>IF(ISNUMBER(SEARCH(ZAKL_DATA!$B$14,E184)),MAX($D$2:D183)+1,0)</f>
        <v>182</v>
      </c>
      <c r="E184" s="425" t="s">
        <v>1746</v>
      </c>
      <c r="F184" s="426">
        <v>3211</v>
      </c>
      <c r="G184" s="427"/>
      <c r="H184" s="428" t="str">
        <f>IFERROR(VLOOKUP(ROWS($H$3:H184),$D$3:$E$204,2,0),"")</f>
        <v>HLUČÍN</v>
      </c>
      <c r="I184" s="395"/>
      <c r="J184" s="430" t="s">
        <v>1747</v>
      </c>
      <c r="K184" s="417" t="s">
        <v>1748</v>
      </c>
      <c r="M184" s="418">
        <f>IF(ISNUMBER(SEARCH(ZAKL_DATA!$B$29,N184)),MAX($M$2:M183)+1,0)</f>
        <v>182</v>
      </c>
      <c r="N184" s="419" t="s">
        <v>1749</v>
      </c>
      <c r="O184" s="436" t="s">
        <v>1750</v>
      </c>
      <c r="P184" s="421"/>
      <c r="Q184" s="422" t="str">
        <f>IFERROR(VLOOKUP(ROWS($Q$3:Q184),$M$3:$N$992,2,0),"")</f>
        <v>Řezání, tvarování a konečná úprava kamenů</v>
      </c>
      <c r="R184">
        <f>IF(ISNUMBER(SEARCH('1Př1'!$A$35,N184)),MAX($M$2:M183)+1,0)</f>
        <v>182</v>
      </c>
      <c r="S184" s="419" t="s">
        <v>1749</v>
      </c>
      <c r="T184" t="str">
        <f>IFERROR(VLOOKUP(ROWS($T$3:T184),$R$3:$S$992,2,0),"")</f>
        <v>Řezání, tvarování a konečná úprava kamenů</v>
      </c>
      <c r="U184">
        <f>IF(ISNUMBER(SEARCH('1Př1'!$A$36,N184)),MAX($M$2:M183)+1,0)</f>
        <v>182</v>
      </c>
      <c r="V184" s="419" t="s">
        <v>1749</v>
      </c>
      <c r="W184" t="str">
        <f>IFERROR(VLOOKUP(ROWS($W$3:W184),$U$3:$V$992,2,0),"")</f>
        <v>Řezání, tvarování a konečná úprava kamenů</v>
      </c>
      <c r="X184">
        <f>IF(ISNUMBER(SEARCH('1Př1'!$A$37,N184)),MAX($M$2:M183)+1,0)</f>
        <v>182</v>
      </c>
      <c r="Y184" s="419" t="s">
        <v>1749</v>
      </c>
      <c r="Z184" t="str">
        <f>IFERROR(VLOOKUP(ROWS($Z$3:Z184),$X$3:$Y$992,2,0),"")</f>
        <v>Řezání, tvarování a konečná úprava kamenů</v>
      </c>
    </row>
    <row r="185" spans="1:26" ht="12.75" customHeight="1">
      <c r="A185" s="395"/>
      <c r="B185" s="395"/>
      <c r="C185" s="395"/>
      <c r="D185" s="411">
        <f>IF(ISNUMBER(SEARCH(ZAKL_DATA!$B$14,E185)),MAX($D$2:D184)+1,0)</f>
        <v>183</v>
      </c>
      <c r="E185" s="425" t="s">
        <v>1751</v>
      </c>
      <c r="F185" s="426">
        <v>3212</v>
      </c>
      <c r="G185" s="427"/>
      <c r="H185" s="428" t="str">
        <f>IFERROR(VLOOKUP(ROWS($H$3:H185),$D$3:$E$204,2,0),"")</f>
        <v>KARVINÁ</v>
      </c>
      <c r="I185" s="395"/>
      <c r="J185" s="430" t="s">
        <v>1752</v>
      </c>
      <c r="K185" s="417" t="s">
        <v>1753</v>
      </c>
      <c r="M185" s="418">
        <f>IF(ISNUMBER(SEARCH(ZAKL_DATA!$B$29,N185)),MAX($M$2:M184)+1,0)</f>
        <v>183</v>
      </c>
      <c r="N185" s="419" t="s">
        <v>1754</v>
      </c>
      <c r="O185" s="420" t="s">
        <v>1755</v>
      </c>
      <c r="P185" s="421"/>
      <c r="Q185" s="422" t="str">
        <f>IFERROR(VLOOKUP(ROWS($Q$3:Q185),$M$3:$N$992,2,0),"")</f>
        <v>Výroba brusiv a ostatních nekovových minerálních výrobků j. n.</v>
      </c>
      <c r="R185">
        <f>IF(ISNUMBER(SEARCH('1Př1'!$A$35,N185)),MAX($M$2:M184)+1,0)</f>
        <v>183</v>
      </c>
      <c r="S185" s="419" t="s">
        <v>1754</v>
      </c>
      <c r="T185" t="str">
        <f>IFERROR(VLOOKUP(ROWS($T$3:T185),$R$3:$S$992,2,0),"")</f>
        <v>Výroba brusiv a ostatních nekovových minerálních výrobků j. n.</v>
      </c>
      <c r="U185">
        <f>IF(ISNUMBER(SEARCH('1Př1'!$A$36,N185)),MAX($M$2:M184)+1,0)</f>
        <v>183</v>
      </c>
      <c r="V185" s="419" t="s">
        <v>1754</v>
      </c>
      <c r="W185" t="str">
        <f>IFERROR(VLOOKUP(ROWS($W$3:W185),$U$3:$V$992,2,0),"")</f>
        <v>Výroba brusiv a ostatních nekovových minerálních výrobků j. n.</v>
      </c>
      <c r="X185">
        <f>IF(ISNUMBER(SEARCH('1Př1'!$A$37,N185)),MAX($M$2:M184)+1,0)</f>
        <v>183</v>
      </c>
      <c r="Y185" s="419" t="s">
        <v>1754</v>
      </c>
      <c r="Z185" t="str">
        <f>IFERROR(VLOOKUP(ROWS($Z$3:Z185),$X$3:$Y$992,2,0),"")</f>
        <v>Výroba brusiv a ostatních nekovových minerálních výrobků j. n.</v>
      </c>
    </row>
    <row r="186" spans="1:26" ht="12.75" customHeight="1">
      <c r="A186" s="395"/>
      <c r="B186" s="395"/>
      <c r="C186" s="395"/>
      <c r="D186" s="411">
        <f>IF(ISNUMBER(SEARCH(ZAKL_DATA!$B$14,E186)),MAX($D$2:D185)+1,0)</f>
        <v>184</v>
      </c>
      <c r="E186" s="425" t="s">
        <v>1756</v>
      </c>
      <c r="F186" s="426">
        <v>3213</v>
      </c>
      <c r="G186" s="427"/>
      <c r="H186" s="428" t="str">
        <f>IFERROR(VLOOKUP(ROWS($H$3:H186),$D$3:$E$204,2,0),"")</f>
        <v>KOPŘIVNICE</v>
      </c>
      <c r="I186" s="395"/>
      <c r="J186" s="430" t="s">
        <v>1757</v>
      </c>
      <c r="K186" s="417" t="s">
        <v>1758</v>
      </c>
      <c r="M186" s="418">
        <f>IF(ISNUMBER(SEARCH(ZAKL_DATA!$B$29,N186)),MAX($M$2:M185)+1,0)</f>
        <v>184</v>
      </c>
      <c r="N186" s="419" t="s">
        <v>1759</v>
      </c>
      <c r="O186" s="420" t="s">
        <v>1760</v>
      </c>
      <c r="P186" s="421"/>
      <c r="Q186" s="422" t="str">
        <f>IFERROR(VLOOKUP(ROWS($Q$3:Q186),$M$3:$N$992,2,0),"")</f>
        <v>Výroba sur.železa,oceli a feroslitin,ploch.výr.,tváření výrobků za tepla</v>
      </c>
      <c r="R186">
        <f>IF(ISNUMBER(SEARCH('1Př1'!$A$35,N186)),MAX($M$2:M185)+1,0)</f>
        <v>184</v>
      </c>
      <c r="S186" s="419" t="s">
        <v>1759</v>
      </c>
      <c r="T186" t="str">
        <f>IFERROR(VLOOKUP(ROWS($T$3:T186),$R$3:$S$992,2,0),"")</f>
        <v>Výroba sur.železa,oceli a feroslitin,ploch.výr.,tváření výrobků za tepla</v>
      </c>
      <c r="U186">
        <f>IF(ISNUMBER(SEARCH('1Př1'!$A$36,N186)),MAX($M$2:M185)+1,0)</f>
        <v>184</v>
      </c>
      <c r="V186" s="419" t="s">
        <v>1759</v>
      </c>
      <c r="W186" t="str">
        <f>IFERROR(VLOOKUP(ROWS($W$3:W186),$U$3:$V$992,2,0),"")</f>
        <v>Výroba sur.železa,oceli a feroslitin,ploch.výr.,tváření výrobků za tepla</v>
      </c>
      <c r="X186">
        <f>IF(ISNUMBER(SEARCH('1Př1'!$A$37,N186)),MAX($M$2:M185)+1,0)</f>
        <v>184</v>
      </c>
      <c r="Y186" s="419" t="s">
        <v>1759</v>
      </c>
      <c r="Z186" t="str">
        <f>IFERROR(VLOOKUP(ROWS($Z$3:Z186),$X$3:$Y$992,2,0),"")</f>
        <v>Výroba sur.železa,oceli a feroslitin,ploch.výr.,tváření výrobků za tepla</v>
      </c>
    </row>
    <row r="187" spans="1:26" ht="12.75" customHeight="1">
      <c r="A187" s="395"/>
      <c r="B187" s="395"/>
      <c r="C187" s="395"/>
      <c r="D187" s="411">
        <f>IF(ISNUMBER(SEARCH(ZAKL_DATA!$B$14,E187)),MAX($D$2:D186)+1,0)</f>
        <v>185</v>
      </c>
      <c r="E187" s="425" t="s">
        <v>1761</v>
      </c>
      <c r="F187" s="426">
        <v>3214</v>
      </c>
      <c r="G187" s="427"/>
      <c r="H187" s="428" t="str">
        <f>IFERROR(VLOOKUP(ROWS($H$3:H187),$D$3:$E$204,2,0),"")</f>
        <v>KRNOV</v>
      </c>
      <c r="I187" s="395"/>
      <c r="J187" s="430" t="s">
        <v>1762</v>
      </c>
      <c r="K187" s="417" t="s">
        <v>1763</v>
      </c>
      <c r="M187" s="418">
        <f>IF(ISNUMBER(SEARCH(ZAKL_DATA!$B$29,N187)),MAX($M$2:M186)+1,0)</f>
        <v>185</v>
      </c>
      <c r="N187" s="419" t="s">
        <v>1764</v>
      </c>
      <c r="O187" s="436" t="s">
        <v>1765</v>
      </c>
      <c r="P187" s="421"/>
      <c r="Q187" s="422" t="str">
        <f>IFERROR(VLOOKUP(ROWS($Q$3:Q187),$M$3:$N$992,2,0),"")</f>
        <v>Výroba ocelových trub,trubek,dutých profilů a souvis.potrubních tvarovek</v>
      </c>
      <c r="R187">
        <f>IF(ISNUMBER(SEARCH('1Př1'!$A$35,N187)),MAX($M$2:M186)+1,0)</f>
        <v>185</v>
      </c>
      <c r="S187" s="419" t="s">
        <v>1764</v>
      </c>
      <c r="T187" t="str">
        <f>IFERROR(VLOOKUP(ROWS($T$3:T187),$R$3:$S$992,2,0),"")</f>
        <v>Výroba ocelových trub,trubek,dutých profilů a souvis.potrubních tvarovek</v>
      </c>
      <c r="U187">
        <f>IF(ISNUMBER(SEARCH('1Př1'!$A$36,N187)),MAX($M$2:M186)+1,0)</f>
        <v>185</v>
      </c>
      <c r="V187" s="419" t="s">
        <v>1764</v>
      </c>
      <c r="W187" t="str">
        <f>IFERROR(VLOOKUP(ROWS($W$3:W187),$U$3:$V$992,2,0),"")</f>
        <v>Výroba ocelových trub,trubek,dutých profilů a souvis.potrubních tvarovek</v>
      </c>
      <c r="X187">
        <f>IF(ISNUMBER(SEARCH('1Př1'!$A$37,N187)),MAX($M$2:M186)+1,0)</f>
        <v>185</v>
      </c>
      <c r="Y187" s="419" t="s">
        <v>1764</v>
      </c>
      <c r="Z187" t="str">
        <f>IFERROR(VLOOKUP(ROWS($Z$3:Z187),$X$3:$Y$992,2,0),"")</f>
        <v>Výroba ocelových trub,trubek,dutých profilů a souvis.potrubních tvarovek</v>
      </c>
    </row>
    <row r="188" spans="1:26" ht="12.75" customHeight="1">
      <c r="A188" s="395"/>
      <c r="B188" s="395"/>
      <c r="C188" s="395"/>
      <c r="D188" s="411">
        <f>IF(ISNUMBER(SEARCH(ZAKL_DATA!$B$14,E188)),MAX($D$2:D187)+1,0)</f>
        <v>186</v>
      </c>
      <c r="E188" s="425" t="s">
        <v>1766</v>
      </c>
      <c r="F188" s="426">
        <v>3215</v>
      </c>
      <c r="G188" s="427"/>
      <c r="H188" s="428" t="str">
        <f>IFERROR(VLOOKUP(ROWS($H$3:H188),$D$3:$E$204,2,0),"")</f>
        <v>NOVÝ JIČÍN</v>
      </c>
      <c r="I188" s="395"/>
      <c r="J188" s="430" t="s">
        <v>1767</v>
      </c>
      <c r="K188" s="417" t="s">
        <v>1768</v>
      </c>
      <c r="M188" s="418">
        <f>IF(ISNUMBER(SEARCH(ZAKL_DATA!$B$29,N188)),MAX($M$2:M187)+1,0)</f>
        <v>186</v>
      </c>
      <c r="N188" s="419" t="s">
        <v>1769</v>
      </c>
      <c r="O188" s="420" t="s">
        <v>1770</v>
      </c>
      <c r="P188" s="421"/>
      <c r="Q188" s="422" t="str">
        <f>IFERROR(VLOOKUP(ROWS($Q$3:Q188),$M$3:$N$992,2,0),"")</f>
        <v>Výroba ostatních výrobků získaných jednostupňovým zpracováním oceli</v>
      </c>
      <c r="R188">
        <f>IF(ISNUMBER(SEARCH('1Př1'!$A$35,N188)),MAX($M$2:M187)+1,0)</f>
        <v>186</v>
      </c>
      <c r="S188" s="419" t="s">
        <v>1769</v>
      </c>
      <c r="T188" t="str">
        <f>IFERROR(VLOOKUP(ROWS($T$3:T188),$R$3:$S$992,2,0),"")</f>
        <v>Výroba ostatních výrobků získaných jednostupňovým zpracováním oceli</v>
      </c>
      <c r="U188">
        <f>IF(ISNUMBER(SEARCH('1Př1'!$A$36,N188)),MAX($M$2:M187)+1,0)</f>
        <v>186</v>
      </c>
      <c r="V188" s="419" t="s">
        <v>1769</v>
      </c>
      <c r="W188" t="str">
        <f>IFERROR(VLOOKUP(ROWS($W$3:W188),$U$3:$V$992,2,0),"")</f>
        <v>Výroba ostatních výrobků získaných jednostupňovým zpracováním oceli</v>
      </c>
      <c r="X188">
        <f>IF(ISNUMBER(SEARCH('1Př1'!$A$37,N188)),MAX($M$2:M187)+1,0)</f>
        <v>186</v>
      </c>
      <c r="Y188" s="419" t="s">
        <v>1769</v>
      </c>
      <c r="Z188" t="str">
        <f>IFERROR(VLOOKUP(ROWS($Z$3:Z188),$X$3:$Y$992,2,0),"")</f>
        <v>Výroba ostatních výrobků získaných jednostupňovým zpracováním oceli</v>
      </c>
    </row>
    <row r="189" spans="1:26" ht="12.75" customHeight="1">
      <c r="A189" s="395"/>
      <c r="B189" s="395"/>
      <c r="C189" s="395"/>
      <c r="D189" s="411">
        <f>IF(ISNUMBER(SEARCH(ZAKL_DATA!$B$14,E189)),MAX($D$2:D188)+1,0)</f>
        <v>187</v>
      </c>
      <c r="E189" s="425" t="s">
        <v>1771</v>
      </c>
      <c r="F189" s="426">
        <v>3216</v>
      </c>
      <c r="G189" s="427"/>
      <c r="H189" s="428" t="str">
        <f>IFERROR(VLOOKUP(ROWS($H$3:H189),$D$3:$E$204,2,0),"")</f>
        <v>OPAVA</v>
      </c>
      <c r="I189" s="395"/>
      <c r="J189" s="430" t="s">
        <v>1772</v>
      </c>
      <c r="K189" s="417" t="s">
        <v>1773</v>
      </c>
      <c r="M189" s="418">
        <f>IF(ISNUMBER(SEARCH(ZAKL_DATA!$B$29,N189)),MAX($M$2:M188)+1,0)</f>
        <v>187</v>
      </c>
      <c r="N189" s="419" t="s">
        <v>1774</v>
      </c>
      <c r="O189" s="436" t="s">
        <v>1775</v>
      </c>
      <c r="P189" s="421"/>
      <c r="Q189" s="422" t="str">
        <f>IFERROR(VLOOKUP(ROWS($Q$3:Q189),$M$3:$N$992,2,0),"")</f>
        <v>Výroba a hutní zpracování drahých a neželezných kovů</v>
      </c>
      <c r="R189">
        <f>IF(ISNUMBER(SEARCH('1Př1'!$A$35,N189)),MAX($M$2:M188)+1,0)</f>
        <v>187</v>
      </c>
      <c r="S189" s="419" t="s">
        <v>1774</v>
      </c>
      <c r="T189" t="str">
        <f>IFERROR(VLOOKUP(ROWS($T$3:T189),$R$3:$S$992,2,0),"")</f>
        <v>Výroba a hutní zpracování drahých a neželezných kovů</v>
      </c>
      <c r="U189">
        <f>IF(ISNUMBER(SEARCH('1Př1'!$A$36,N189)),MAX($M$2:M188)+1,0)</f>
        <v>187</v>
      </c>
      <c r="V189" s="419" t="s">
        <v>1774</v>
      </c>
      <c r="W189" t="str">
        <f>IFERROR(VLOOKUP(ROWS($W$3:W189),$U$3:$V$992,2,0),"")</f>
        <v>Výroba a hutní zpracování drahých a neželezných kovů</v>
      </c>
      <c r="X189">
        <f>IF(ISNUMBER(SEARCH('1Př1'!$A$37,N189)),MAX($M$2:M188)+1,0)</f>
        <v>187</v>
      </c>
      <c r="Y189" s="419" t="s">
        <v>1774</v>
      </c>
      <c r="Z189" t="str">
        <f>IFERROR(VLOOKUP(ROWS($Z$3:Z189),$X$3:$Y$992,2,0),"")</f>
        <v>Výroba a hutní zpracování drahých a neželezných kovů</v>
      </c>
    </row>
    <row r="190" spans="1:26" ht="12.75" customHeight="1">
      <c r="A190" s="395"/>
      <c r="B190" s="395"/>
      <c r="C190" s="395"/>
      <c r="D190" s="411">
        <f>IF(ISNUMBER(SEARCH(ZAKL_DATA!$B$14,E190)),MAX($D$2:D189)+1,0)</f>
        <v>188</v>
      </c>
      <c r="E190" s="425" t="s">
        <v>1776</v>
      </c>
      <c r="F190" s="426">
        <v>3217</v>
      </c>
      <c r="G190" s="427"/>
      <c r="H190" s="428" t="str">
        <f>IFERROR(VLOOKUP(ROWS($H$3:H190),$D$3:$E$204,2,0),"")</f>
        <v>ORLOVÁ</v>
      </c>
      <c r="I190" s="395"/>
      <c r="J190" s="430" t="s">
        <v>1777</v>
      </c>
      <c r="K190" s="417" t="s">
        <v>1778</v>
      </c>
      <c r="M190" s="418">
        <f>IF(ISNUMBER(SEARCH(ZAKL_DATA!$B$29,N190)),MAX($M$2:M189)+1,0)</f>
        <v>188</v>
      </c>
      <c r="N190" s="419" t="s">
        <v>1779</v>
      </c>
      <c r="O190" s="420" t="s">
        <v>1780</v>
      </c>
      <c r="P190" s="421"/>
      <c r="Q190" s="422" t="str">
        <f>IFERROR(VLOOKUP(ROWS($Q$3:Q190),$M$3:$N$992,2,0),"")</f>
        <v>Slévárenství</v>
      </c>
      <c r="R190">
        <f>IF(ISNUMBER(SEARCH('1Př1'!$A$35,N190)),MAX($M$2:M189)+1,0)</f>
        <v>188</v>
      </c>
      <c r="S190" s="419" t="s">
        <v>1779</v>
      </c>
      <c r="T190" t="str">
        <f>IFERROR(VLOOKUP(ROWS($T$3:T190),$R$3:$S$992,2,0),"")</f>
        <v>Slévárenství</v>
      </c>
      <c r="U190">
        <f>IF(ISNUMBER(SEARCH('1Př1'!$A$36,N190)),MAX($M$2:M189)+1,0)</f>
        <v>188</v>
      </c>
      <c r="V190" s="419" t="s">
        <v>1779</v>
      </c>
      <c r="W190" t="str">
        <f>IFERROR(VLOOKUP(ROWS($W$3:W190),$U$3:$V$992,2,0),"")</f>
        <v>Slévárenství</v>
      </c>
      <c r="X190">
        <f>IF(ISNUMBER(SEARCH('1Př1'!$A$37,N190)),MAX($M$2:M189)+1,0)</f>
        <v>188</v>
      </c>
      <c r="Y190" s="419" t="s">
        <v>1779</v>
      </c>
      <c r="Z190" t="str">
        <f>IFERROR(VLOOKUP(ROWS($Z$3:Z190),$X$3:$Y$992,2,0),"")</f>
        <v>Slévárenství</v>
      </c>
    </row>
    <row r="191" spans="1:26" ht="12.75" customHeight="1">
      <c r="A191" s="395"/>
      <c r="B191" s="395"/>
      <c r="C191" s="395"/>
      <c r="D191" s="411">
        <f>IF(ISNUMBER(SEARCH(ZAKL_DATA!$B$14,E191)),MAX($D$2:D190)+1,0)</f>
        <v>189</v>
      </c>
      <c r="E191" s="425" t="s">
        <v>1781</v>
      </c>
      <c r="F191" s="426">
        <v>3218</v>
      </c>
      <c r="G191" s="427"/>
      <c r="H191" s="428" t="str">
        <f>IFERROR(VLOOKUP(ROWS($H$3:H191),$D$3:$E$204,2,0),"")</f>
        <v>TŘINEC</v>
      </c>
      <c r="I191" s="395"/>
      <c r="J191" s="430" t="s">
        <v>1782</v>
      </c>
      <c r="K191" s="417" t="s">
        <v>1783</v>
      </c>
      <c r="M191" s="418">
        <f>IF(ISNUMBER(SEARCH(ZAKL_DATA!$B$29,N191)),MAX($M$2:M190)+1,0)</f>
        <v>189</v>
      </c>
      <c r="N191" s="419" t="s">
        <v>1784</v>
      </c>
      <c r="O191" s="436" t="s">
        <v>1785</v>
      </c>
      <c r="P191" s="421"/>
      <c r="Q191" s="422" t="str">
        <f>IFERROR(VLOOKUP(ROWS($Q$3:Q191),$M$3:$N$992,2,0),"")</f>
        <v>Výroba konstrukčních kovových výrobků</v>
      </c>
      <c r="R191">
        <f>IF(ISNUMBER(SEARCH('1Př1'!$A$35,N191)),MAX($M$2:M190)+1,0)</f>
        <v>189</v>
      </c>
      <c r="S191" s="419" t="s">
        <v>1784</v>
      </c>
      <c r="T191" t="str">
        <f>IFERROR(VLOOKUP(ROWS($T$3:T191),$R$3:$S$992,2,0),"")</f>
        <v>Výroba konstrukčních kovových výrobků</v>
      </c>
      <c r="U191">
        <f>IF(ISNUMBER(SEARCH('1Př1'!$A$36,N191)),MAX($M$2:M190)+1,0)</f>
        <v>189</v>
      </c>
      <c r="V191" s="419" t="s">
        <v>1784</v>
      </c>
      <c r="W191" t="str">
        <f>IFERROR(VLOOKUP(ROWS($W$3:W191),$U$3:$V$992,2,0),"")</f>
        <v>Výroba konstrukčních kovových výrobků</v>
      </c>
      <c r="X191">
        <f>IF(ISNUMBER(SEARCH('1Př1'!$A$37,N191)),MAX($M$2:M190)+1,0)</f>
        <v>189</v>
      </c>
      <c r="Y191" s="419" t="s">
        <v>1784</v>
      </c>
      <c r="Z191" t="str">
        <f>IFERROR(VLOOKUP(ROWS($Z$3:Z191),$X$3:$Y$992,2,0),"")</f>
        <v>Výroba konstrukčních kovových výrobků</v>
      </c>
    </row>
    <row r="192" spans="1:26" ht="12.75" customHeight="1">
      <c r="A192" s="395"/>
      <c r="B192" s="395"/>
      <c r="C192" s="395"/>
      <c r="D192" s="411">
        <f>IF(ISNUMBER(SEARCH(ZAKL_DATA!$B$14,E192)),MAX($D$2:D191)+1,0)</f>
        <v>190</v>
      </c>
      <c r="E192" s="425" t="s">
        <v>1786</v>
      </c>
      <c r="F192" s="426">
        <v>3301</v>
      </c>
      <c r="G192" s="427"/>
      <c r="H192" s="428" t="str">
        <f>IFERROR(VLOOKUP(ROWS($H$3:H192),$D$3:$E$204,2,0),"")</f>
        <v>ZLÍN</v>
      </c>
      <c r="I192" s="395"/>
      <c r="J192" s="430" t="s">
        <v>1787</v>
      </c>
      <c r="K192" s="417" t="s">
        <v>1788</v>
      </c>
      <c r="M192" s="418">
        <f>IF(ISNUMBER(SEARCH(ZAKL_DATA!$B$29,N192)),MAX($M$2:M191)+1,0)</f>
        <v>190</v>
      </c>
      <c r="N192" s="419" t="s">
        <v>1789</v>
      </c>
      <c r="O192" s="436" t="s">
        <v>1790</v>
      </c>
      <c r="P192" s="421"/>
      <c r="Q192" s="422" t="str">
        <f>IFERROR(VLOOKUP(ROWS($Q$3:Q192),$M$3:$N$992,2,0),"")</f>
        <v>Výroba radiátorů a kotlů k ústřednímu topení, kovových nádrží a zásobníků</v>
      </c>
      <c r="R192">
        <f>IF(ISNUMBER(SEARCH('1Př1'!$A$35,N192)),MAX($M$2:M191)+1,0)</f>
        <v>190</v>
      </c>
      <c r="S192" s="419" t="s">
        <v>1789</v>
      </c>
      <c r="T192" t="str">
        <f>IFERROR(VLOOKUP(ROWS($T$3:T192),$R$3:$S$992,2,0),"")</f>
        <v>Výroba radiátorů a kotlů k ústřednímu topení, kovových nádrží a zásobníků</v>
      </c>
      <c r="U192">
        <f>IF(ISNUMBER(SEARCH('1Př1'!$A$36,N192)),MAX($M$2:M191)+1,0)</f>
        <v>190</v>
      </c>
      <c r="V192" s="419" t="s">
        <v>1789</v>
      </c>
      <c r="W192" t="str">
        <f>IFERROR(VLOOKUP(ROWS($W$3:W192),$U$3:$V$992,2,0),"")</f>
        <v>Výroba radiátorů a kotlů k ústřednímu topení, kovových nádrží a zásobníků</v>
      </c>
      <c r="X192">
        <f>IF(ISNUMBER(SEARCH('1Př1'!$A$37,N192)),MAX($M$2:M191)+1,0)</f>
        <v>190</v>
      </c>
      <c r="Y192" s="419" t="s">
        <v>1789</v>
      </c>
      <c r="Z192" t="str">
        <f>IFERROR(VLOOKUP(ROWS($Z$3:Z192),$X$3:$Y$992,2,0),"")</f>
        <v>Výroba radiátorů a kotlů k ústřednímu topení, kovových nádrží a zásobníků</v>
      </c>
    </row>
    <row r="193" spans="1:26" ht="12.75" customHeight="1">
      <c r="A193" s="395"/>
      <c r="B193" s="395"/>
      <c r="C193" s="395"/>
      <c r="D193" s="411">
        <f>IF(ISNUMBER(SEARCH(ZAKL_DATA!$B$14,E193)),MAX($D$2:D192)+1,0)</f>
        <v>191</v>
      </c>
      <c r="E193" s="425" t="s">
        <v>1791</v>
      </c>
      <c r="F193" s="426">
        <v>3302</v>
      </c>
      <c r="G193" s="427"/>
      <c r="H193" s="428" t="str">
        <f>IFERROR(VLOOKUP(ROWS($H$3:H193),$D$3:$E$204,2,0),"")</f>
        <v>BYSTŘICE POD HOSTÝNEM</v>
      </c>
      <c r="I193" s="395"/>
      <c r="J193" s="430" t="s">
        <v>1792</v>
      </c>
      <c r="K193" s="417" t="s">
        <v>1793</v>
      </c>
      <c r="M193" s="418">
        <f>IF(ISNUMBER(SEARCH(ZAKL_DATA!$B$29,N193)),MAX($M$2:M192)+1,0)</f>
        <v>191</v>
      </c>
      <c r="N193" s="419" t="s">
        <v>1794</v>
      </c>
      <c r="O193" s="436" t="s">
        <v>1795</v>
      </c>
      <c r="P193" s="421"/>
      <c r="Q193" s="422" t="str">
        <f>IFERROR(VLOOKUP(ROWS($Q$3:Q193),$M$3:$N$992,2,0),"")</f>
        <v>Výroba parních kotlů, kromě kotlů pro ústřední topení</v>
      </c>
      <c r="R193">
        <f>IF(ISNUMBER(SEARCH('1Př1'!$A$35,N193)),MAX($M$2:M192)+1,0)</f>
        <v>191</v>
      </c>
      <c r="S193" s="419" t="s">
        <v>1794</v>
      </c>
      <c r="T193" t="str">
        <f>IFERROR(VLOOKUP(ROWS($T$3:T193),$R$3:$S$992,2,0),"")</f>
        <v>Výroba parních kotlů, kromě kotlů pro ústřední topení</v>
      </c>
      <c r="U193">
        <f>IF(ISNUMBER(SEARCH('1Př1'!$A$36,N193)),MAX($M$2:M192)+1,0)</f>
        <v>191</v>
      </c>
      <c r="V193" s="419" t="s">
        <v>1794</v>
      </c>
      <c r="W193" t="str">
        <f>IFERROR(VLOOKUP(ROWS($W$3:W193),$U$3:$V$992,2,0),"")</f>
        <v>Výroba parních kotlů, kromě kotlů pro ústřední topení</v>
      </c>
      <c r="X193">
        <f>IF(ISNUMBER(SEARCH('1Př1'!$A$37,N193)),MAX($M$2:M192)+1,0)</f>
        <v>191</v>
      </c>
      <c r="Y193" s="419" t="s">
        <v>1794</v>
      </c>
      <c r="Z193" t="str">
        <f>IFERROR(VLOOKUP(ROWS($Z$3:Z193),$X$3:$Y$992,2,0),"")</f>
        <v>Výroba parních kotlů, kromě kotlů pro ústřední topení</v>
      </c>
    </row>
    <row r="194" spans="1:26" ht="12.75" customHeight="1">
      <c r="A194" s="395"/>
      <c r="B194" s="395"/>
      <c r="C194" s="395"/>
      <c r="D194" s="411">
        <f>IF(ISNUMBER(SEARCH(ZAKL_DATA!$B$14,E194)),MAX($D$2:D193)+1,0)</f>
        <v>192</v>
      </c>
      <c r="E194" s="425" t="s">
        <v>1796</v>
      </c>
      <c r="F194" s="426">
        <v>3303</v>
      </c>
      <c r="G194" s="427"/>
      <c r="H194" s="428" t="str">
        <f>IFERROR(VLOOKUP(ROWS($H$3:H194),$D$3:$E$204,2,0),"")</f>
        <v>HOLEŠOV</v>
      </c>
      <c r="I194" s="395"/>
      <c r="J194" s="430" t="s">
        <v>1797</v>
      </c>
      <c r="K194" s="417" t="s">
        <v>1798</v>
      </c>
      <c r="M194" s="418">
        <f>IF(ISNUMBER(SEARCH(ZAKL_DATA!$B$29,N194)),MAX($M$2:M193)+1,0)</f>
        <v>192</v>
      </c>
      <c r="N194" s="419" t="s">
        <v>1799</v>
      </c>
      <c r="O194" s="436" t="s">
        <v>1800</v>
      </c>
      <c r="P194" s="421"/>
      <c r="Q194" s="422" t="str">
        <f>IFERROR(VLOOKUP(ROWS($Q$3:Q194),$M$3:$N$992,2,0),"")</f>
        <v>Výroba zbraní a střeliva</v>
      </c>
      <c r="R194">
        <f>IF(ISNUMBER(SEARCH('1Př1'!$A$35,N194)),MAX($M$2:M193)+1,0)</f>
        <v>192</v>
      </c>
      <c r="S194" s="419" t="s">
        <v>1799</v>
      </c>
      <c r="T194" t="str">
        <f>IFERROR(VLOOKUP(ROWS($T$3:T194),$R$3:$S$992,2,0),"")</f>
        <v>Výroba zbraní a střeliva</v>
      </c>
      <c r="U194">
        <f>IF(ISNUMBER(SEARCH('1Př1'!$A$36,N194)),MAX($M$2:M193)+1,0)</f>
        <v>192</v>
      </c>
      <c r="V194" s="419" t="s">
        <v>1799</v>
      </c>
      <c r="W194" t="str">
        <f>IFERROR(VLOOKUP(ROWS($W$3:W194),$U$3:$V$992,2,0),"")</f>
        <v>Výroba zbraní a střeliva</v>
      </c>
      <c r="X194">
        <f>IF(ISNUMBER(SEARCH('1Př1'!$A$37,N194)),MAX($M$2:M193)+1,0)</f>
        <v>192</v>
      </c>
      <c r="Y194" s="419" t="s">
        <v>1799</v>
      </c>
      <c r="Z194" t="str">
        <f>IFERROR(VLOOKUP(ROWS($Z$3:Z194),$X$3:$Y$992,2,0),"")</f>
        <v>Výroba zbraní a střeliva</v>
      </c>
    </row>
    <row r="195" spans="1:26" ht="12.75" customHeight="1">
      <c r="A195" s="395"/>
      <c r="B195" s="395"/>
      <c r="C195" s="395"/>
      <c r="D195" s="411">
        <f>IF(ISNUMBER(SEARCH(ZAKL_DATA!$B$14,E195)),MAX($D$2:D194)+1,0)</f>
        <v>193</v>
      </c>
      <c r="E195" s="425" t="s">
        <v>1801</v>
      </c>
      <c r="F195" s="426">
        <v>3304</v>
      </c>
      <c r="G195" s="427"/>
      <c r="H195" s="428" t="str">
        <f>IFERROR(VLOOKUP(ROWS($H$3:H195),$D$3:$E$204,2,0),"")</f>
        <v>KROMĚŘÍŽ</v>
      </c>
      <c r="I195" s="395"/>
      <c r="J195" s="430" t="s">
        <v>1802</v>
      </c>
      <c r="K195" s="417" t="s">
        <v>1803</v>
      </c>
      <c r="M195" s="418">
        <f>IF(ISNUMBER(SEARCH(ZAKL_DATA!$B$29,N195)),MAX($M$2:M194)+1,0)</f>
        <v>193</v>
      </c>
      <c r="N195" s="419" t="s">
        <v>1804</v>
      </c>
      <c r="O195" s="420" t="s">
        <v>1805</v>
      </c>
      <c r="P195" s="421"/>
      <c r="Q195" s="422" t="str">
        <f>IFERROR(VLOOKUP(ROWS($Q$3:Q195),$M$3:$N$992,2,0),"")</f>
        <v>Kování,lisování,ražení,válcování a protlačování kovů;prášková metalurgie</v>
      </c>
      <c r="R195">
        <f>IF(ISNUMBER(SEARCH('1Př1'!$A$35,N195)),MAX($M$2:M194)+1,0)</f>
        <v>193</v>
      </c>
      <c r="S195" s="419" t="s">
        <v>1804</v>
      </c>
      <c r="T195" t="str">
        <f>IFERROR(VLOOKUP(ROWS($T$3:T195),$R$3:$S$992,2,0),"")</f>
        <v>Kování,lisování,ražení,válcování a protlačování kovů;prášková metalurgie</v>
      </c>
      <c r="U195">
        <f>IF(ISNUMBER(SEARCH('1Př1'!$A$36,N195)),MAX($M$2:M194)+1,0)</f>
        <v>193</v>
      </c>
      <c r="V195" s="419" t="s">
        <v>1804</v>
      </c>
      <c r="W195" t="str">
        <f>IFERROR(VLOOKUP(ROWS($W$3:W195),$U$3:$V$992,2,0),"")</f>
        <v>Kování,lisování,ražení,válcování a protlačování kovů;prášková metalurgie</v>
      </c>
      <c r="X195">
        <f>IF(ISNUMBER(SEARCH('1Př1'!$A$37,N195)),MAX($M$2:M194)+1,0)</f>
        <v>193</v>
      </c>
      <c r="Y195" s="419" t="s">
        <v>1804</v>
      </c>
      <c r="Z195" t="str">
        <f>IFERROR(VLOOKUP(ROWS($Z$3:Z195),$X$3:$Y$992,2,0),"")</f>
        <v>Kování,lisování,ražení,válcování a protlačování kovů;prášková metalurgie</v>
      </c>
    </row>
    <row r="196" spans="1:26" ht="12.75" customHeight="1">
      <c r="A196" s="395"/>
      <c r="B196" s="395"/>
      <c r="C196" s="395"/>
      <c r="D196" s="411">
        <f>IF(ISNUMBER(SEARCH(ZAKL_DATA!$B$14,E196)),MAX($D$2:D195)+1,0)</f>
        <v>194</v>
      </c>
      <c r="E196" s="425" t="s">
        <v>1806</v>
      </c>
      <c r="F196" s="426">
        <v>3305</v>
      </c>
      <c r="G196" s="427"/>
      <c r="H196" s="428" t="str">
        <f>IFERROR(VLOOKUP(ROWS($H$3:H196),$D$3:$E$204,2,0),"")</f>
        <v>LUHAČOVICE</v>
      </c>
      <c r="I196" s="395"/>
      <c r="J196" s="430" t="s">
        <v>1807</v>
      </c>
      <c r="K196" s="417" t="s">
        <v>1808</v>
      </c>
      <c r="M196" s="418">
        <f>IF(ISNUMBER(SEARCH(ZAKL_DATA!$B$29,N196)),MAX($M$2:M195)+1,0)</f>
        <v>194</v>
      </c>
      <c r="N196" s="419" t="s">
        <v>1809</v>
      </c>
      <c r="O196" s="420" t="s">
        <v>1810</v>
      </c>
      <c r="P196" s="421"/>
      <c r="Q196" s="422" t="str">
        <f>IFERROR(VLOOKUP(ROWS($Q$3:Q196),$M$3:$N$992,2,0),"")</f>
        <v>Povrchová úprava a zušlechťování kovů; obrábění</v>
      </c>
      <c r="R196">
        <f>IF(ISNUMBER(SEARCH('1Př1'!$A$35,N196)),MAX($M$2:M195)+1,0)</f>
        <v>194</v>
      </c>
      <c r="S196" s="419" t="s">
        <v>1809</v>
      </c>
      <c r="T196" t="str">
        <f>IFERROR(VLOOKUP(ROWS($T$3:T196),$R$3:$S$992,2,0),"")</f>
        <v>Povrchová úprava a zušlechťování kovů; obrábění</v>
      </c>
      <c r="U196">
        <f>IF(ISNUMBER(SEARCH('1Př1'!$A$36,N196)),MAX($M$2:M195)+1,0)</f>
        <v>194</v>
      </c>
      <c r="V196" s="419" t="s">
        <v>1809</v>
      </c>
      <c r="W196" t="str">
        <f>IFERROR(VLOOKUP(ROWS($W$3:W196),$U$3:$V$992,2,0),"")</f>
        <v>Povrchová úprava a zušlechťování kovů; obrábění</v>
      </c>
      <c r="X196">
        <f>IF(ISNUMBER(SEARCH('1Př1'!$A$37,N196)),MAX($M$2:M195)+1,0)</f>
        <v>194</v>
      </c>
      <c r="Y196" s="419" t="s">
        <v>1809</v>
      </c>
      <c r="Z196" t="str">
        <f>IFERROR(VLOOKUP(ROWS($Z$3:Z196),$X$3:$Y$992,2,0),"")</f>
        <v>Povrchová úprava a zušlechťování kovů; obrábění</v>
      </c>
    </row>
    <row r="197" spans="1:26" ht="12.75" customHeight="1">
      <c r="A197" s="395"/>
      <c r="B197" s="395"/>
      <c r="C197" s="395"/>
      <c r="D197" s="411">
        <f>IF(ISNUMBER(SEARCH(ZAKL_DATA!$B$14,E197)),MAX($D$2:D196)+1,0)</f>
        <v>195</v>
      </c>
      <c r="E197" s="425" t="s">
        <v>1811</v>
      </c>
      <c r="F197" s="426">
        <v>3306</v>
      </c>
      <c r="G197" s="427"/>
      <c r="H197" s="428" t="str">
        <f>IFERROR(VLOOKUP(ROWS($H$3:H197),$D$3:$E$204,2,0),"")</f>
        <v>OTROKOVICE</v>
      </c>
      <c r="I197" s="395"/>
      <c r="J197" s="430" t="s">
        <v>1812</v>
      </c>
      <c r="K197" s="417" t="s">
        <v>1813</v>
      </c>
      <c r="M197" s="418">
        <f>IF(ISNUMBER(SEARCH(ZAKL_DATA!$B$29,N197)),MAX($M$2:M196)+1,0)</f>
        <v>195</v>
      </c>
      <c r="N197" s="419" t="s">
        <v>1814</v>
      </c>
      <c r="O197" s="420" t="s">
        <v>1815</v>
      </c>
      <c r="P197" s="421"/>
      <c r="Q197" s="422" t="str">
        <f>IFERROR(VLOOKUP(ROWS($Q$3:Q197),$M$3:$N$992,2,0),"")</f>
        <v>Výroba nožířských výrobků, nástrojů a železářských výrobků</v>
      </c>
      <c r="R197">
        <f>IF(ISNUMBER(SEARCH('1Př1'!$A$35,N197)),MAX($M$2:M196)+1,0)</f>
        <v>195</v>
      </c>
      <c r="S197" s="419" t="s">
        <v>1814</v>
      </c>
      <c r="T197" t="str">
        <f>IFERROR(VLOOKUP(ROWS($T$3:T197),$R$3:$S$992,2,0),"")</f>
        <v>Výroba nožířských výrobků, nástrojů a železářských výrobků</v>
      </c>
      <c r="U197">
        <f>IF(ISNUMBER(SEARCH('1Př1'!$A$36,N197)),MAX($M$2:M196)+1,0)</f>
        <v>195</v>
      </c>
      <c r="V197" s="419" t="s">
        <v>1814</v>
      </c>
      <c r="W197" t="str">
        <f>IFERROR(VLOOKUP(ROWS($W$3:W197),$U$3:$V$992,2,0),"")</f>
        <v>Výroba nožířských výrobků, nástrojů a železářských výrobků</v>
      </c>
      <c r="X197">
        <f>IF(ISNUMBER(SEARCH('1Př1'!$A$37,N197)),MAX($M$2:M196)+1,0)</f>
        <v>195</v>
      </c>
      <c r="Y197" s="419" t="s">
        <v>1814</v>
      </c>
      <c r="Z197" t="str">
        <f>IFERROR(VLOOKUP(ROWS($Z$3:Z197),$X$3:$Y$992,2,0),"")</f>
        <v>Výroba nožířských výrobků, nástrojů a železářských výrobků</v>
      </c>
    </row>
    <row r="198" spans="1:26" ht="12.75" customHeight="1">
      <c r="A198" s="395"/>
      <c r="B198" s="395"/>
      <c r="C198" s="395"/>
      <c r="D198" s="411">
        <f>IF(ISNUMBER(SEARCH(ZAKL_DATA!$B$14,E198)),MAX($D$2:D197)+1,0)</f>
        <v>196</v>
      </c>
      <c r="E198" s="425" t="s">
        <v>1816</v>
      </c>
      <c r="F198" s="426">
        <v>3307</v>
      </c>
      <c r="G198" s="427"/>
      <c r="H198" s="428" t="str">
        <f>IFERROR(VLOOKUP(ROWS($H$3:H198),$D$3:$E$204,2,0),"")</f>
        <v>ROŽNOV POD RADH.</v>
      </c>
      <c r="I198" s="395"/>
      <c r="J198" s="430" t="s">
        <v>1817</v>
      </c>
      <c r="K198" s="417" t="s">
        <v>1818</v>
      </c>
      <c r="M198" s="418">
        <f>IF(ISNUMBER(SEARCH(ZAKL_DATA!$B$29,N198)),MAX($M$2:M197)+1,0)</f>
        <v>196</v>
      </c>
      <c r="N198" s="419" t="s">
        <v>1819</v>
      </c>
      <c r="O198" s="420" t="s">
        <v>1820</v>
      </c>
      <c r="P198" s="421"/>
      <c r="Q198" s="422" t="str">
        <f>IFERROR(VLOOKUP(ROWS($Q$3:Q198),$M$3:$N$992,2,0),"")</f>
        <v>Výroba ostatních kovodělných výrobků</v>
      </c>
      <c r="R198">
        <f>IF(ISNUMBER(SEARCH('1Př1'!$A$35,N198)),MAX($M$2:M197)+1,0)</f>
        <v>196</v>
      </c>
      <c r="S198" s="419" t="s">
        <v>1819</v>
      </c>
      <c r="T198" t="str">
        <f>IFERROR(VLOOKUP(ROWS($T$3:T198),$R$3:$S$992,2,0),"")</f>
        <v>Výroba ostatních kovodělných výrobků</v>
      </c>
      <c r="U198">
        <f>IF(ISNUMBER(SEARCH('1Př1'!$A$36,N198)),MAX($M$2:M197)+1,0)</f>
        <v>196</v>
      </c>
      <c r="V198" s="419" t="s">
        <v>1819</v>
      </c>
      <c r="W198" t="str">
        <f>IFERROR(VLOOKUP(ROWS($W$3:W198),$U$3:$V$992,2,0),"")</f>
        <v>Výroba ostatních kovodělných výrobků</v>
      </c>
      <c r="X198">
        <f>IF(ISNUMBER(SEARCH('1Př1'!$A$37,N198)),MAX($M$2:M197)+1,0)</f>
        <v>196</v>
      </c>
      <c r="Y198" s="419" t="s">
        <v>1819</v>
      </c>
      <c r="Z198" t="str">
        <f>IFERROR(VLOOKUP(ROWS($Z$3:Z198),$X$3:$Y$992,2,0),"")</f>
        <v>Výroba ostatních kovodělných výrobků</v>
      </c>
    </row>
    <row r="199" spans="1:26" ht="12.75" customHeight="1">
      <c r="A199" s="395"/>
      <c r="B199" s="395"/>
      <c r="C199" s="395"/>
      <c r="D199" s="411">
        <f>IF(ISNUMBER(SEARCH(ZAKL_DATA!$B$14,E199)),MAX($D$2:D198)+1,0)</f>
        <v>197</v>
      </c>
      <c r="E199" s="425" t="s">
        <v>1821</v>
      </c>
      <c r="F199" s="426">
        <v>3308</v>
      </c>
      <c r="G199" s="427"/>
      <c r="H199" s="428" t="str">
        <f>IFERROR(VLOOKUP(ROWS($H$3:H199),$D$3:$E$204,2,0),"")</f>
        <v>UHERSKÝ BROD</v>
      </c>
      <c r="I199" s="395"/>
      <c r="J199" s="430" t="s">
        <v>1822</v>
      </c>
      <c r="K199" s="417" t="s">
        <v>1823</v>
      </c>
      <c r="M199" s="418">
        <f>IF(ISNUMBER(SEARCH(ZAKL_DATA!$B$29,N199)),MAX($M$2:M198)+1,0)</f>
        <v>197</v>
      </c>
      <c r="N199" s="419" t="s">
        <v>1824</v>
      </c>
      <c r="O199" s="420" t="s">
        <v>1825</v>
      </c>
      <c r="P199" s="421"/>
      <c r="Q199" s="422" t="str">
        <f>IFERROR(VLOOKUP(ROWS($Q$3:Q199),$M$3:$N$992,2,0),"")</f>
        <v>Výroba elektronických součástek a desek</v>
      </c>
      <c r="R199">
        <f>IF(ISNUMBER(SEARCH('1Př1'!$A$35,N199)),MAX($M$2:M198)+1,0)</f>
        <v>197</v>
      </c>
      <c r="S199" s="419" t="s">
        <v>1824</v>
      </c>
      <c r="T199" t="str">
        <f>IFERROR(VLOOKUP(ROWS($T$3:T199),$R$3:$S$992,2,0),"")</f>
        <v>Výroba elektronických součástek a desek</v>
      </c>
      <c r="U199">
        <f>IF(ISNUMBER(SEARCH('1Př1'!$A$36,N199)),MAX($M$2:M198)+1,0)</f>
        <v>197</v>
      </c>
      <c r="V199" s="419" t="s">
        <v>1824</v>
      </c>
      <c r="W199" t="str">
        <f>IFERROR(VLOOKUP(ROWS($W$3:W199),$U$3:$V$992,2,0),"")</f>
        <v>Výroba elektronických součástek a desek</v>
      </c>
      <c r="X199">
        <f>IF(ISNUMBER(SEARCH('1Př1'!$A$37,N199)),MAX($M$2:M198)+1,0)</f>
        <v>197</v>
      </c>
      <c r="Y199" s="419" t="s">
        <v>1824</v>
      </c>
      <c r="Z199" t="str">
        <f>IFERROR(VLOOKUP(ROWS($Z$3:Z199),$X$3:$Y$992,2,0),"")</f>
        <v>Výroba elektronických součástek a desek</v>
      </c>
    </row>
    <row r="200" spans="1:26" ht="12.75" customHeight="1">
      <c r="A200" s="395"/>
      <c r="B200" s="395"/>
      <c r="C200" s="395"/>
      <c r="D200" s="411">
        <f>IF(ISNUMBER(SEARCH(ZAKL_DATA!$B$14,E200)),MAX($D$2:D199)+1,0)</f>
        <v>198</v>
      </c>
      <c r="E200" s="425" t="s">
        <v>1826</v>
      </c>
      <c r="F200" s="426">
        <v>3309</v>
      </c>
      <c r="G200" s="427"/>
      <c r="H200" s="428" t="str">
        <f>IFERROR(VLOOKUP(ROWS($H$3:H200),$D$3:$E$204,2,0),"")</f>
        <v>UHERSKÉ HRADIŠTĚ</v>
      </c>
      <c r="I200" s="395"/>
      <c r="J200" s="430" t="s">
        <v>1827</v>
      </c>
      <c r="K200" s="417" t="s">
        <v>1828</v>
      </c>
      <c r="M200" s="418">
        <f>IF(ISNUMBER(SEARCH(ZAKL_DATA!$B$29,N200)),MAX($M$2:M199)+1,0)</f>
        <v>198</v>
      </c>
      <c r="N200" s="419" t="s">
        <v>1829</v>
      </c>
      <c r="O200" s="420" t="s">
        <v>1830</v>
      </c>
      <c r="P200" s="421"/>
      <c r="Q200" s="422" t="str">
        <f>IFERROR(VLOOKUP(ROWS($Q$3:Q200),$M$3:$N$992,2,0),"")</f>
        <v>Výroba počítačů a periferních zařízení</v>
      </c>
      <c r="R200">
        <f>IF(ISNUMBER(SEARCH('1Př1'!$A$35,N200)),MAX($M$2:M199)+1,0)</f>
        <v>198</v>
      </c>
      <c r="S200" s="419" t="s">
        <v>1829</v>
      </c>
      <c r="T200" t="str">
        <f>IFERROR(VLOOKUP(ROWS($T$3:T200),$R$3:$S$992,2,0),"")</f>
        <v>Výroba počítačů a periferních zařízení</v>
      </c>
      <c r="U200">
        <f>IF(ISNUMBER(SEARCH('1Př1'!$A$36,N200)),MAX($M$2:M199)+1,0)</f>
        <v>198</v>
      </c>
      <c r="V200" s="419" t="s">
        <v>1829</v>
      </c>
      <c r="W200" t="str">
        <f>IFERROR(VLOOKUP(ROWS($W$3:W200),$U$3:$V$992,2,0),"")</f>
        <v>Výroba počítačů a periferních zařízení</v>
      </c>
      <c r="X200">
        <f>IF(ISNUMBER(SEARCH('1Př1'!$A$37,N200)),MAX($M$2:M199)+1,0)</f>
        <v>198</v>
      </c>
      <c r="Y200" s="419" t="s">
        <v>1829</v>
      </c>
      <c r="Z200" t="str">
        <f>IFERROR(VLOOKUP(ROWS($Z$3:Z200),$X$3:$Y$992,2,0),"")</f>
        <v>Výroba počítačů a periferních zařízení</v>
      </c>
    </row>
    <row r="201" spans="1:26" ht="12.75" customHeight="1">
      <c r="A201" s="395"/>
      <c r="B201" s="395"/>
      <c r="C201" s="395"/>
      <c r="D201" s="411">
        <f>IF(ISNUMBER(SEARCH(ZAKL_DATA!$B$14,E201)),MAX($D$2:D200)+1,0)</f>
        <v>199</v>
      </c>
      <c r="E201" s="425" t="s">
        <v>1831</v>
      </c>
      <c r="F201" s="426">
        <v>3310</v>
      </c>
      <c r="G201" s="427"/>
      <c r="H201" s="428" t="str">
        <f>IFERROR(VLOOKUP(ROWS($H$3:H201),$D$3:$E$204,2,0),"")</f>
        <v>VALAŠSKÉ MEZIŘÍČÍ</v>
      </c>
      <c r="I201" s="395"/>
      <c r="J201" s="430" t="s">
        <v>1832</v>
      </c>
      <c r="K201" s="417" t="s">
        <v>1833</v>
      </c>
      <c r="M201" s="418">
        <f>IF(ISNUMBER(SEARCH(ZAKL_DATA!$B$29,N201)),MAX($M$2:M200)+1,0)</f>
        <v>199</v>
      </c>
      <c r="N201" s="419" t="s">
        <v>1834</v>
      </c>
      <c r="O201" s="436" t="s">
        <v>1835</v>
      </c>
      <c r="P201" s="421"/>
      <c r="Q201" s="422" t="str">
        <f>IFERROR(VLOOKUP(ROWS($Q$3:Q201),$M$3:$N$992,2,0),"")</f>
        <v>Výroba komunikačních zařízení</v>
      </c>
      <c r="R201">
        <f>IF(ISNUMBER(SEARCH('1Př1'!$A$35,N201)),MAX($M$2:M200)+1,0)</f>
        <v>199</v>
      </c>
      <c r="S201" s="419" t="s">
        <v>1834</v>
      </c>
      <c r="T201" t="str">
        <f>IFERROR(VLOOKUP(ROWS($T$3:T201),$R$3:$S$992,2,0),"")</f>
        <v>Výroba komunikačních zařízení</v>
      </c>
      <c r="U201">
        <f>IF(ISNUMBER(SEARCH('1Př1'!$A$36,N201)),MAX($M$2:M200)+1,0)</f>
        <v>199</v>
      </c>
      <c r="V201" s="419" t="s">
        <v>1834</v>
      </c>
      <c r="W201" t="str">
        <f>IFERROR(VLOOKUP(ROWS($W$3:W201),$U$3:$V$992,2,0),"")</f>
        <v>Výroba komunikačních zařízení</v>
      </c>
      <c r="X201">
        <f>IF(ISNUMBER(SEARCH('1Př1'!$A$37,N201)),MAX($M$2:M200)+1,0)</f>
        <v>199</v>
      </c>
      <c r="Y201" s="419" t="s">
        <v>1834</v>
      </c>
      <c r="Z201" t="str">
        <f>IFERROR(VLOOKUP(ROWS($Z$3:Z201),$X$3:$Y$992,2,0),"")</f>
        <v>Výroba komunikačních zařízení</v>
      </c>
    </row>
    <row r="202" spans="1:26" ht="12.75" customHeight="1">
      <c r="A202" s="395"/>
      <c r="B202" s="395"/>
      <c r="C202" s="395"/>
      <c r="D202" s="411">
        <f>IF(ISNUMBER(SEARCH(ZAKL_DATA!$B$14,E202)),MAX($D$2:D201)+1,0)</f>
        <v>200</v>
      </c>
      <c r="E202" s="425" t="s">
        <v>1836</v>
      </c>
      <c r="F202" s="426">
        <v>3311</v>
      </c>
      <c r="G202" s="427"/>
      <c r="H202" s="428" t="str">
        <f>IFERROR(VLOOKUP(ROWS($H$3:H202),$D$3:$E$204,2,0),"")</f>
        <v>VALAŠSKÉ KLOBOUKY</v>
      </c>
      <c r="I202" s="395"/>
      <c r="J202" s="430" t="s">
        <v>1837</v>
      </c>
      <c r="K202" s="417" t="s">
        <v>1838</v>
      </c>
      <c r="M202" s="418">
        <f>IF(ISNUMBER(SEARCH(ZAKL_DATA!$B$29,N202)),MAX($M$2:M201)+1,0)</f>
        <v>200</v>
      </c>
      <c r="N202" s="419" t="s">
        <v>1839</v>
      </c>
      <c r="O202" s="420" t="s">
        <v>1840</v>
      </c>
      <c r="P202" s="421"/>
      <c r="Q202" s="422" t="str">
        <f>IFERROR(VLOOKUP(ROWS($Q$3:Q202),$M$3:$N$992,2,0),"")</f>
        <v>Výroba spotřební elektroniky</v>
      </c>
      <c r="R202">
        <f>IF(ISNUMBER(SEARCH('1Př1'!$A$35,N202)),MAX($M$2:M201)+1,0)</f>
        <v>200</v>
      </c>
      <c r="S202" s="419" t="s">
        <v>1839</v>
      </c>
      <c r="T202" t="str">
        <f>IFERROR(VLOOKUP(ROWS($T$3:T202),$R$3:$S$992,2,0),"")</f>
        <v>Výroba spotřební elektroniky</v>
      </c>
      <c r="U202">
        <f>IF(ISNUMBER(SEARCH('1Př1'!$A$36,N202)),MAX($M$2:M201)+1,0)</f>
        <v>200</v>
      </c>
      <c r="V202" s="419" t="s">
        <v>1839</v>
      </c>
      <c r="W202" t="str">
        <f>IFERROR(VLOOKUP(ROWS($W$3:W202),$U$3:$V$992,2,0),"")</f>
        <v>Výroba spotřební elektroniky</v>
      </c>
      <c r="X202">
        <f>IF(ISNUMBER(SEARCH('1Př1'!$A$37,N202)),MAX($M$2:M201)+1,0)</f>
        <v>200</v>
      </c>
      <c r="Y202" s="419" t="s">
        <v>1839</v>
      </c>
      <c r="Z202" t="str">
        <f>IFERROR(VLOOKUP(ROWS($Z$3:Z202),$X$3:$Y$992,2,0),"")</f>
        <v>Výroba spotřební elektroniky</v>
      </c>
    </row>
    <row r="203" spans="1:26" ht="12.75" customHeight="1">
      <c r="A203" s="395"/>
      <c r="B203" s="395"/>
      <c r="C203" s="395"/>
      <c r="D203" s="411">
        <f>IF(ISNUMBER(SEARCH(ZAKL_DATA!$B$14,E203)),MAX($D$2:D202)+1,0)</f>
        <v>201</v>
      </c>
      <c r="E203" s="425" t="s">
        <v>1841</v>
      </c>
      <c r="F203" s="426">
        <v>3312</v>
      </c>
      <c r="G203" s="427"/>
      <c r="H203" s="428" t="str">
        <f>IFERROR(VLOOKUP(ROWS($H$3:H203),$D$3:$E$204,2,0),"")</f>
        <v>VSETÍN</v>
      </c>
      <c r="I203" s="395"/>
      <c r="J203" s="430" t="s">
        <v>1842</v>
      </c>
      <c r="K203" s="417" t="s">
        <v>1843</v>
      </c>
      <c r="M203" s="418">
        <f>IF(ISNUMBER(SEARCH(ZAKL_DATA!$B$29,N203)),MAX($M$2:M202)+1,0)</f>
        <v>201</v>
      </c>
      <c r="N203" s="419" t="s">
        <v>1844</v>
      </c>
      <c r="O203" s="420" t="s">
        <v>1845</v>
      </c>
      <c r="P203" s="421"/>
      <c r="Q203" s="422" t="str">
        <f>IFERROR(VLOOKUP(ROWS($Q$3:Q203),$M$3:$N$992,2,0),"")</f>
        <v>Výroba měřicích,zkušebních a navigačních přístrojů;výroba časoměr.přístrojů</v>
      </c>
      <c r="R203">
        <f>IF(ISNUMBER(SEARCH('1Př1'!$A$35,N203)),MAX($M$2:M202)+1,0)</f>
        <v>201</v>
      </c>
      <c r="S203" s="419" t="s">
        <v>1844</v>
      </c>
      <c r="T203" t="str">
        <f>IFERROR(VLOOKUP(ROWS($T$3:T203),$R$3:$S$992,2,0),"")</f>
        <v>Výroba měřicích,zkušebních a navigačních přístrojů;výroba časoměr.přístrojů</v>
      </c>
      <c r="U203">
        <f>IF(ISNUMBER(SEARCH('1Př1'!$A$36,N203)),MAX($M$2:M202)+1,0)</f>
        <v>201</v>
      </c>
      <c r="V203" s="419" t="s">
        <v>1844</v>
      </c>
      <c r="W203" t="str">
        <f>IFERROR(VLOOKUP(ROWS($W$3:W203),$U$3:$V$992,2,0),"")</f>
        <v>Výroba měřicích,zkušebních a navigačních přístrojů;výroba časoměr.přístrojů</v>
      </c>
      <c r="X203">
        <f>IF(ISNUMBER(SEARCH('1Př1'!$A$37,N203)),MAX($M$2:M202)+1,0)</f>
        <v>201</v>
      </c>
      <c r="Y203" s="419" t="s">
        <v>1844</v>
      </c>
      <c r="Z203" t="str">
        <f>IFERROR(VLOOKUP(ROWS($Z$3:Z203),$X$3:$Y$992,2,0),"")</f>
        <v>Výroba měřicích,zkušebních a navigačních přístrojů;výroba časoměr.přístrojů</v>
      </c>
    </row>
    <row r="204" spans="1:26" ht="12.75" customHeight="1" thickBot="1">
      <c r="A204" s="395"/>
      <c r="B204" s="395"/>
      <c r="C204" s="395"/>
      <c r="D204" s="411">
        <f>IF(ISNUMBER(SEARCH(ZAKL_DATA!$B$14,E204)),MAX($D$2:D203)+1,0)</f>
        <v>202</v>
      </c>
      <c r="E204" s="439" t="s">
        <v>913</v>
      </c>
      <c r="F204" s="440">
        <v>4000</v>
      </c>
      <c r="G204" s="441"/>
      <c r="H204" s="442" t="str">
        <f>IFERROR(VLOOKUP(ROWS($H$3:H204),$D$3:$E$204,2,0),"")</f>
        <v>SPECIALIZOVANÝ</v>
      </c>
      <c r="I204" s="395"/>
      <c r="J204" s="430" t="s">
        <v>1846</v>
      </c>
      <c r="K204" s="417" t="s">
        <v>1847</v>
      </c>
      <c r="M204" s="418">
        <f>IF(ISNUMBER(SEARCH(ZAKL_DATA!$B$29,N204)),MAX($M$2:M203)+1,0)</f>
        <v>202</v>
      </c>
      <c r="N204" s="419" t="s">
        <v>1848</v>
      </c>
      <c r="O204" s="420" t="s">
        <v>1849</v>
      </c>
      <c r="P204" s="421"/>
      <c r="Q204" s="422" t="str">
        <f>IFERROR(VLOOKUP(ROWS($Q$3:Q204),$M$3:$N$992,2,0),"")</f>
        <v>Výroba ozařovacích, elektroléčebných a elektroterapeutických přístrojů</v>
      </c>
      <c r="R204">
        <f>IF(ISNUMBER(SEARCH('1Př1'!$A$35,N204)),MAX($M$2:M203)+1,0)</f>
        <v>202</v>
      </c>
      <c r="S204" s="419" t="s">
        <v>1848</v>
      </c>
      <c r="T204" t="str">
        <f>IFERROR(VLOOKUP(ROWS($T$3:T204),$R$3:$S$992,2,0),"")</f>
        <v>Výroba ozařovacích, elektroléčebných a elektroterapeutických přístrojů</v>
      </c>
      <c r="U204">
        <f>IF(ISNUMBER(SEARCH('1Př1'!$A$36,N204)),MAX($M$2:M203)+1,0)</f>
        <v>202</v>
      </c>
      <c r="V204" s="419" t="s">
        <v>1848</v>
      </c>
      <c r="W204" t="str">
        <f>IFERROR(VLOOKUP(ROWS($W$3:W204),$U$3:$V$992,2,0),"")</f>
        <v>Výroba ozařovacích, elektroléčebných a elektroterapeutických přístrojů</v>
      </c>
      <c r="X204">
        <f>IF(ISNUMBER(SEARCH('1Př1'!$A$37,N204)),MAX($M$2:M203)+1,0)</f>
        <v>202</v>
      </c>
      <c r="Y204" s="419" t="s">
        <v>1848</v>
      </c>
      <c r="Z204" t="str">
        <f>IFERROR(VLOOKUP(ROWS($Z$3:Z204),$X$3:$Y$992,2,0),"")</f>
        <v>Výroba ozařovacích, elektroléčebných a elektroterapeutických přístrojů</v>
      </c>
    </row>
    <row r="205" spans="1:26" ht="12.75">
      <c r="A205" s="395"/>
      <c r="B205" s="395"/>
      <c r="C205" s="395"/>
      <c r="D205" s="396"/>
      <c r="E205" s="395"/>
      <c r="F205" s="395"/>
      <c r="G205" s="395"/>
      <c r="H205" s="395" t="str">
        <f>IFERROR(VLOOKUP(ROWS($H$3:H205),$D$2:$E$204,2,0),"")</f>
        <v/>
      </c>
      <c r="I205" s="395"/>
      <c r="J205" s="430" t="s">
        <v>1850</v>
      </c>
      <c r="K205" s="417" t="s">
        <v>1851</v>
      </c>
      <c r="M205" s="418">
        <f>IF(ISNUMBER(SEARCH(ZAKL_DATA!$B$29,N205)),MAX($M$2:M204)+1,0)</f>
        <v>203</v>
      </c>
      <c r="N205" s="419" t="s">
        <v>1852</v>
      </c>
      <c r="O205" s="420" t="s">
        <v>1853</v>
      </c>
      <c r="P205" s="421"/>
      <c r="Q205" s="422" t="str">
        <f>IFERROR(VLOOKUP(ROWS($Q$3:Q205),$M$3:$N$992,2,0),"")</f>
        <v>Výroba optických a fotografických přístrojů a zařízení</v>
      </c>
      <c r="R205">
        <f>IF(ISNUMBER(SEARCH('1Př1'!$A$35,N205)),MAX($M$2:M204)+1,0)</f>
        <v>203</v>
      </c>
      <c r="S205" s="419" t="s">
        <v>1852</v>
      </c>
      <c r="T205" t="str">
        <f>IFERROR(VLOOKUP(ROWS($T$3:T205),$R$3:$S$992,2,0),"")</f>
        <v>Výroba optických a fotografických přístrojů a zařízení</v>
      </c>
      <c r="U205">
        <f>IF(ISNUMBER(SEARCH('1Př1'!$A$36,N205)),MAX($M$2:M204)+1,0)</f>
        <v>203</v>
      </c>
      <c r="V205" s="419" t="s">
        <v>1852</v>
      </c>
      <c r="W205" t="str">
        <f>IFERROR(VLOOKUP(ROWS($W$3:W205),$U$3:$V$992,2,0),"")</f>
        <v>Výroba optických a fotografických přístrojů a zařízení</v>
      </c>
      <c r="X205">
        <f>IF(ISNUMBER(SEARCH('1Př1'!$A$37,N205)),MAX($M$2:M204)+1,0)</f>
        <v>203</v>
      </c>
      <c r="Y205" s="419" t="s">
        <v>1852</v>
      </c>
      <c r="Z205" t="str">
        <f>IFERROR(VLOOKUP(ROWS($Z$3:Z205),$X$3:$Y$992,2,0),"")</f>
        <v>Výroba optických a fotografických přístrojů a zařízení</v>
      </c>
    </row>
    <row r="206" spans="10:26" ht="12.75">
      <c r="J206" s="430" t="s">
        <v>1854</v>
      </c>
      <c r="K206" s="417" t="s">
        <v>1855</v>
      </c>
      <c r="M206" s="418">
        <f>IF(ISNUMBER(SEARCH(ZAKL_DATA!$B$29,N206)),MAX($M$2:M205)+1,0)</f>
        <v>204</v>
      </c>
      <c r="N206" s="419" t="s">
        <v>1856</v>
      </c>
      <c r="O206" s="420" t="s">
        <v>1857</v>
      </c>
      <c r="P206" s="421"/>
      <c r="Q206" s="422" t="str">
        <f>IFERROR(VLOOKUP(ROWS($Q$3:Q206),$M$3:$N$992,2,0),"")</f>
        <v>Výroba magnetických a optických médií</v>
      </c>
      <c r="R206">
        <f>IF(ISNUMBER(SEARCH('1Př1'!$A$35,N206)),MAX($M$2:M205)+1,0)</f>
        <v>204</v>
      </c>
      <c r="S206" s="419" t="s">
        <v>1856</v>
      </c>
      <c r="T206" t="str">
        <f>IFERROR(VLOOKUP(ROWS($T$3:T206),$R$3:$S$992,2,0),"")</f>
        <v>Výroba magnetických a optických médií</v>
      </c>
      <c r="U206">
        <f>IF(ISNUMBER(SEARCH('1Př1'!$A$36,N206)),MAX($M$2:M205)+1,0)</f>
        <v>204</v>
      </c>
      <c r="V206" s="419" t="s">
        <v>1856</v>
      </c>
      <c r="W206" t="str">
        <f>IFERROR(VLOOKUP(ROWS($W$3:W206),$U$3:$V$992,2,0),"")</f>
        <v>Výroba magnetických a optických médií</v>
      </c>
      <c r="X206">
        <f>IF(ISNUMBER(SEARCH('1Př1'!$A$37,N206)),MAX($M$2:M205)+1,0)</f>
        <v>204</v>
      </c>
      <c r="Y206" s="419" t="s">
        <v>1856</v>
      </c>
      <c r="Z206" t="str">
        <f>IFERROR(VLOOKUP(ROWS($Z$3:Z206),$X$3:$Y$992,2,0),"")</f>
        <v>Výroba magnetických a optických médií</v>
      </c>
    </row>
    <row r="207" spans="10:26" ht="12.75">
      <c r="J207" s="430" t="s">
        <v>1858</v>
      </c>
      <c r="K207" s="417" t="s">
        <v>1859</v>
      </c>
      <c r="M207" s="418">
        <f>IF(ISNUMBER(SEARCH(ZAKL_DATA!$B$29,N207)),MAX($M$2:M206)+1,0)</f>
        <v>205</v>
      </c>
      <c r="N207" s="419" t="s">
        <v>1860</v>
      </c>
      <c r="O207" s="420" t="s">
        <v>1861</v>
      </c>
      <c r="P207" s="421"/>
      <c r="Q207" s="422" t="str">
        <f>IFERROR(VLOOKUP(ROWS($Q$3:Q207),$M$3:$N$992,2,0),"")</f>
        <v>Výroba elektr.motorů,generátorů,transformátorů a elektr.rozvod.a kontrol.z.</v>
      </c>
      <c r="R207">
        <f>IF(ISNUMBER(SEARCH('1Př1'!$A$35,N207)),MAX($M$2:M206)+1,0)</f>
        <v>205</v>
      </c>
      <c r="S207" s="419" t="s">
        <v>1860</v>
      </c>
      <c r="T207" t="str">
        <f>IFERROR(VLOOKUP(ROWS($T$3:T207),$R$3:$S$992,2,0),"")</f>
        <v>Výroba elektr.motorů,generátorů,transformátorů a elektr.rozvod.a kontrol.z.</v>
      </c>
      <c r="U207">
        <f>IF(ISNUMBER(SEARCH('1Př1'!$A$36,N207)),MAX($M$2:M206)+1,0)</f>
        <v>205</v>
      </c>
      <c r="V207" s="419" t="s">
        <v>1860</v>
      </c>
      <c r="W207" t="str">
        <f>IFERROR(VLOOKUP(ROWS($W$3:W207),$U$3:$V$992,2,0),"")</f>
        <v>Výroba elektr.motorů,generátorů,transformátorů a elektr.rozvod.a kontrol.z.</v>
      </c>
      <c r="X207">
        <f>IF(ISNUMBER(SEARCH('1Př1'!$A$37,N207)),MAX($M$2:M206)+1,0)</f>
        <v>205</v>
      </c>
      <c r="Y207" s="419" t="s">
        <v>1860</v>
      </c>
      <c r="Z207" t="str">
        <f>IFERROR(VLOOKUP(ROWS($Z$3:Z207),$X$3:$Y$992,2,0),"")</f>
        <v>Výroba elektr.motorů,generátorů,transformátorů a elektr.rozvod.a kontrol.z.</v>
      </c>
    </row>
    <row r="208" spans="10:26" ht="12.75">
      <c r="J208" s="430" t="s">
        <v>1862</v>
      </c>
      <c r="K208" s="417" t="s">
        <v>1863</v>
      </c>
      <c r="M208" s="418">
        <f>IF(ISNUMBER(SEARCH(ZAKL_DATA!$B$29,N208)),MAX($M$2:M207)+1,0)</f>
        <v>206</v>
      </c>
      <c r="N208" s="419" t="s">
        <v>1864</v>
      </c>
      <c r="O208" s="436" t="s">
        <v>1865</v>
      </c>
      <c r="P208" s="421"/>
      <c r="Q208" s="422" t="str">
        <f>IFERROR(VLOOKUP(ROWS($Q$3:Q208),$M$3:$N$992,2,0),"")</f>
        <v>Výroba baterií a akumulátorů</v>
      </c>
      <c r="R208">
        <f>IF(ISNUMBER(SEARCH('1Př1'!$A$35,N208)),MAX($M$2:M207)+1,0)</f>
        <v>206</v>
      </c>
      <c r="S208" s="419" t="s">
        <v>1864</v>
      </c>
      <c r="T208" t="str">
        <f>IFERROR(VLOOKUP(ROWS($T$3:T208),$R$3:$S$992,2,0),"")</f>
        <v>Výroba baterií a akumulátorů</v>
      </c>
      <c r="U208">
        <f>IF(ISNUMBER(SEARCH('1Př1'!$A$36,N208)),MAX($M$2:M207)+1,0)</f>
        <v>206</v>
      </c>
      <c r="V208" s="419" t="s">
        <v>1864</v>
      </c>
      <c r="W208" t="str">
        <f>IFERROR(VLOOKUP(ROWS($W$3:W208),$U$3:$V$992,2,0),"")</f>
        <v>Výroba baterií a akumulátorů</v>
      </c>
      <c r="X208">
        <f>IF(ISNUMBER(SEARCH('1Př1'!$A$37,N208)),MAX($M$2:M207)+1,0)</f>
        <v>206</v>
      </c>
      <c r="Y208" s="419" t="s">
        <v>1864</v>
      </c>
      <c r="Z208" t="str">
        <f>IFERROR(VLOOKUP(ROWS($Z$3:Z208),$X$3:$Y$992,2,0),"")</f>
        <v>Výroba baterií a akumulátorů</v>
      </c>
    </row>
    <row r="209" spans="10:26" ht="12.75">
      <c r="J209" s="430" t="s">
        <v>1866</v>
      </c>
      <c r="K209" s="417" t="s">
        <v>1867</v>
      </c>
      <c r="M209" s="418">
        <f>IF(ISNUMBER(SEARCH(ZAKL_DATA!$B$29,N209)),MAX($M$2:M208)+1,0)</f>
        <v>207</v>
      </c>
      <c r="N209" s="419" t="s">
        <v>1868</v>
      </c>
      <c r="O209" s="420" t="s">
        <v>1869</v>
      </c>
      <c r="P209" s="421"/>
      <c r="Q209" s="422" t="str">
        <f>IFERROR(VLOOKUP(ROWS($Q$3:Q209),$M$3:$N$992,2,0),"")</f>
        <v>Výroba optických a elektr.kabelů,elektr.vodičů a elektroinstal.zařízení</v>
      </c>
      <c r="R209">
        <f>IF(ISNUMBER(SEARCH('1Př1'!$A$35,N209)),MAX($M$2:M208)+1,0)</f>
        <v>207</v>
      </c>
      <c r="S209" s="419" t="s">
        <v>1868</v>
      </c>
      <c r="T209" t="str">
        <f>IFERROR(VLOOKUP(ROWS($T$3:T209),$R$3:$S$992,2,0),"")</f>
        <v>Výroba optických a elektr.kabelů,elektr.vodičů a elektroinstal.zařízení</v>
      </c>
      <c r="U209">
        <f>IF(ISNUMBER(SEARCH('1Př1'!$A$36,N209)),MAX($M$2:M208)+1,0)</f>
        <v>207</v>
      </c>
      <c r="V209" s="419" t="s">
        <v>1868</v>
      </c>
      <c r="W209" t="str">
        <f>IFERROR(VLOOKUP(ROWS($W$3:W209),$U$3:$V$992,2,0),"")</f>
        <v>Výroba optických a elektr.kabelů,elektr.vodičů a elektroinstal.zařízení</v>
      </c>
      <c r="X209">
        <f>IF(ISNUMBER(SEARCH('1Př1'!$A$37,N209)),MAX($M$2:M208)+1,0)</f>
        <v>207</v>
      </c>
      <c r="Y209" s="419" t="s">
        <v>1868</v>
      </c>
      <c r="Z209" t="str">
        <f>IFERROR(VLOOKUP(ROWS($Z$3:Z209),$X$3:$Y$992,2,0),"")</f>
        <v>Výroba optických a elektr.kabelů,elektr.vodičů a elektroinstal.zařízení</v>
      </c>
    </row>
    <row r="210" spans="10:26" ht="12.75">
      <c r="J210" s="430" t="s">
        <v>1870</v>
      </c>
      <c r="K210" s="417" t="s">
        <v>1871</v>
      </c>
      <c r="M210" s="418">
        <f>IF(ISNUMBER(SEARCH(ZAKL_DATA!$B$29,N210)),MAX($M$2:M209)+1,0)</f>
        <v>208</v>
      </c>
      <c r="N210" s="419" t="s">
        <v>1872</v>
      </c>
      <c r="O210" s="420" t="s">
        <v>1873</v>
      </c>
      <c r="P210" s="421"/>
      <c r="Q210" s="422" t="str">
        <f>IFERROR(VLOOKUP(ROWS($Q$3:Q210),$M$3:$N$992,2,0),"")</f>
        <v>Výroba elektrických osvětlovacích zařízení</v>
      </c>
      <c r="R210">
        <f>IF(ISNUMBER(SEARCH('1Př1'!$A$35,N210)),MAX($M$2:M209)+1,0)</f>
        <v>208</v>
      </c>
      <c r="S210" s="419" t="s">
        <v>1872</v>
      </c>
      <c r="T210" t="str">
        <f>IFERROR(VLOOKUP(ROWS($T$3:T210),$R$3:$S$992,2,0),"")</f>
        <v>Výroba elektrických osvětlovacích zařízení</v>
      </c>
      <c r="U210">
        <f>IF(ISNUMBER(SEARCH('1Př1'!$A$36,N210)),MAX($M$2:M209)+1,0)</f>
        <v>208</v>
      </c>
      <c r="V210" s="419" t="s">
        <v>1872</v>
      </c>
      <c r="W210" t="str">
        <f>IFERROR(VLOOKUP(ROWS($W$3:W210),$U$3:$V$992,2,0),"")</f>
        <v>Výroba elektrických osvětlovacích zařízení</v>
      </c>
      <c r="X210">
        <f>IF(ISNUMBER(SEARCH('1Př1'!$A$37,N210)),MAX($M$2:M209)+1,0)</f>
        <v>208</v>
      </c>
      <c r="Y210" s="419" t="s">
        <v>1872</v>
      </c>
      <c r="Z210" t="str">
        <f>IFERROR(VLOOKUP(ROWS($Z$3:Z210),$X$3:$Y$992,2,0),"")</f>
        <v>Výroba elektrických osvětlovacích zařízení</v>
      </c>
    </row>
    <row r="211" spans="10:26" ht="12.75">
      <c r="J211" s="430" t="s">
        <v>1874</v>
      </c>
      <c r="K211" s="417" t="s">
        <v>1875</v>
      </c>
      <c r="M211" s="418">
        <f>IF(ISNUMBER(SEARCH(ZAKL_DATA!$B$29,N211)),MAX($M$2:M210)+1,0)</f>
        <v>209</v>
      </c>
      <c r="N211" s="419" t="s">
        <v>1876</v>
      </c>
      <c r="O211" s="436" t="s">
        <v>1877</v>
      </c>
      <c r="P211" s="421"/>
      <c r="Q211" s="422" t="str">
        <f>IFERROR(VLOOKUP(ROWS($Q$3:Q211),$M$3:$N$992,2,0),"")</f>
        <v>Výroba spotřebičů převážně pro domácnost</v>
      </c>
      <c r="R211">
        <f>IF(ISNUMBER(SEARCH('1Př1'!$A$35,N211)),MAX($M$2:M210)+1,0)</f>
        <v>209</v>
      </c>
      <c r="S211" s="419" t="s">
        <v>1876</v>
      </c>
      <c r="T211" t="str">
        <f>IFERROR(VLOOKUP(ROWS($T$3:T211),$R$3:$S$992,2,0),"")</f>
        <v>Výroba spotřebičů převážně pro domácnost</v>
      </c>
      <c r="U211">
        <f>IF(ISNUMBER(SEARCH('1Př1'!$A$36,N211)),MAX($M$2:M210)+1,0)</f>
        <v>209</v>
      </c>
      <c r="V211" s="419" t="s">
        <v>1876</v>
      </c>
      <c r="W211" t="str">
        <f>IFERROR(VLOOKUP(ROWS($W$3:W211),$U$3:$V$992,2,0),"")</f>
        <v>Výroba spotřebičů převážně pro domácnost</v>
      </c>
      <c r="X211">
        <f>IF(ISNUMBER(SEARCH('1Př1'!$A$37,N211)),MAX($M$2:M210)+1,0)</f>
        <v>209</v>
      </c>
      <c r="Y211" s="419" t="s">
        <v>1876</v>
      </c>
      <c r="Z211" t="str">
        <f>IFERROR(VLOOKUP(ROWS($Z$3:Z211),$X$3:$Y$992,2,0),"")</f>
        <v>Výroba spotřebičů převážně pro domácnost</v>
      </c>
    </row>
    <row r="212" spans="10:26" ht="12.75">
      <c r="J212" s="429" t="s">
        <v>1878</v>
      </c>
      <c r="K212" s="417" t="s">
        <v>1879</v>
      </c>
      <c r="M212" s="418">
        <f>IF(ISNUMBER(SEARCH(ZAKL_DATA!$B$29,N212)),MAX($M$2:M211)+1,0)</f>
        <v>210</v>
      </c>
      <c r="N212" s="419" t="s">
        <v>1880</v>
      </c>
      <c r="O212" s="420" t="s">
        <v>1881</v>
      </c>
      <c r="P212" s="421"/>
      <c r="Q212" s="422" t="str">
        <f>IFERROR(VLOOKUP(ROWS($Q$3:Q212),$M$3:$N$992,2,0),"")</f>
        <v>Výroba ostatních elektrických zařízení</v>
      </c>
      <c r="R212">
        <f>IF(ISNUMBER(SEARCH('1Př1'!$A$35,N212)),MAX($M$2:M211)+1,0)</f>
        <v>210</v>
      </c>
      <c r="S212" s="419" t="s">
        <v>1880</v>
      </c>
      <c r="T212" t="str">
        <f>IFERROR(VLOOKUP(ROWS($T$3:T212),$R$3:$S$992,2,0),"")</f>
        <v>Výroba ostatních elektrických zařízení</v>
      </c>
      <c r="U212">
        <f>IF(ISNUMBER(SEARCH('1Př1'!$A$36,N212)),MAX($M$2:M211)+1,0)</f>
        <v>210</v>
      </c>
      <c r="V212" s="419" t="s">
        <v>1880</v>
      </c>
      <c r="W212" t="str">
        <f>IFERROR(VLOOKUP(ROWS($W$3:W212),$U$3:$V$992,2,0),"")</f>
        <v>Výroba ostatních elektrických zařízení</v>
      </c>
      <c r="X212">
        <f>IF(ISNUMBER(SEARCH('1Př1'!$A$37,N212)),MAX($M$2:M211)+1,0)</f>
        <v>210</v>
      </c>
      <c r="Y212" s="419" t="s">
        <v>1880</v>
      </c>
      <c r="Z212" t="str">
        <f>IFERROR(VLOOKUP(ROWS($Z$3:Z212),$X$3:$Y$992,2,0),"")</f>
        <v>Výroba ostatních elektrických zařízení</v>
      </c>
    </row>
    <row r="213" spans="10:26" ht="12.75">
      <c r="J213" s="430" t="s">
        <v>1882</v>
      </c>
      <c r="K213" s="417" t="s">
        <v>1883</v>
      </c>
      <c r="M213" s="418">
        <f>IF(ISNUMBER(SEARCH(ZAKL_DATA!$B$29,N213)),MAX($M$2:M212)+1,0)</f>
        <v>211</v>
      </c>
      <c r="N213" s="419" t="s">
        <v>1884</v>
      </c>
      <c r="O213" s="420" t="s">
        <v>1885</v>
      </c>
      <c r="P213" s="421"/>
      <c r="Q213" s="422" t="str">
        <f>IFERROR(VLOOKUP(ROWS($Q$3:Q213),$M$3:$N$992,2,0),"")</f>
        <v>Výroba strojů a zařízení pro všeobecné účely</v>
      </c>
      <c r="R213">
        <f>IF(ISNUMBER(SEARCH('1Př1'!$A$35,N213)),MAX($M$2:M212)+1,0)</f>
        <v>211</v>
      </c>
      <c r="S213" s="419" t="s">
        <v>1884</v>
      </c>
      <c r="T213" t="str">
        <f>IFERROR(VLOOKUP(ROWS($T$3:T213),$R$3:$S$992,2,0),"")</f>
        <v>Výroba strojů a zařízení pro všeobecné účely</v>
      </c>
      <c r="U213">
        <f>IF(ISNUMBER(SEARCH('1Př1'!$A$36,N213)),MAX($M$2:M212)+1,0)</f>
        <v>211</v>
      </c>
      <c r="V213" s="419" t="s">
        <v>1884</v>
      </c>
      <c r="W213" t="str">
        <f>IFERROR(VLOOKUP(ROWS($W$3:W213),$U$3:$V$992,2,0),"")</f>
        <v>Výroba strojů a zařízení pro všeobecné účely</v>
      </c>
      <c r="X213">
        <f>IF(ISNUMBER(SEARCH('1Př1'!$A$37,N213)),MAX($M$2:M212)+1,0)</f>
        <v>211</v>
      </c>
      <c r="Y213" s="419" t="s">
        <v>1884</v>
      </c>
      <c r="Z213" t="str">
        <f>IFERROR(VLOOKUP(ROWS($Z$3:Z213),$X$3:$Y$992,2,0),"")</f>
        <v>Výroba strojů a zařízení pro všeobecné účely</v>
      </c>
    </row>
    <row r="214" spans="10:26" ht="12.75">
      <c r="J214" s="429" t="s">
        <v>1886</v>
      </c>
      <c r="K214" s="417" t="s">
        <v>1887</v>
      </c>
      <c r="M214" s="418">
        <f>IF(ISNUMBER(SEARCH(ZAKL_DATA!$B$29,N214)),MAX($M$2:M213)+1,0)</f>
        <v>212</v>
      </c>
      <c r="N214" s="419" t="s">
        <v>1888</v>
      </c>
      <c r="O214" s="436" t="s">
        <v>1889</v>
      </c>
      <c r="P214" s="421"/>
      <c r="Q214" s="422" t="str">
        <f>IFERROR(VLOOKUP(ROWS($Q$3:Q214),$M$3:$N$992,2,0),"")</f>
        <v>Výroba ostatních strojů a zařízení pro všeobecné účely</v>
      </c>
      <c r="R214">
        <f>IF(ISNUMBER(SEARCH('1Př1'!$A$35,N214)),MAX($M$2:M213)+1,0)</f>
        <v>212</v>
      </c>
      <c r="S214" s="419" t="s">
        <v>1888</v>
      </c>
      <c r="T214" t="str">
        <f>IFERROR(VLOOKUP(ROWS($T$3:T214),$R$3:$S$992,2,0),"")</f>
        <v>Výroba ostatních strojů a zařízení pro všeobecné účely</v>
      </c>
      <c r="U214">
        <f>IF(ISNUMBER(SEARCH('1Př1'!$A$36,N214)),MAX($M$2:M213)+1,0)</f>
        <v>212</v>
      </c>
      <c r="V214" s="419" t="s">
        <v>1888</v>
      </c>
      <c r="W214" t="str">
        <f>IFERROR(VLOOKUP(ROWS($W$3:W214),$U$3:$V$992,2,0),"")</f>
        <v>Výroba ostatních strojů a zařízení pro všeobecné účely</v>
      </c>
      <c r="X214">
        <f>IF(ISNUMBER(SEARCH('1Př1'!$A$37,N214)),MAX($M$2:M213)+1,0)</f>
        <v>212</v>
      </c>
      <c r="Y214" s="419" t="s">
        <v>1888</v>
      </c>
      <c r="Z214" t="str">
        <f>IFERROR(VLOOKUP(ROWS($Z$3:Z214),$X$3:$Y$992,2,0),"")</f>
        <v>Výroba ostatních strojů a zařízení pro všeobecné účely</v>
      </c>
    </row>
    <row r="215" spans="10:26" ht="12.75">
      <c r="J215" s="429" t="s">
        <v>1890</v>
      </c>
      <c r="K215" s="417" t="s">
        <v>1891</v>
      </c>
      <c r="M215" s="418">
        <f>IF(ISNUMBER(SEARCH(ZAKL_DATA!$B$29,N215)),MAX($M$2:M214)+1,0)</f>
        <v>213</v>
      </c>
      <c r="N215" s="419" t="s">
        <v>1892</v>
      </c>
      <c r="O215" s="420" t="s">
        <v>1893</v>
      </c>
      <c r="P215" s="421"/>
      <c r="Q215" s="422" t="str">
        <f>IFERROR(VLOOKUP(ROWS($Q$3:Q215),$M$3:$N$992,2,0),"")</f>
        <v>Výroba zemědělských a lesnických strojů</v>
      </c>
      <c r="R215">
        <f>IF(ISNUMBER(SEARCH('1Př1'!$A$35,N215)),MAX($M$2:M214)+1,0)</f>
        <v>213</v>
      </c>
      <c r="S215" s="419" t="s">
        <v>1892</v>
      </c>
      <c r="T215" t="str">
        <f>IFERROR(VLOOKUP(ROWS($T$3:T215),$R$3:$S$992,2,0),"")</f>
        <v>Výroba zemědělských a lesnických strojů</v>
      </c>
      <c r="U215">
        <f>IF(ISNUMBER(SEARCH('1Př1'!$A$36,N215)),MAX($M$2:M214)+1,0)</f>
        <v>213</v>
      </c>
      <c r="V215" s="419" t="s">
        <v>1892</v>
      </c>
      <c r="W215" t="str">
        <f>IFERROR(VLOOKUP(ROWS($W$3:W215),$U$3:$V$992,2,0),"")</f>
        <v>Výroba zemědělských a lesnických strojů</v>
      </c>
      <c r="X215">
        <f>IF(ISNUMBER(SEARCH('1Př1'!$A$37,N215)),MAX($M$2:M214)+1,0)</f>
        <v>213</v>
      </c>
      <c r="Y215" s="419" t="s">
        <v>1892</v>
      </c>
      <c r="Z215" t="str">
        <f>IFERROR(VLOOKUP(ROWS($Z$3:Z215),$X$3:$Y$992,2,0),"")</f>
        <v>Výroba zemědělských a lesnických strojů</v>
      </c>
    </row>
    <row r="216" spans="10:26" ht="12.75">
      <c r="J216" s="430" t="s">
        <v>1894</v>
      </c>
      <c r="K216" s="417" t="s">
        <v>1895</v>
      </c>
      <c r="M216" s="418">
        <f>IF(ISNUMBER(SEARCH(ZAKL_DATA!$B$29,N216)),MAX($M$2:M215)+1,0)</f>
        <v>214</v>
      </c>
      <c r="N216" s="419" t="s">
        <v>1896</v>
      </c>
      <c r="O216" s="420" t="s">
        <v>1897</v>
      </c>
      <c r="P216" s="421"/>
      <c r="Q216" s="422" t="str">
        <f>IFERROR(VLOOKUP(ROWS($Q$3:Q216),$M$3:$N$992,2,0),"")</f>
        <v>Výroba kovoobráběcích a ostatních obráběcích strojů</v>
      </c>
      <c r="R216">
        <f>IF(ISNUMBER(SEARCH('1Př1'!$A$35,N216)),MAX($M$2:M215)+1,0)</f>
        <v>214</v>
      </c>
      <c r="S216" s="419" t="s">
        <v>1896</v>
      </c>
      <c r="T216" t="str">
        <f>IFERROR(VLOOKUP(ROWS($T$3:T216),$R$3:$S$992,2,0),"")</f>
        <v>Výroba kovoobráběcích a ostatních obráběcích strojů</v>
      </c>
      <c r="U216">
        <f>IF(ISNUMBER(SEARCH('1Př1'!$A$36,N216)),MAX($M$2:M215)+1,0)</f>
        <v>214</v>
      </c>
      <c r="V216" s="419" t="s">
        <v>1896</v>
      </c>
      <c r="W216" t="str">
        <f>IFERROR(VLOOKUP(ROWS($W$3:W216),$U$3:$V$992,2,0),"")</f>
        <v>Výroba kovoobráběcích a ostatních obráběcích strojů</v>
      </c>
      <c r="X216">
        <f>IF(ISNUMBER(SEARCH('1Př1'!$A$37,N216)),MAX($M$2:M215)+1,0)</f>
        <v>214</v>
      </c>
      <c r="Y216" s="419" t="s">
        <v>1896</v>
      </c>
      <c r="Z216" t="str">
        <f>IFERROR(VLOOKUP(ROWS($Z$3:Z216),$X$3:$Y$992,2,0),"")</f>
        <v>Výroba kovoobráběcích a ostatních obráběcích strojů</v>
      </c>
    </row>
    <row r="217" spans="10:26" ht="12.75">
      <c r="J217" s="430" t="s">
        <v>1898</v>
      </c>
      <c r="K217" s="417" t="s">
        <v>1899</v>
      </c>
      <c r="M217" s="418">
        <f>IF(ISNUMBER(SEARCH(ZAKL_DATA!$B$29,N217)),MAX($M$2:M216)+1,0)</f>
        <v>215</v>
      </c>
      <c r="N217" s="419" t="s">
        <v>1900</v>
      </c>
      <c r="O217" s="420" t="s">
        <v>1901</v>
      </c>
      <c r="P217" s="421"/>
      <c r="Q217" s="422" t="str">
        <f>IFERROR(VLOOKUP(ROWS($Q$3:Q217),$M$3:$N$992,2,0),"")</f>
        <v>Výroba ostatních strojů pro speciální účely</v>
      </c>
      <c r="R217">
        <f>IF(ISNUMBER(SEARCH('1Př1'!$A$35,N217)),MAX($M$2:M216)+1,0)</f>
        <v>215</v>
      </c>
      <c r="S217" s="419" t="s">
        <v>1900</v>
      </c>
      <c r="T217" t="str">
        <f>IFERROR(VLOOKUP(ROWS($T$3:T217),$R$3:$S$992,2,0),"")</f>
        <v>Výroba ostatních strojů pro speciální účely</v>
      </c>
      <c r="U217">
        <f>IF(ISNUMBER(SEARCH('1Př1'!$A$36,N217)),MAX($M$2:M216)+1,0)</f>
        <v>215</v>
      </c>
      <c r="V217" s="419" t="s">
        <v>1900</v>
      </c>
      <c r="W217" t="str">
        <f>IFERROR(VLOOKUP(ROWS($W$3:W217),$U$3:$V$992,2,0),"")</f>
        <v>Výroba ostatních strojů pro speciální účely</v>
      </c>
      <c r="X217">
        <f>IF(ISNUMBER(SEARCH('1Př1'!$A$37,N217)),MAX($M$2:M216)+1,0)</f>
        <v>215</v>
      </c>
      <c r="Y217" s="419" t="s">
        <v>1900</v>
      </c>
      <c r="Z217" t="str">
        <f>IFERROR(VLOOKUP(ROWS($Z$3:Z217),$X$3:$Y$992,2,0),"")</f>
        <v>Výroba ostatních strojů pro speciální účely</v>
      </c>
    </row>
    <row r="218" spans="10:26" ht="12.75">
      <c r="J218" s="430" t="s">
        <v>1902</v>
      </c>
      <c r="K218" s="417" t="s">
        <v>1903</v>
      </c>
      <c r="M218" s="418">
        <f>IF(ISNUMBER(SEARCH(ZAKL_DATA!$B$29,N218)),MAX($M$2:M217)+1,0)</f>
        <v>216</v>
      </c>
      <c r="N218" s="419" t="s">
        <v>1904</v>
      </c>
      <c r="O218" s="420" t="s">
        <v>1905</v>
      </c>
      <c r="P218" s="421"/>
      <c r="Q218" s="422" t="str">
        <f>IFERROR(VLOOKUP(ROWS($Q$3:Q218),$M$3:$N$992,2,0),"")</f>
        <v>Výroba motorových vozidel a jejich motorů</v>
      </c>
      <c r="R218">
        <f>IF(ISNUMBER(SEARCH('1Př1'!$A$35,N218)),MAX($M$2:M217)+1,0)</f>
        <v>216</v>
      </c>
      <c r="S218" s="419" t="s">
        <v>1904</v>
      </c>
      <c r="T218" t="str">
        <f>IFERROR(VLOOKUP(ROWS($T$3:T218),$R$3:$S$992,2,0),"")</f>
        <v>Výroba motorových vozidel a jejich motorů</v>
      </c>
      <c r="U218">
        <f>IF(ISNUMBER(SEARCH('1Př1'!$A$36,N218)),MAX($M$2:M217)+1,0)</f>
        <v>216</v>
      </c>
      <c r="V218" s="419" t="s">
        <v>1904</v>
      </c>
      <c r="W218" t="str">
        <f>IFERROR(VLOOKUP(ROWS($W$3:W218),$U$3:$V$992,2,0),"")</f>
        <v>Výroba motorových vozidel a jejich motorů</v>
      </c>
      <c r="X218">
        <f>IF(ISNUMBER(SEARCH('1Př1'!$A$37,N218)),MAX($M$2:M217)+1,0)</f>
        <v>216</v>
      </c>
      <c r="Y218" s="419" t="s">
        <v>1904</v>
      </c>
      <c r="Z218" t="str">
        <f>IFERROR(VLOOKUP(ROWS($Z$3:Z218),$X$3:$Y$992,2,0),"")</f>
        <v>Výroba motorových vozidel a jejich motorů</v>
      </c>
    </row>
    <row r="219" spans="10:26" ht="12.75">
      <c r="J219" s="430" t="s">
        <v>1906</v>
      </c>
      <c r="K219" s="417" t="s">
        <v>1907</v>
      </c>
      <c r="M219" s="418">
        <f>IF(ISNUMBER(SEARCH(ZAKL_DATA!$B$29,N219)),MAX($M$2:M218)+1,0)</f>
        <v>217</v>
      </c>
      <c r="N219" s="419" t="s">
        <v>1908</v>
      </c>
      <c r="O219" s="420" t="s">
        <v>1909</v>
      </c>
      <c r="P219" s="421"/>
      <c r="Q219" s="422" t="str">
        <f>IFERROR(VLOOKUP(ROWS($Q$3:Q219),$M$3:$N$992,2,0),"")</f>
        <v>Výroba karoserií motorových vozidel; výroba přívěsů a návěsů</v>
      </c>
      <c r="R219">
        <f>IF(ISNUMBER(SEARCH('1Př1'!$A$35,N219)),MAX($M$2:M218)+1,0)</f>
        <v>217</v>
      </c>
      <c r="S219" s="419" t="s">
        <v>1908</v>
      </c>
      <c r="T219" t="str">
        <f>IFERROR(VLOOKUP(ROWS($T$3:T219),$R$3:$S$992,2,0),"")</f>
        <v>Výroba karoserií motorových vozidel; výroba přívěsů a návěsů</v>
      </c>
      <c r="U219">
        <f>IF(ISNUMBER(SEARCH('1Př1'!$A$36,N219)),MAX($M$2:M218)+1,0)</f>
        <v>217</v>
      </c>
      <c r="V219" s="419" t="s">
        <v>1908</v>
      </c>
      <c r="W219" t="str">
        <f>IFERROR(VLOOKUP(ROWS($W$3:W219),$U$3:$V$992,2,0),"")</f>
        <v>Výroba karoserií motorových vozidel; výroba přívěsů a návěsů</v>
      </c>
      <c r="X219">
        <f>IF(ISNUMBER(SEARCH('1Př1'!$A$37,N219)),MAX($M$2:M218)+1,0)</f>
        <v>217</v>
      </c>
      <c r="Y219" s="419" t="s">
        <v>1908</v>
      </c>
      <c r="Z219" t="str">
        <f>IFERROR(VLOOKUP(ROWS($Z$3:Z219),$X$3:$Y$992,2,0),"")</f>
        <v>Výroba karoserií motorových vozidel; výroba přívěsů a návěsů</v>
      </c>
    </row>
    <row r="220" spans="10:26" ht="12.75">
      <c r="J220" s="430" t="s">
        <v>1910</v>
      </c>
      <c r="K220" s="417" t="s">
        <v>1911</v>
      </c>
      <c r="M220" s="418">
        <f>IF(ISNUMBER(SEARCH(ZAKL_DATA!$B$29,N220)),MAX($M$2:M219)+1,0)</f>
        <v>218</v>
      </c>
      <c r="N220" s="419" t="s">
        <v>1912</v>
      </c>
      <c r="O220" s="420" t="s">
        <v>1913</v>
      </c>
      <c r="P220" s="421"/>
      <c r="Q220" s="422" t="str">
        <f>IFERROR(VLOOKUP(ROWS($Q$3:Q220),$M$3:$N$992,2,0),"")</f>
        <v>Výroba dílů a příslušenství pro motorová vozidla a jejich motory</v>
      </c>
      <c r="R220">
        <f>IF(ISNUMBER(SEARCH('1Př1'!$A$35,N220)),MAX($M$2:M219)+1,0)</f>
        <v>218</v>
      </c>
      <c r="S220" s="419" t="s">
        <v>1912</v>
      </c>
      <c r="T220" t="str">
        <f>IFERROR(VLOOKUP(ROWS($T$3:T220),$R$3:$S$992,2,0),"")</f>
        <v>Výroba dílů a příslušenství pro motorová vozidla a jejich motory</v>
      </c>
      <c r="U220">
        <f>IF(ISNUMBER(SEARCH('1Př1'!$A$36,N220)),MAX($M$2:M219)+1,0)</f>
        <v>218</v>
      </c>
      <c r="V220" s="419" t="s">
        <v>1912</v>
      </c>
      <c r="W220" t="str">
        <f>IFERROR(VLOOKUP(ROWS($W$3:W220),$U$3:$V$992,2,0),"")</f>
        <v>Výroba dílů a příslušenství pro motorová vozidla a jejich motory</v>
      </c>
      <c r="X220">
        <f>IF(ISNUMBER(SEARCH('1Př1'!$A$37,N220)),MAX($M$2:M219)+1,0)</f>
        <v>218</v>
      </c>
      <c r="Y220" s="419" t="s">
        <v>1912</v>
      </c>
      <c r="Z220" t="str">
        <f>IFERROR(VLOOKUP(ROWS($Z$3:Z220),$X$3:$Y$992,2,0),"")</f>
        <v>Výroba dílů a příslušenství pro motorová vozidla a jejich motory</v>
      </c>
    </row>
    <row r="221" spans="10:26" ht="12.75">
      <c r="J221" s="430" t="s">
        <v>1914</v>
      </c>
      <c r="K221" s="417" t="s">
        <v>1915</v>
      </c>
      <c r="M221" s="418">
        <f>IF(ISNUMBER(SEARCH(ZAKL_DATA!$B$29,N221)),MAX($M$2:M220)+1,0)</f>
        <v>219</v>
      </c>
      <c r="N221" s="419" t="s">
        <v>1916</v>
      </c>
      <c r="O221" s="420" t="s">
        <v>1917</v>
      </c>
      <c r="P221" s="421"/>
      <c r="Q221" s="422" t="str">
        <f>IFERROR(VLOOKUP(ROWS($Q$3:Q221),$M$3:$N$992,2,0),"")</f>
        <v>Stavba lodí a člunů</v>
      </c>
      <c r="R221">
        <f>IF(ISNUMBER(SEARCH('1Př1'!$A$35,N221)),MAX($M$2:M220)+1,0)</f>
        <v>219</v>
      </c>
      <c r="S221" s="419" t="s">
        <v>1916</v>
      </c>
      <c r="T221" t="str">
        <f>IFERROR(VLOOKUP(ROWS($T$3:T221),$R$3:$S$992,2,0),"")</f>
        <v>Stavba lodí a člunů</v>
      </c>
      <c r="U221">
        <f>IF(ISNUMBER(SEARCH('1Př1'!$A$36,N221)),MAX($M$2:M220)+1,0)</f>
        <v>219</v>
      </c>
      <c r="V221" s="419" t="s">
        <v>1916</v>
      </c>
      <c r="W221" t="str">
        <f>IFERROR(VLOOKUP(ROWS($W$3:W221),$U$3:$V$992,2,0),"")</f>
        <v>Stavba lodí a člunů</v>
      </c>
      <c r="X221">
        <f>IF(ISNUMBER(SEARCH('1Př1'!$A$37,N221)),MAX($M$2:M220)+1,0)</f>
        <v>219</v>
      </c>
      <c r="Y221" s="419" t="s">
        <v>1916</v>
      </c>
      <c r="Z221" t="str">
        <f>IFERROR(VLOOKUP(ROWS($Z$3:Z221),$X$3:$Y$992,2,0),"")</f>
        <v>Stavba lodí a člunů</v>
      </c>
    </row>
    <row r="222" spans="10:26" ht="12.75">
      <c r="J222" s="429" t="s">
        <v>1918</v>
      </c>
      <c r="K222" s="417" t="s">
        <v>1919</v>
      </c>
      <c r="M222" s="418">
        <f>IF(ISNUMBER(SEARCH(ZAKL_DATA!$B$29,N222)),MAX($M$2:M221)+1,0)</f>
        <v>220</v>
      </c>
      <c r="N222" s="419" t="s">
        <v>1920</v>
      </c>
      <c r="O222" s="436" t="s">
        <v>1921</v>
      </c>
      <c r="P222" s="421"/>
      <c r="Q222" s="422" t="str">
        <f>IFERROR(VLOOKUP(ROWS($Q$3:Q222),$M$3:$N$992,2,0),"")</f>
        <v>Výroba železničních lokomotiv a vozového parku</v>
      </c>
      <c r="R222">
        <f>IF(ISNUMBER(SEARCH('1Př1'!$A$35,N222)),MAX($M$2:M221)+1,0)</f>
        <v>220</v>
      </c>
      <c r="S222" s="419" t="s">
        <v>1920</v>
      </c>
      <c r="T222" t="str">
        <f>IFERROR(VLOOKUP(ROWS($T$3:T222),$R$3:$S$992,2,0),"")</f>
        <v>Výroba železničních lokomotiv a vozového parku</v>
      </c>
      <c r="U222">
        <f>IF(ISNUMBER(SEARCH('1Př1'!$A$36,N222)),MAX($M$2:M221)+1,0)</f>
        <v>220</v>
      </c>
      <c r="V222" s="419" t="s">
        <v>1920</v>
      </c>
      <c r="W222" t="str">
        <f>IFERROR(VLOOKUP(ROWS($W$3:W222),$U$3:$V$992,2,0),"")</f>
        <v>Výroba železničních lokomotiv a vozového parku</v>
      </c>
      <c r="X222">
        <f>IF(ISNUMBER(SEARCH('1Př1'!$A$37,N222)),MAX($M$2:M221)+1,0)</f>
        <v>220</v>
      </c>
      <c r="Y222" s="419" t="s">
        <v>1920</v>
      </c>
      <c r="Z222" t="str">
        <f>IFERROR(VLOOKUP(ROWS($Z$3:Z222),$X$3:$Y$992,2,0),"")</f>
        <v>Výroba železničních lokomotiv a vozového parku</v>
      </c>
    </row>
    <row r="223" spans="10:26" ht="12.75">
      <c r="J223" s="430" t="s">
        <v>1922</v>
      </c>
      <c r="K223" s="417" t="s">
        <v>1923</v>
      </c>
      <c r="M223" s="418">
        <f>IF(ISNUMBER(SEARCH(ZAKL_DATA!$B$29,N223)),MAX($M$2:M222)+1,0)</f>
        <v>221</v>
      </c>
      <c r="N223" s="419" t="s">
        <v>1924</v>
      </c>
      <c r="O223" s="436" t="s">
        <v>1925</v>
      </c>
      <c r="P223" s="421"/>
      <c r="Q223" s="422" t="str">
        <f>IFERROR(VLOOKUP(ROWS($Q$3:Q223),$M$3:$N$992,2,0),"")</f>
        <v>Výroba letadel a jejich motorů,kosmických lodí a souvisejících zařízení</v>
      </c>
      <c r="R223">
        <f>IF(ISNUMBER(SEARCH('1Př1'!$A$35,N223)),MAX($M$2:M222)+1,0)</f>
        <v>221</v>
      </c>
      <c r="S223" s="419" t="s">
        <v>1924</v>
      </c>
      <c r="T223" t="str">
        <f>IFERROR(VLOOKUP(ROWS($T$3:T223),$R$3:$S$992,2,0),"")</f>
        <v>Výroba letadel a jejich motorů,kosmických lodí a souvisejících zařízení</v>
      </c>
      <c r="U223">
        <f>IF(ISNUMBER(SEARCH('1Př1'!$A$36,N223)),MAX($M$2:M222)+1,0)</f>
        <v>221</v>
      </c>
      <c r="V223" s="419" t="s">
        <v>1924</v>
      </c>
      <c r="W223" t="str">
        <f>IFERROR(VLOOKUP(ROWS($W$3:W223),$U$3:$V$992,2,0),"")</f>
        <v>Výroba letadel a jejich motorů,kosmických lodí a souvisejících zařízení</v>
      </c>
      <c r="X223">
        <f>IF(ISNUMBER(SEARCH('1Př1'!$A$37,N223)),MAX($M$2:M222)+1,0)</f>
        <v>221</v>
      </c>
      <c r="Y223" s="419" t="s">
        <v>1924</v>
      </c>
      <c r="Z223" t="str">
        <f>IFERROR(VLOOKUP(ROWS($Z$3:Z223),$X$3:$Y$992,2,0),"")</f>
        <v>Výroba letadel a jejich motorů,kosmických lodí a souvisejících zařízení</v>
      </c>
    </row>
    <row r="224" spans="10:26" ht="12.75">
      <c r="J224" s="430" t="s">
        <v>1926</v>
      </c>
      <c r="K224" s="417" t="s">
        <v>1927</v>
      </c>
      <c r="M224" s="418">
        <f>IF(ISNUMBER(SEARCH(ZAKL_DATA!$B$29,N224)),MAX($M$2:M223)+1,0)</f>
        <v>222</v>
      </c>
      <c r="N224" s="419" t="s">
        <v>1928</v>
      </c>
      <c r="O224" s="436" t="s">
        <v>1929</v>
      </c>
      <c r="P224" s="421"/>
      <c r="Q224" s="422" t="str">
        <f>IFERROR(VLOOKUP(ROWS($Q$3:Q224),$M$3:$N$992,2,0),"")</f>
        <v>Výroba vojenských bojových vozidel</v>
      </c>
      <c r="R224">
        <f>IF(ISNUMBER(SEARCH('1Př1'!$A$35,N224)),MAX($M$2:M223)+1,0)</f>
        <v>222</v>
      </c>
      <c r="S224" s="419" t="s">
        <v>1928</v>
      </c>
      <c r="T224" t="str">
        <f>IFERROR(VLOOKUP(ROWS($T$3:T224),$R$3:$S$992,2,0),"")</f>
        <v>Výroba vojenských bojových vozidel</v>
      </c>
      <c r="U224">
        <f>IF(ISNUMBER(SEARCH('1Př1'!$A$36,N224)),MAX($M$2:M223)+1,0)</f>
        <v>222</v>
      </c>
      <c r="V224" s="419" t="s">
        <v>1928</v>
      </c>
      <c r="W224" t="str">
        <f>IFERROR(VLOOKUP(ROWS($W$3:W224),$U$3:$V$992,2,0),"")</f>
        <v>Výroba vojenských bojových vozidel</v>
      </c>
      <c r="X224">
        <f>IF(ISNUMBER(SEARCH('1Př1'!$A$37,N224)),MAX($M$2:M223)+1,0)</f>
        <v>222</v>
      </c>
      <c r="Y224" s="419" t="s">
        <v>1928</v>
      </c>
      <c r="Z224" t="str">
        <f>IFERROR(VLOOKUP(ROWS($Z$3:Z224),$X$3:$Y$992,2,0),"")</f>
        <v>Výroba vojenských bojových vozidel</v>
      </c>
    </row>
    <row r="225" spans="10:26" ht="12.75">
      <c r="J225" s="430" t="s">
        <v>1930</v>
      </c>
      <c r="K225" s="417" t="s">
        <v>1931</v>
      </c>
      <c r="M225" s="418">
        <f>IF(ISNUMBER(SEARCH(ZAKL_DATA!$B$29,N225)),MAX($M$2:M224)+1,0)</f>
        <v>223</v>
      </c>
      <c r="N225" s="419" t="s">
        <v>1932</v>
      </c>
      <c r="O225" s="436" t="s">
        <v>1933</v>
      </c>
      <c r="P225" s="421"/>
      <c r="Q225" s="422" t="str">
        <f>IFERROR(VLOOKUP(ROWS($Q$3:Q225),$M$3:$N$992,2,0),"")</f>
        <v>Výroba dopravních prostředků a zařízení j. n.</v>
      </c>
      <c r="R225">
        <f>IF(ISNUMBER(SEARCH('1Př1'!$A$35,N225)),MAX($M$2:M224)+1,0)</f>
        <v>223</v>
      </c>
      <c r="S225" s="419" t="s">
        <v>1932</v>
      </c>
      <c r="T225" t="str">
        <f>IFERROR(VLOOKUP(ROWS($T$3:T225),$R$3:$S$992,2,0),"")</f>
        <v>Výroba dopravních prostředků a zařízení j. n.</v>
      </c>
      <c r="U225">
        <f>IF(ISNUMBER(SEARCH('1Př1'!$A$36,N225)),MAX($M$2:M224)+1,0)</f>
        <v>223</v>
      </c>
      <c r="V225" s="419" t="s">
        <v>1932</v>
      </c>
      <c r="W225" t="str">
        <f>IFERROR(VLOOKUP(ROWS($W$3:W225),$U$3:$V$992,2,0),"")</f>
        <v>Výroba dopravních prostředků a zařízení j. n.</v>
      </c>
      <c r="X225">
        <f>IF(ISNUMBER(SEARCH('1Př1'!$A$37,N225)),MAX($M$2:M224)+1,0)</f>
        <v>223</v>
      </c>
      <c r="Y225" s="419" t="s">
        <v>1932</v>
      </c>
      <c r="Z225" t="str">
        <f>IFERROR(VLOOKUP(ROWS($Z$3:Z225),$X$3:$Y$992,2,0),"")</f>
        <v>Výroba dopravních prostředků a zařízení j. n.</v>
      </c>
    </row>
    <row r="226" spans="10:26" ht="12.75">
      <c r="J226" s="430" t="s">
        <v>1934</v>
      </c>
      <c r="K226" s="417" t="s">
        <v>1935</v>
      </c>
      <c r="M226" s="418">
        <f>IF(ISNUMBER(SEARCH(ZAKL_DATA!$B$29,N226)),MAX($M$2:M225)+1,0)</f>
        <v>224</v>
      </c>
      <c r="N226" s="419" t="s">
        <v>1936</v>
      </c>
      <c r="O226" s="436" t="s">
        <v>1937</v>
      </c>
      <c r="P226" s="421"/>
      <c r="Q226" s="422" t="str">
        <f>IFERROR(VLOOKUP(ROWS($Q$3:Q226),$M$3:$N$992,2,0),"")</f>
        <v>Mořský rybolov</v>
      </c>
      <c r="R226">
        <f>IF(ISNUMBER(SEARCH('1Př1'!$A$35,N226)),MAX($M$2:M225)+1,0)</f>
        <v>224</v>
      </c>
      <c r="S226" s="419" t="s">
        <v>1936</v>
      </c>
      <c r="T226" t="str">
        <f>IFERROR(VLOOKUP(ROWS($T$3:T226),$R$3:$S$992,2,0),"")</f>
        <v>Mořský rybolov</v>
      </c>
      <c r="U226">
        <f>IF(ISNUMBER(SEARCH('1Př1'!$A$36,N226)),MAX($M$2:M225)+1,0)</f>
        <v>224</v>
      </c>
      <c r="V226" s="419" t="s">
        <v>1936</v>
      </c>
      <c r="W226" t="str">
        <f>IFERROR(VLOOKUP(ROWS($W$3:W226),$U$3:$V$992,2,0),"")</f>
        <v>Mořský rybolov</v>
      </c>
      <c r="X226">
        <f>IF(ISNUMBER(SEARCH('1Př1'!$A$37,N226)),MAX($M$2:M225)+1,0)</f>
        <v>224</v>
      </c>
      <c r="Y226" s="419" t="s">
        <v>1936</v>
      </c>
      <c r="Z226" t="str">
        <f>IFERROR(VLOOKUP(ROWS($Z$3:Z226),$X$3:$Y$992,2,0),"")</f>
        <v>Mořský rybolov</v>
      </c>
    </row>
    <row r="227" spans="10:26" ht="12.75">
      <c r="J227" s="430" t="s">
        <v>1938</v>
      </c>
      <c r="K227" s="417" t="s">
        <v>1939</v>
      </c>
      <c r="M227" s="418">
        <f>IF(ISNUMBER(SEARCH(ZAKL_DATA!$B$29,N227)),MAX($M$2:M226)+1,0)</f>
        <v>225</v>
      </c>
      <c r="N227" s="419" t="s">
        <v>1940</v>
      </c>
      <c r="O227" s="436" t="s">
        <v>1941</v>
      </c>
      <c r="P227" s="421"/>
      <c r="Q227" s="422" t="str">
        <f>IFERROR(VLOOKUP(ROWS($Q$3:Q227),$M$3:$N$992,2,0),"")</f>
        <v>Sladkovodní rybolov</v>
      </c>
      <c r="R227">
        <f>IF(ISNUMBER(SEARCH('1Př1'!$A$35,N227)),MAX($M$2:M226)+1,0)</f>
        <v>225</v>
      </c>
      <c r="S227" s="419" t="s">
        <v>1940</v>
      </c>
      <c r="T227" t="str">
        <f>IFERROR(VLOOKUP(ROWS($T$3:T227),$R$3:$S$992,2,0),"")</f>
        <v>Sladkovodní rybolov</v>
      </c>
      <c r="U227">
        <f>IF(ISNUMBER(SEARCH('1Př1'!$A$36,N227)),MAX($M$2:M226)+1,0)</f>
        <v>225</v>
      </c>
      <c r="V227" s="419" t="s">
        <v>1940</v>
      </c>
      <c r="W227" t="str">
        <f>IFERROR(VLOOKUP(ROWS($W$3:W227),$U$3:$V$992,2,0),"")</f>
        <v>Sladkovodní rybolov</v>
      </c>
      <c r="X227">
        <f>IF(ISNUMBER(SEARCH('1Př1'!$A$37,N227)),MAX($M$2:M226)+1,0)</f>
        <v>225</v>
      </c>
      <c r="Y227" s="419" t="s">
        <v>1940</v>
      </c>
      <c r="Z227" t="str">
        <f>IFERROR(VLOOKUP(ROWS($Z$3:Z227),$X$3:$Y$992,2,0),"")</f>
        <v>Sladkovodní rybolov</v>
      </c>
    </row>
    <row r="228" spans="10:26" ht="12.75">
      <c r="J228" s="430" t="s">
        <v>1942</v>
      </c>
      <c r="K228" s="417" t="s">
        <v>1943</v>
      </c>
      <c r="M228" s="418">
        <f>IF(ISNUMBER(SEARCH(ZAKL_DATA!$B$29,N228)),MAX($M$2:M227)+1,0)</f>
        <v>226</v>
      </c>
      <c r="N228" s="419" t="s">
        <v>1944</v>
      </c>
      <c r="O228" s="436" t="s">
        <v>1945</v>
      </c>
      <c r="P228" s="421"/>
      <c r="Q228" s="422" t="str">
        <f>IFERROR(VLOOKUP(ROWS($Q$3:Q228),$M$3:$N$992,2,0),"")</f>
        <v>Výroba klenotů, bižuterie a příbuzných výrobků</v>
      </c>
      <c r="R228">
        <f>IF(ISNUMBER(SEARCH('1Př1'!$A$35,N228)),MAX($M$2:M227)+1,0)</f>
        <v>226</v>
      </c>
      <c r="S228" s="419" t="s">
        <v>1944</v>
      </c>
      <c r="T228" t="str">
        <f>IFERROR(VLOOKUP(ROWS($T$3:T228),$R$3:$S$992,2,0),"")</f>
        <v>Výroba klenotů, bižuterie a příbuzných výrobků</v>
      </c>
      <c r="U228">
        <f>IF(ISNUMBER(SEARCH('1Př1'!$A$36,N228)),MAX($M$2:M227)+1,0)</f>
        <v>226</v>
      </c>
      <c r="V228" s="419" t="s">
        <v>1944</v>
      </c>
      <c r="W228" t="str">
        <f>IFERROR(VLOOKUP(ROWS($W$3:W228),$U$3:$V$992,2,0),"")</f>
        <v>Výroba klenotů, bižuterie a příbuzných výrobků</v>
      </c>
      <c r="X228">
        <f>IF(ISNUMBER(SEARCH('1Př1'!$A$37,N228)),MAX($M$2:M227)+1,0)</f>
        <v>226</v>
      </c>
      <c r="Y228" s="419" t="s">
        <v>1944</v>
      </c>
      <c r="Z228" t="str">
        <f>IFERROR(VLOOKUP(ROWS($Z$3:Z228),$X$3:$Y$992,2,0),"")</f>
        <v>Výroba klenotů, bižuterie a příbuzných výrobků</v>
      </c>
    </row>
    <row r="229" spans="10:26" ht="12.75">
      <c r="J229" s="430" t="s">
        <v>1946</v>
      </c>
      <c r="K229" s="417" t="s">
        <v>1947</v>
      </c>
      <c r="M229" s="418">
        <f>IF(ISNUMBER(SEARCH(ZAKL_DATA!$B$29,N229)),MAX($M$2:M228)+1,0)</f>
        <v>227</v>
      </c>
      <c r="N229" s="419" t="s">
        <v>1948</v>
      </c>
      <c r="O229" s="436" t="s">
        <v>1949</v>
      </c>
      <c r="P229" s="421"/>
      <c r="Q229" s="422" t="str">
        <f>IFERROR(VLOOKUP(ROWS($Q$3:Q229),$M$3:$N$992,2,0),"")</f>
        <v>Mořská akvakultura</v>
      </c>
      <c r="R229">
        <f>IF(ISNUMBER(SEARCH('1Př1'!$A$35,N229)),MAX($M$2:M228)+1,0)</f>
        <v>227</v>
      </c>
      <c r="S229" s="419" t="s">
        <v>1948</v>
      </c>
      <c r="T229" t="str">
        <f>IFERROR(VLOOKUP(ROWS($T$3:T229),$R$3:$S$992,2,0),"")</f>
        <v>Mořská akvakultura</v>
      </c>
      <c r="U229">
        <f>IF(ISNUMBER(SEARCH('1Př1'!$A$36,N229)),MAX($M$2:M228)+1,0)</f>
        <v>227</v>
      </c>
      <c r="V229" s="419" t="s">
        <v>1948</v>
      </c>
      <c r="W229" t="str">
        <f>IFERROR(VLOOKUP(ROWS($W$3:W229),$U$3:$V$992,2,0),"")</f>
        <v>Mořská akvakultura</v>
      </c>
      <c r="X229">
        <f>IF(ISNUMBER(SEARCH('1Př1'!$A$37,N229)),MAX($M$2:M228)+1,0)</f>
        <v>227</v>
      </c>
      <c r="Y229" s="419" t="s">
        <v>1948</v>
      </c>
      <c r="Z229" t="str">
        <f>IFERROR(VLOOKUP(ROWS($Z$3:Z229),$X$3:$Y$992,2,0),"")</f>
        <v>Mořská akvakultura</v>
      </c>
    </row>
    <row r="230" spans="10:26" ht="12.75">
      <c r="J230" s="430" t="s">
        <v>1950</v>
      </c>
      <c r="K230" s="417" t="s">
        <v>1951</v>
      </c>
      <c r="M230" s="418">
        <f>IF(ISNUMBER(SEARCH(ZAKL_DATA!$B$29,N230)),MAX($M$2:M229)+1,0)</f>
        <v>228</v>
      </c>
      <c r="N230" s="419" t="s">
        <v>1952</v>
      </c>
      <c r="O230" s="436" t="s">
        <v>1953</v>
      </c>
      <c r="P230" s="421"/>
      <c r="Q230" s="422" t="str">
        <f>IFERROR(VLOOKUP(ROWS($Q$3:Q230),$M$3:$N$992,2,0),"")</f>
        <v>Výroba hudebních nástrojů</v>
      </c>
      <c r="R230">
        <f>IF(ISNUMBER(SEARCH('1Př1'!$A$35,N230)),MAX($M$2:M229)+1,0)</f>
        <v>228</v>
      </c>
      <c r="S230" s="419" t="s">
        <v>1952</v>
      </c>
      <c r="T230" t="str">
        <f>IFERROR(VLOOKUP(ROWS($T$3:T230),$R$3:$S$992,2,0),"")</f>
        <v>Výroba hudebních nástrojů</v>
      </c>
      <c r="U230">
        <f>IF(ISNUMBER(SEARCH('1Př1'!$A$36,N230)),MAX($M$2:M229)+1,0)</f>
        <v>228</v>
      </c>
      <c r="V230" s="419" t="s">
        <v>1952</v>
      </c>
      <c r="W230" t="str">
        <f>IFERROR(VLOOKUP(ROWS($W$3:W230),$U$3:$V$992,2,0),"")</f>
        <v>Výroba hudebních nástrojů</v>
      </c>
      <c r="X230">
        <f>IF(ISNUMBER(SEARCH('1Př1'!$A$37,N230)),MAX($M$2:M229)+1,0)</f>
        <v>228</v>
      </c>
      <c r="Y230" s="419" t="s">
        <v>1952</v>
      </c>
      <c r="Z230" t="str">
        <f>IFERROR(VLOOKUP(ROWS($Z$3:Z230),$X$3:$Y$992,2,0),"")</f>
        <v>Výroba hudebních nástrojů</v>
      </c>
    </row>
    <row r="231" spans="10:26" ht="12.75">
      <c r="J231" s="430" t="s">
        <v>1954</v>
      </c>
      <c r="K231" s="417" t="s">
        <v>1955</v>
      </c>
      <c r="M231" s="418">
        <f>IF(ISNUMBER(SEARCH(ZAKL_DATA!$B$29,N231)),MAX($M$2:M230)+1,0)</f>
        <v>229</v>
      </c>
      <c r="N231" s="419" t="s">
        <v>1956</v>
      </c>
      <c r="O231" s="436" t="s">
        <v>1957</v>
      </c>
      <c r="P231" s="421"/>
      <c r="Q231" s="422" t="str">
        <f>IFERROR(VLOOKUP(ROWS($Q$3:Q231),$M$3:$N$992,2,0),"")</f>
        <v>Sladkovodní akvakultura</v>
      </c>
      <c r="R231">
        <f>IF(ISNUMBER(SEARCH('1Př1'!$A$35,N231)),MAX($M$2:M230)+1,0)</f>
        <v>229</v>
      </c>
      <c r="S231" s="419" t="s">
        <v>1956</v>
      </c>
      <c r="T231" t="str">
        <f>IFERROR(VLOOKUP(ROWS($T$3:T231),$R$3:$S$992,2,0),"")</f>
        <v>Sladkovodní akvakultura</v>
      </c>
      <c r="U231">
        <f>IF(ISNUMBER(SEARCH('1Př1'!$A$36,N231)),MAX($M$2:M230)+1,0)</f>
        <v>229</v>
      </c>
      <c r="V231" s="419" t="s">
        <v>1956</v>
      </c>
      <c r="W231" t="str">
        <f>IFERROR(VLOOKUP(ROWS($W$3:W231),$U$3:$V$992,2,0),"")</f>
        <v>Sladkovodní akvakultura</v>
      </c>
      <c r="X231">
        <f>IF(ISNUMBER(SEARCH('1Př1'!$A$37,N231)),MAX($M$2:M230)+1,0)</f>
        <v>229</v>
      </c>
      <c r="Y231" s="419" t="s">
        <v>1956</v>
      </c>
      <c r="Z231" t="str">
        <f>IFERROR(VLOOKUP(ROWS($Z$3:Z231),$X$3:$Y$992,2,0),"")</f>
        <v>Sladkovodní akvakultura</v>
      </c>
    </row>
    <row r="232" spans="10:26" ht="12.75">
      <c r="J232" s="430" t="s">
        <v>1958</v>
      </c>
      <c r="K232" s="417" t="s">
        <v>1959</v>
      </c>
      <c r="M232" s="418">
        <f>IF(ISNUMBER(SEARCH(ZAKL_DATA!$B$29,N232)),MAX($M$2:M231)+1,0)</f>
        <v>230</v>
      </c>
      <c r="N232" s="419" t="s">
        <v>1960</v>
      </c>
      <c r="O232" s="436" t="s">
        <v>1961</v>
      </c>
      <c r="P232" s="421"/>
      <c r="Q232" s="422" t="str">
        <f>IFERROR(VLOOKUP(ROWS($Q$3:Q232),$M$3:$N$992,2,0),"")</f>
        <v>Výroba sportovních potřeb</v>
      </c>
      <c r="R232">
        <f>IF(ISNUMBER(SEARCH('1Př1'!$A$35,N232)),MAX($M$2:M231)+1,0)</f>
        <v>230</v>
      </c>
      <c r="S232" s="419" t="s">
        <v>1960</v>
      </c>
      <c r="T232" t="str">
        <f>IFERROR(VLOOKUP(ROWS($T$3:T232),$R$3:$S$992,2,0),"")</f>
        <v>Výroba sportovních potřeb</v>
      </c>
      <c r="U232">
        <f>IF(ISNUMBER(SEARCH('1Př1'!$A$36,N232)),MAX($M$2:M231)+1,0)</f>
        <v>230</v>
      </c>
      <c r="V232" s="419" t="s">
        <v>1960</v>
      </c>
      <c r="W232" t="str">
        <f>IFERROR(VLOOKUP(ROWS($W$3:W232),$U$3:$V$992,2,0),"")</f>
        <v>Výroba sportovních potřeb</v>
      </c>
      <c r="X232">
        <f>IF(ISNUMBER(SEARCH('1Př1'!$A$37,N232)),MAX($M$2:M231)+1,0)</f>
        <v>230</v>
      </c>
      <c r="Y232" s="419" t="s">
        <v>1960</v>
      </c>
      <c r="Z232" t="str">
        <f>IFERROR(VLOOKUP(ROWS($Z$3:Z232),$X$3:$Y$992,2,0),"")</f>
        <v>Výroba sportovních potřeb</v>
      </c>
    </row>
    <row r="233" spans="10:26" ht="12.75">
      <c r="J233" s="430" t="s">
        <v>1962</v>
      </c>
      <c r="K233" s="417" t="s">
        <v>1963</v>
      </c>
      <c r="M233" s="418">
        <f>IF(ISNUMBER(SEARCH(ZAKL_DATA!$B$29,N233)),MAX($M$2:M232)+1,0)</f>
        <v>231</v>
      </c>
      <c r="N233" s="419" t="s">
        <v>1964</v>
      </c>
      <c r="O233" s="436" t="s">
        <v>1965</v>
      </c>
      <c r="P233" s="421"/>
      <c r="Q233" s="422" t="str">
        <f>IFERROR(VLOOKUP(ROWS($Q$3:Q233),$M$3:$N$992,2,0),"")</f>
        <v>Výroba her a hraček</v>
      </c>
      <c r="R233">
        <f>IF(ISNUMBER(SEARCH('1Př1'!$A$35,N233)),MAX($M$2:M232)+1,0)</f>
        <v>231</v>
      </c>
      <c r="S233" s="419" t="s">
        <v>1964</v>
      </c>
      <c r="T233" t="str">
        <f>IFERROR(VLOOKUP(ROWS($T$3:T233),$R$3:$S$992,2,0),"")</f>
        <v>Výroba her a hraček</v>
      </c>
      <c r="U233">
        <f>IF(ISNUMBER(SEARCH('1Př1'!$A$36,N233)),MAX($M$2:M232)+1,0)</f>
        <v>231</v>
      </c>
      <c r="V233" s="419" t="s">
        <v>1964</v>
      </c>
      <c r="W233" t="str">
        <f>IFERROR(VLOOKUP(ROWS($W$3:W233),$U$3:$V$992,2,0),"")</f>
        <v>Výroba her a hraček</v>
      </c>
      <c r="X233">
        <f>IF(ISNUMBER(SEARCH('1Př1'!$A$37,N233)),MAX($M$2:M232)+1,0)</f>
        <v>231</v>
      </c>
      <c r="Y233" s="419" t="s">
        <v>1964</v>
      </c>
      <c r="Z233" t="str">
        <f>IFERROR(VLOOKUP(ROWS($Z$3:Z233),$X$3:$Y$992,2,0),"")</f>
        <v>Výroba her a hraček</v>
      </c>
    </row>
    <row r="234" spans="10:26" ht="12.75">
      <c r="J234" s="430" t="s">
        <v>1966</v>
      </c>
      <c r="K234" s="417" t="s">
        <v>1967</v>
      </c>
      <c r="M234" s="418">
        <f>IF(ISNUMBER(SEARCH(ZAKL_DATA!$B$29,N234)),MAX($M$2:M233)+1,0)</f>
        <v>232</v>
      </c>
      <c r="N234" s="419" t="s">
        <v>1968</v>
      </c>
      <c r="O234" s="436" t="s">
        <v>1969</v>
      </c>
      <c r="P234" s="421"/>
      <c r="Q234" s="422" t="str">
        <f>IFERROR(VLOOKUP(ROWS($Q$3:Q234),$M$3:$N$992,2,0),"")</f>
        <v>Výroba lékařských a dentálních nástrojů a potřeb</v>
      </c>
      <c r="R234">
        <f>IF(ISNUMBER(SEARCH('1Př1'!$A$35,N234)),MAX($M$2:M233)+1,0)</f>
        <v>232</v>
      </c>
      <c r="S234" s="419" t="s">
        <v>1968</v>
      </c>
      <c r="T234" t="str">
        <f>IFERROR(VLOOKUP(ROWS($T$3:T234),$R$3:$S$992,2,0),"")</f>
        <v>Výroba lékařských a dentálních nástrojů a potřeb</v>
      </c>
      <c r="U234">
        <f>IF(ISNUMBER(SEARCH('1Př1'!$A$36,N234)),MAX($M$2:M233)+1,0)</f>
        <v>232</v>
      </c>
      <c r="V234" s="419" t="s">
        <v>1968</v>
      </c>
      <c r="W234" t="str">
        <f>IFERROR(VLOOKUP(ROWS($W$3:W234),$U$3:$V$992,2,0),"")</f>
        <v>Výroba lékařských a dentálních nástrojů a potřeb</v>
      </c>
      <c r="X234">
        <f>IF(ISNUMBER(SEARCH('1Př1'!$A$37,N234)),MAX($M$2:M233)+1,0)</f>
        <v>232</v>
      </c>
      <c r="Y234" s="419" t="s">
        <v>1968</v>
      </c>
      <c r="Z234" t="str">
        <f>IFERROR(VLOOKUP(ROWS($Z$3:Z234),$X$3:$Y$992,2,0),"")</f>
        <v>Výroba lékařských a dentálních nástrojů a potřeb</v>
      </c>
    </row>
    <row r="235" spans="10:26" ht="12.75">
      <c r="J235" s="430" t="s">
        <v>1970</v>
      </c>
      <c r="K235" s="417" t="s">
        <v>1971</v>
      </c>
      <c r="M235" s="418">
        <f>IF(ISNUMBER(SEARCH(ZAKL_DATA!$B$29,N235)),MAX($M$2:M234)+1,0)</f>
        <v>233</v>
      </c>
      <c r="N235" s="419" t="s">
        <v>1972</v>
      </c>
      <c r="O235" s="436" t="s">
        <v>1973</v>
      </c>
      <c r="P235" s="421"/>
      <c r="Q235" s="422" t="str">
        <f>IFERROR(VLOOKUP(ROWS($Q$3:Q235),$M$3:$N$992,2,0),"")</f>
        <v>Zpracovatelský průmysl j. n.</v>
      </c>
      <c r="R235">
        <f>IF(ISNUMBER(SEARCH('1Př1'!$A$35,N235)),MAX($M$2:M234)+1,0)</f>
        <v>233</v>
      </c>
      <c r="S235" s="419" t="s">
        <v>1972</v>
      </c>
      <c r="T235" t="str">
        <f>IFERROR(VLOOKUP(ROWS($T$3:T235),$R$3:$S$992,2,0),"")</f>
        <v>Zpracovatelský průmysl j. n.</v>
      </c>
      <c r="U235">
        <f>IF(ISNUMBER(SEARCH('1Př1'!$A$36,N235)),MAX($M$2:M234)+1,0)</f>
        <v>233</v>
      </c>
      <c r="V235" s="419" t="s">
        <v>1972</v>
      </c>
      <c r="W235" t="str">
        <f>IFERROR(VLOOKUP(ROWS($W$3:W235),$U$3:$V$992,2,0),"")</f>
        <v>Zpracovatelský průmysl j. n.</v>
      </c>
      <c r="X235">
        <f>IF(ISNUMBER(SEARCH('1Př1'!$A$37,N235)),MAX($M$2:M234)+1,0)</f>
        <v>233</v>
      </c>
      <c r="Y235" s="419" t="s">
        <v>1972</v>
      </c>
      <c r="Z235" t="str">
        <f>IFERROR(VLOOKUP(ROWS($Z$3:Z235),$X$3:$Y$992,2,0),"")</f>
        <v>Zpracovatelský průmysl j. n.</v>
      </c>
    </row>
    <row r="236" spans="10:26" ht="12.75">
      <c r="J236" s="430" t="s">
        <v>1974</v>
      </c>
      <c r="K236" s="417" t="s">
        <v>1975</v>
      </c>
      <c r="M236" s="418">
        <f>IF(ISNUMBER(SEARCH(ZAKL_DATA!$B$29,N236)),MAX($M$2:M235)+1,0)</f>
        <v>234</v>
      </c>
      <c r="N236" s="419" t="s">
        <v>1976</v>
      </c>
      <c r="O236" s="436" t="s">
        <v>1977</v>
      </c>
      <c r="P236" s="421"/>
      <c r="Q236" s="422" t="str">
        <f>IFERROR(VLOOKUP(ROWS($Q$3:Q236),$M$3:$N$992,2,0),"")</f>
        <v>Opravy kovodělných výrobků, strojů a zařízení</v>
      </c>
      <c r="R236">
        <f>IF(ISNUMBER(SEARCH('1Př1'!$A$35,N236)),MAX($M$2:M235)+1,0)</f>
        <v>234</v>
      </c>
      <c r="S236" s="419" t="s">
        <v>1976</v>
      </c>
      <c r="T236" t="str">
        <f>IFERROR(VLOOKUP(ROWS($T$3:T236),$R$3:$S$992,2,0),"")</f>
        <v>Opravy kovodělných výrobků, strojů a zařízení</v>
      </c>
      <c r="U236">
        <f>IF(ISNUMBER(SEARCH('1Př1'!$A$36,N236)),MAX($M$2:M235)+1,0)</f>
        <v>234</v>
      </c>
      <c r="V236" s="419" t="s">
        <v>1976</v>
      </c>
      <c r="W236" t="str">
        <f>IFERROR(VLOOKUP(ROWS($W$3:W236),$U$3:$V$992,2,0),"")</f>
        <v>Opravy kovodělných výrobků, strojů a zařízení</v>
      </c>
      <c r="X236">
        <f>IF(ISNUMBER(SEARCH('1Př1'!$A$37,N236)),MAX($M$2:M235)+1,0)</f>
        <v>234</v>
      </c>
      <c r="Y236" s="419" t="s">
        <v>1976</v>
      </c>
      <c r="Z236" t="str">
        <f>IFERROR(VLOOKUP(ROWS($Z$3:Z236),$X$3:$Y$992,2,0),"")</f>
        <v>Opravy kovodělných výrobků, strojů a zařízení</v>
      </c>
    </row>
    <row r="237" spans="10:26" ht="12.75">
      <c r="J237" s="429" t="s">
        <v>1978</v>
      </c>
      <c r="K237" s="417" t="s">
        <v>1979</v>
      </c>
      <c r="M237" s="418">
        <f>IF(ISNUMBER(SEARCH(ZAKL_DATA!$B$29,N237)),MAX($M$2:M236)+1,0)</f>
        <v>235</v>
      </c>
      <c r="N237" s="419" t="s">
        <v>1980</v>
      </c>
      <c r="O237" s="436" t="s">
        <v>1981</v>
      </c>
      <c r="P237" s="421"/>
      <c r="Q237" s="422" t="str">
        <f>IFERROR(VLOOKUP(ROWS($Q$3:Q237),$M$3:$N$992,2,0),"")</f>
        <v>Instalace průmyslových strojů a zařízení</v>
      </c>
      <c r="R237">
        <f>IF(ISNUMBER(SEARCH('1Př1'!$A$35,N237)),MAX($M$2:M236)+1,0)</f>
        <v>235</v>
      </c>
      <c r="S237" s="419" t="s">
        <v>1980</v>
      </c>
      <c r="T237" t="str">
        <f>IFERROR(VLOOKUP(ROWS($T$3:T237),$R$3:$S$992,2,0),"")</f>
        <v>Instalace průmyslových strojů a zařízení</v>
      </c>
      <c r="U237">
        <f>IF(ISNUMBER(SEARCH('1Př1'!$A$36,N237)),MAX($M$2:M236)+1,0)</f>
        <v>235</v>
      </c>
      <c r="V237" s="419" t="s">
        <v>1980</v>
      </c>
      <c r="W237" t="str">
        <f>IFERROR(VLOOKUP(ROWS($W$3:W237),$U$3:$V$992,2,0),"")</f>
        <v>Instalace průmyslových strojů a zařízení</v>
      </c>
      <c r="X237">
        <f>IF(ISNUMBER(SEARCH('1Př1'!$A$37,N237)),MAX($M$2:M236)+1,0)</f>
        <v>235</v>
      </c>
      <c r="Y237" s="419" t="s">
        <v>1980</v>
      </c>
      <c r="Z237" t="str">
        <f>IFERROR(VLOOKUP(ROWS($Z$3:Z237),$X$3:$Y$992,2,0),"")</f>
        <v>Instalace průmyslových strojů a zařízení</v>
      </c>
    </row>
    <row r="238" spans="10:26" ht="12.75">
      <c r="J238" s="430" t="s">
        <v>1982</v>
      </c>
      <c r="K238" s="417" t="s">
        <v>1983</v>
      </c>
      <c r="M238" s="418">
        <f>IF(ISNUMBER(SEARCH(ZAKL_DATA!$B$29,N238)),MAX($M$2:M237)+1,0)</f>
        <v>236</v>
      </c>
      <c r="N238" s="419" t="s">
        <v>1984</v>
      </c>
      <c r="O238" s="436" t="s">
        <v>1985</v>
      </c>
      <c r="P238" s="421"/>
      <c r="Q238" s="422" t="str">
        <f>IFERROR(VLOOKUP(ROWS($Q$3:Q238),$M$3:$N$992,2,0),"")</f>
        <v>Výroba, přenos a rozvod elektřiny</v>
      </c>
      <c r="R238">
        <f>IF(ISNUMBER(SEARCH('1Př1'!$A$35,N238)),MAX($M$2:M237)+1,0)</f>
        <v>236</v>
      </c>
      <c r="S238" s="419" t="s">
        <v>1984</v>
      </c>
      <c r="T238" t="str">
        <f>IFERROR(VLOOKUP(ROWS($T$3:T238),$R$3:$S$992,2,0),"")</f>
        <v>Výroba, přenos a rozvod elektřiny</v>
      </c>
      <c r="U238">
        <f>IF(ISNUMBER(SEARCH('1Př1'!$A$36,N238)),MAX($M$2:M237)+1,0)</f>
        <v>236</v>
      </c>
      <c r="V238" s="419" t="s">
        <v>1984</v>
      </c>
      <c r="W238" t="str">
        <f>IFERROR(VLOOKUP(ROWS($W$3:W238),$U$3:$V$992,2,0),"")</f>
        <v>Výroba, přenos a rozvod elektřiny</v>
      </c>
      <c r="X238">
        <f>IF(ISNUMBER(SEARCH('1Př1'!$A$37,N238)),MAX($M$2:M237)+1,0)</f>
        <v>236</v>
      </c>
      <c r="Y238" s="419" t="s">
        <v>1984</v>
      </c>
      <c r="Z238" t="str">
        <f>IFERROR(VLOOKUP(ROWS($Z$3:Z238),$X$3:$Y$992,2,0),"")</f>
        <v>Výroba, přenos a rozvod elektřiny</v>
      </c>
    </row>
    <row r="239" spans="10:26" ht="12.75">
      <c r="J239" s="430" t="s">
        <v>1986</v>
      </c>
      <c r="K239" s="417" t="s">
        <v>1987</v>
      </c>
      <c r="M239" s="418">
        <f>IF(ISNUMBER(SEARCH(ZAKL_DATA!$B$29,N239)),MAX($M$2:M238)+1,0)</f>
        <v>237</v>
      </c>
      <c r="N239" s="419" t="s">
        <v>1988</v>
      </c>
      <c r="O239" s="436" t="s">
        <v>1989</v>
      </c>
      <c r="P239" s="421"/>
      <c r="Q239" s="422" t="str">
        <f>IFERROR(VLOOKUP(ROWS($Q$3:Q239),$M$3:$N$992,2,0),"")</f>
        <v>Výroba plynu; rozvod plynných paliv prostřednictvím sítí</v>
      </c>
      <c r="R239">
        <f>IF(ISNUMBER(SEARCH('1Př1'!$A$35,N239)),MAX($M$2:M238)+1,0)</f>
        <v>237</v>
      </c>
      <c r="S239" s="419" t="s">
        <v>1988</v>
      </c>
      <c r="T239" t="str">
        <f>IFERROR(VLOOKUP(ROWS($T$3:T239),$R$3:$S$992,2,0),"")</f>
        <v>Výroba plynu; rozvod plynných paliv prostřednictvím sítí</v>
      </c>
      <c r="U239">
        <f>IF(ISNUMBER(SEARCH('1Př1'!$A$36,N239)),MAX($M$2:M238)+1,0)</f>
        <v>237</v>
      </c>
      <c r="V239" s="419" t="s">
        <v>1988</v>
      </c>
      <c r="W239" t="str">
        <f>IFERROR(VLOOKUP(ROWS($W$3:W239),$U$3:$V$992,2,0),"")</f>
        <v>Výroba plynu; rozvod plynných paliv prostřednictvím sítí</v>
      </c>
      <c r="X239">
        <f>IF(ISNUMBER(SEARCH('1Př1'!$A$37,N239)),MAX($M$2:M238)+1,0)</f>
        <v>237</v>
      </c>
      <c r="Y239" s="419" t="s">
        <v>1988</v>
      </c>
      <c r="Z239" t="str">
        <f>IFERROR(VLOOKUP(ROWS($Z$3:Z239),$X$3:$Y$992,2,0),"")</f>
        <v>Výroba plynu; rozvod plynných paliv prostřednictvím sítí</v>
      </c>
    </row>
    <row r="240" spans="10:26" ht="12.75">
      <c r="J240" s="430" t="s">
        <v>1990</v>
      </c>
      <c r="K240" s="417" t="s">
        <v>1991</v>
      </c>
      <c r="M240" s="418">
        <f>IF(ISNUMBER(SEARCH(ZAKL_DATA!$B$29,N240)),MAX($M$2:M239)+1,0)</f>
        <v>238</v>
      </c>
      <c r="N240" s="419" t="s">
        <v>1992</v>
      </c>
      <c r="O240" s="436" t="s">
        <v>1993</v>
      </c>
      <c r="P240" s="421"/>
      <c r="Q240" s="422" t="str">
        <f>IFERROR(VLOOKUP(ROWS($Q$3:Q240),$M$3:$N$992,2,0),"")</f>
        <v>Výroba a rozvod tepla a klimatizovaného vzduchu, výroba ledu</v>
      </c>
      <c r="R240">
        <f>IF(ISNUMBER(SEARCH('1Př1'!$A$35,N240)),MAX($M$2:M239)+1,0)</f>
        <v>238</v>
      </c>
      <c r="S240" s="419" t="s">
        <v>1992</v>
      </c>
      <c r="T240" t="str">
        <f>IFERROR(VLOOKUP(ROWS($T$3:T240),$R$3:$S$992,2,0),"")</f>
        <v>Výroba a rozvod tepla a klimatizovaného vzduchu, výroba ledu</v>
      </c>
      <c r="U240">
        <f>IF(ISNUMBER(SEARCH('1Př1'!$A$36,N240)),MAX($M$2:M239)+1,0)</f>
        <v>238</v>
      </c>
      <c r="V240" s="419" t="s">
        <v>1992</v>
      </c>
      <c r="W240" t="str">
        <f>IFERROR(VLOOKUP(ROWS($W$3:W240),$U$3:$V$992,2,0),"")</f>
        <v>Výroba a rozvod tepla a klimatizovaného vzduchu, výroba ledu</v>
      </c>
      <c r="X240">
        <f>IF(ISNUMBER(SEARCH('1Př1'!$A$37,N240)),MAX($M$2:M239)+1,0)</f>
        <v>238</v>
      </c>
      <c r="Y240" s="419" t="s">
        <v>1992</v>
      </c>
      <c r="Z240" t="str">
        <f>IFERROR(VLOOKUP(ROWS($Z$3:Z240),$X$3:$Y$992,2,0),"")</f>
        <v>Výroba a rozvod tepla a klimatizovaného vzduchu, výroba ledu</v>
      </c>
    </row>
    <row r="241" spans="10:26" ht="12.75">
      <c r="J241" s="430" t="s">
        <v>1994</v>
      </c>
      <c r="K241" s="417" t="s">
        <v>1995</v>
      </c>
      <c r="M241" s="418">
        <f>IF(ISNUMBER(SEARCH(ZAKL_DATA!$B$29,N241)),MAX($M$2:M240)+1,0)</f>
        <v>239</v>
      </c>
      <c r="N241" s="419" t="s">
        <v>1996</v>
      </c>
      <c r="O241" s="436" t="s">
        <v>1997</v>
      </c>
      <c r="P241" s="421"/>
      <c r="Q241" s="422" t="str">
        <f>IFERROR(VLOOKUP(ROWS($Q$3:Q241),$M$3:$N$992,2,0),"")</f>
        <v>Shromažďování a sběr odpadů</v>
      </c>
      <c r="R241">
        <f>IF(ISNUMBER(SEARCH('1Př1'!$A$35,N241)),MAX($M$2:M240)+1,0)</f>
        <v>239</v>
      </c>
      <c r="S241" s="419" t="s">
        <v>1996</v>
      </c>
      <c r="T241" t="str">
        <f>IFERROR(VLOOKUP(ROWS($T$3:T241),$R$3:$S$992,2,0),"")</f>
        <v>Shromažďování a sběr odpadů</v>
      </c>
      <c r="U241">
        <f>IF(ISNUMBER(SEARCH('1Př1'!$A$36,N241)),MAX($M$2:M240)+1,0)</f>
        <v>239</v>
      </c>
      <c r="V241" s="419" t="s">
        <v>1996</v>
      </c>
      <c r="W241" t="str">
        <f>IFERROR(VLOOKUP(ROWS($W$3:W241),$U$3:$V$992,2,0),"")</f>
        <v>Shromažďování a sběr odpadů</v>
      </c>
      <c r="X241">
        <f>IF(ISNUMBER(SEARCH('1Př1'!$A$37,N241)),MAX($M$2:M240)+1,0)</f>
        <v>239</v>
      </c>
      <c r="Y241" s="419" t="s">
        <v>1996</v>
      </c>
      <c r="Z241" t="str">
        <f>IFERROR(VLOOKUP(ROWS($Z$3:Z241),$X$3:$Y$992,2,0),"")</f>
        <v>Shromažďování a sběr odpadů</v>
      </c>
    </row>
    <row r="242" spans="10:26" ht="12.75">
      <c r="J242" s="430" t="s">
        <v>1998</v>
      </c>
      <c r="K242" s="417" t="s">
        <v>1999</v>
      </c>
      <c r="M242" s="418">
        <f>IF(ISNUMBER(SEARCH(ZAKL_DATA!$B$29,N242)),MAX($M$2:M241)+1,0)</f>
        <v>240</v>
      </c>
      <c r="N242" s="419" t="s">
        <v>2000</v>
      </c>
      <c r="O242" s="436" t="s">
        <v>2001</v>
      </c>
      <c r="P242" s="421"/>
      <c r="Q242" s="422" t="str">
        <f>IFERROR(VLOOKUP(ROWS($Q$3:Q242),$M$3:$N$992,2,0),"")</f>
        <v>Odstraňování odpadů</v>
      </c>
      <c r="R242">
        <f>IF(ISNUMBER(SEARCH('1Př1'!$A$35,N242)),MAX($M$2:M241)+1,0)</f>
        <v>240</v>
      </c>
      <c r="S242" s="419" t="s">
        <v>2000</v>
      </c>
      <c r="T242" t="str">
        <f>IFERROR(VLOOKUP(ROWS($T$3:T242),$R$3:$S$992,2,0),"")</f>
        <v>Odstraňování odpadů</v>
      </c>
      <c r="U242">
        <f>IF(ISNUMBER(SEARCH('1Př1'!$A$36,N242)),MAX($M$2:M241)+1,0)</f>
        <v>240</v>
      </c>
      <c r="V242" s="419" t="s">
        <v>2000</v>
      </c>
      <c r="W242" t="str">
        <f>IFERROR(VLOOKUP(ROWS($W$3:W242),$U$3:$V$992,2,0),"")</f>
        <v>Odstraňování odpadů</v>
      </c>
      <c r="X242">
        <f>IF(ISNUMBER(SEARCH('1Př1'!$A$37,N242)),MAX($M$2:M241)+1,0)</f>
        <v>240</v>
      </c>
      <c r="Y242" s="419" t="s">
        <v>2000</v>
      </c>
      <c r="Z242" t="str">
        <f>IFERROR(VLOOKUP(ROWS($Z$3:Z242),$X$3:$Y$992,2,0),"")</f>
        <v>Odstraňování odpadů</v>
      </c>
    </row>
    <row r="243" spans="10:26" ht="12.75">
      <c r="J243" s="430" t="s">
        <v>2002</v>
      </c>
      <c r="K243" s="417" t="s">
        <v>2003</v>
      </c>
      <c r="M243" s="418">
        <f>IF(ISNUMBER(SEARCH(ZAKL_DATA!$B$29,N243)),MAX($M$2:M242)+1,0)</f>
        <v>241</v>
      </c>
      <c r="N243" s="419" t="s">
        <v>2004</v>
      </c>
      <c r="O243" s="436" t="s">
        <v>2005</v>
      </c>
      <c r="P243" s="421"/>
      <c r="Q243" s="422" t="str">
        <f>IFERROR(VLOOKUP(ROWS($Q$3:Q243),$M$3:$N$992,2,0),"")</f>
        <v>Úprava odpadů k dalšímu využití</v>
      </c>
      <c r="R243">
        <f>IF(ISNUMBER(SEARCH('1Př1'!$A$35,N243)),MAX($M$2:M242)+1,0)</f>
        <v>241</v>
      </c>
      <c r="S243" s="419" t="s">
        <v>2004</v>
      </c>
      <c r="T243" t="str">
        <f>IFERROR(VLOOKUP(ROWS($T$3:T243),$R$3:$S$992,2,0),"")</f>
        <v>Úprava odpadů k dalšímu využití</v>
      </c>
      <c r="U243">
        <f>IF(ISNUMBER(SEARCH('1Př1'!$A$36,N243)),MAX($M$2:M242)+1,0)</f>
        <v>241</v>
      </c>
      <c r="V243" s="419" t="s">
        <v>2004</v>
      </c>
      <c r="W243" t="str">
        <f>IFERROR(VLOOKUP(ROWS($W$3:W243),$U$3:$V$992,2,0),"")</f>
        <v>Úprava odpadů k dalšímu využití</v>
      </c>
      <c r="X243">
        <f>IF(ISNUMBER(SEARCH('1Př1'!$A$37,N243)),MAX($M$2:M242)+1,0)</f>
        <v>241</v>
      </c>
      <c r="Y243" s="419" t="s">
        <v>2004</v>
      </c>
      <c r="Z243" t="str">
        <f>IFERROR(VLOOKUP(ROWS($Z$3:Z243),$X$3:$Y$992,2,0),"")</f>
        <v>Úprava odpadů k dalšímu využití</v>
      </c>
    </row>
    <row r="244" spans="10:26" ht="12.75">
      <c r="J244" s="430" t="s">
        <v>2006</v>
      </c>
      <c r="K244" s="417" t="s">
        <v>2007</v>
      </c>
      <c r="M244" s="418">
        <f>IF(ISNUMBER(SEARCH(ZAKL_DATA!$B$29,N244)),MAX($M$2:M243)+1,0)</f>
        <v>242</v>
      </c>
      <c r="N244" s="419" t="s">
        <v>2008</v>
      </c>
      <c r="O244" s="436" t="s">
        <v>2009</v>
      </c>
      <c r="P244" s="421"/>
      <c r="Q244" s="422" t="str">
        <f>IFERROR(VLOOKUP(ROWS($Q$3:Q244),$M$3:$N$992,2,0),"")</f>
        <v>Developerská činnost</v>
      </c>
      <c r="R244">
        <f>IF(ISNUMBER(SEARCH('1Př1'!$A$35,N244)),MAX($M$2:M243)+1,0)</f>
        <v>242</v>
      </c>
      <c r="S244" s="419" t="s">
        <v>2008</v>
      </c>
      <c r="T244" t="str">
        <f>IFERROR(VLOOKUP(ROWS($T$3:T244),$R$3:$S$992,2,0),"")</f>
        <v>Developerská činnost</v>
      </c>
      <c r="U244">
        <f>IF(ISNUMBER(SEARCH('1Př1'!$A$36,N244)),MAX($M$2:M243)+1,0)</f>
        <v>242</v>
      </c>
      <c r="V244" s="419" t="s">
        <v>2008</v>
      </c>
      <c r="W244" t="str">
        <f>IFERROR(VLOOKUP(ROWS($W$3:W244),$U$3:$V$992,2,0),"")</f>
        <v>Developerská činnost</v>
      </c>
      <c r="X244">
        <f>IF(ISNUMBER(SEARCH('1Př1'!$A$37,N244)),MAX($M$2:M243)+1,0)</f>
        <v>242</v>
      </c>
      <c r="Y244" s="419" t="s">
        <v>2008</v>
      </c>
      <c r="Z244" t="str">
        <f>IFERROR(VLOOKUP(ROWS($Z$3:Z244),$X$3:$Y$992,2,0),"")</f>
        <v>Developerská činnost</v>
      </c>
    </row>
    <row r="245" spans="10:26" ht="12.75">
      <c r="J245" s="430" t="s">
        <v>2010</v>
      </c>
      <c r="K245" s="417" t="s">
        <v>2011</v>
      </c>
      <c r="M245" s="418">
        <f>IF(ISNUMBER(SEARCH(ZAKL_DATA!$B$29,N245)),MAX($M$2:M244)+1,0)</f>
        <v>243</v>
      </c>
      <c r="N245" s="419" t="s">
        <v>2012</v>
      </c>
      <c r="O245" s="436" t="s">
        <v>2013</v>
      </c>
      <c r="P245" s="421"/>
      <c r="Q245" s="422" t="str">
        <f>IFERROR(VLOOKUP(ROWS($Q$3:Q245),$M$3:$N$992,2,0),"")</f>
        <v>Výstavba bytových a nebytových budov</v>
      </c>
      <c r="R245">
        <f>IF(ISNUMBER(SEARCH('1Př1'!$A$35,N245)),MAX($M$2:M244)+1,0)</f>
        <v>243</v>
      </c>
      <c r="S245" s="419" t="s">
        <v>2012</v>
      </c>
      <c r="T245" t="str">
        <f>IFERROR(VLOOKUP(ROWS($T$3:T245),$R$3:$S$992,2,0),"")</f>
        <v>Výstavba bytových a nebytových budov</v>
      </c>
      <c r="U245">
        <f>IF(ISNUMBER(SEARCH('1Př1'!$A$36,N245)),MAX($M$2:M244)+1,0)</f>
        <v>243</v>
      </c>
      <c r="V245" s="419" t="s">
        <v>2012</v>
      </c>
      <c r="W245" t="str">
        <f>IFERROR(VLOOKUP(ROWS($W$3:W245),$U$3:$V$992,2,0),"")</f>
        <v>Výstavba bytových a nebytových budov</v>
      </c>
      <c r="X245">
        <f>IF(ISNUMBER(SEARCH('1Př1'!$A$37,N245)),MAX($M$2:M244)+1,0)</f>
        <v>243</v>
      </c>
      <c r="Y245" s="419" t="s">
        <v>2012</v>
      </c>
      <c r="Z245" t="str">
        <f>IFERROR(VLOOKUP(ROWS($Z$3:Z245),$X$3:$Y$992,2,0),"")</f>
        <v>Výstavba bytových a nebytových budov</v>
      </c>
    </row>
    <row r="246" spans="10:26" ht="12.75">
      <c r="J246" s="430" t="s">
        <v>2014</v>
      </c>
      <c r="K246" s="417" t="s">
        <v>2015</v>
      </c>
      <c r="M246" s="418">
        <f>IF(ISNUMBER(SEARCH(ZAKL_DATA!$B$29,N246)),MAX($M$2:M245)+1,0)</f>
        <v>244</v>
      </c>
      <c r="N246" s="419" t="s">
        <v>2016</v>
      </c>
      <c r="O246" s="436" t="s">
        <v>2017</v>
      </c>
      <c r="P246" s="421"/>
      <c r="Q246" s="422" t="str">
        <f>IFERROR(VLOOKUP(ROWS($Q$3:Q246),$M$3:$N$992,2,0),"")</f>
        <v>Výstavba silnic a železnic</v>
      </c>
      <c r="R246">
        <f>IF(ISNUMBER(SEARCH('1Př1'!$A$35,N246)),MAX($M$2:M245)+1,0)</f>
        <v>244</v>
      </c>
      <c r="S246" s="419" t="s">
        <v>2016</v>
      </c>
      <c r="T246" t="str">
        <f>IFERROR(VLOOKUP(ROWS($T$3:T246),$R$3:$S$992,2,0),"")</f>
        <v>Výstavba silnic a železnic</v>
      </c>
      <c r="U246">
        <f>IF(ISNUMBER(SEARCH('1Př1'!$A$36,N246)),MAX($M$2:M245)+1,0)</f>
        <v>244</v>
      </c>
      <c r="V246" s="419" t="s">
        <v>2016</v>
      </c>
      <c r="W246" t="str">
        <f>IFERROR(VLOOKUP(ROWS($W$3:W246),$U$3:$V$992,2,0),"")</f>
        <v>Výstavba silnic a železnic</v>
      </c>
      <c r="X246">
        <f>IF(ISNUMBER(SEARCH('1Př1'!$A$37,N246)),MAX($M$2:M245)+1,0)</f>
        <v>244</v>
      </c>
      <c r="Y246" s="419" t="s">
        <v>2016</v>
      </c>
      <c r="Z246" t="str">
        <f>IFERROR(VLOOKUP(ROWS($Z$3:Z246),$X$3:$Y$992,2,0),"")</f>
        <v>Výstavba silnic a železnic</v>
      </c>
    </row>
    <row r="247" spans="10:26" ht="12.75">
      <c r="J247" s="430" t="s">
        <v>2018</v>
      </c>
      <c r="K247" s="417" t="s">
        <v>2019</v>
      </c>
      <c r="M247" s="418">
        <f>IF(ISNUMBER(SEARCH(ZAKL_DATA!$B$29,N247)),MAX($M$2:M246)+1,0)</f>
        <v>245</v>
      </c>
      <c r="N247" s="419" t="s">
        <v>2020</v>
      </c>
      <c r="O247" s="436" t="s">
        <v>2021</v>
      </c>
      <c r="P247" s="421"/>
      <c r="Q247" s="422" t="str">
        <f>IFERROR(VLOOKUP(ROWS($Q$3:Q247),$M$3:$N$992,2,0),"")</f>
        <v>Výstavba inženýrských sítí</v>
      </c>
      <c r="R247">
        <f>IF(ISNUMBER(SEARCH('1Př1'!$A$35,N247)),MAX($M$2:M246)+1,0)</f>
        <v>245</v>
      </c>
      <c r="S247" s="419" t="s">
        <v>2020</v>
      </c>
      <c r="T247" t="str">
        <f>IFERROR(VLOOKUP(ROWS($T$3:T247),$R$3:$S$992,2,0),"")</f>
        <v>Výstavba inženýrských sítí</v>
      </c>
      <c r="U247">
        <f>IF(ISNUMBER(SEARCH('1Př1'!$A$36,N247)),MAX($M$2:M246)+1,0)</f>
        <v>245</v>
      </c>
      <c r="V247" s="419" t="s">
        <v>2020</v>
      </c>
      <c r="W247" t="str">
        <f>IFERROR(VLOOKUP(ROWS($W$3:W247),$U$3:$V$992,2,0),"")</f>
        <v>Výstavba inženýrských sítí</v>
      </c>
      <c r="X247">
        <f>IF(ISNUMBER(SEARCH('1Př1'!$A$37,N247)),MAX($M$2:M246)+1,0)</f>
        <v>245</v>
      </c>
      <c r="Y247" s="419" t="s">
        <v>2020</v>
      </c>
      <c r="Z247" t="str">
        <f>IFERROR(VLOOKUP(ROWS($Z$3:Z247),$X$3:$Y$992,2,0),"")</f>
        <v>Výstavba inženýrských sítí</v>
      </c>
    </row>
    <row r="248" spans="10:26" ht="12.75">
      <c r="J248" s="430" t="s">
        <v>2022</v>
      </c>
      <c r="K248" s="417" t="s">
        <v>2023</v>
      </c>
      <c r="M248" s="418">
        <f>IF(ISNUMBER(SEARCH(ZAKL_DATA!$B$29,N248)),MAX($M$2:M247)+1,0)</f>
        <v>246</v>
      </c>
      <c r="N248" s="419" t="s">
        <v>2024</v>
      </c>
      <c r="O248" s="436" t="s">
        <v>2025</v>
      </c>
      <c r="P248" s="421"/>
      <c r="Q248" s="422" t="str">
        <f>IFERROR(VLOOKUP(ROWS($Q$3:Q248),$M$3:$N$992,2,0),"")</f>
        <v>Výstavba ostatních staveb</v>
      </c>
      <c r="R248">
        <f>IF(ISNUMBER(SEARCH('1Př1'!$A$35,N248)),MAX($M$2:M247)+1,0)</f>
        <v>246</v>
      </c>
      <c r="S248" s="419" t="s">
        <v>2024</v>
      </c>
      <c r="T248" t="str">
        <f>IFERROR(VLOOKUP(ROWS($T$3:T248),$R$3:$S$992,2,0),"")</f>
        <v>Výstavba ostatních staveb</v>
      </c>
      <c r="U248">
        <f>IF(ISNUMBER(SEARCH('1Př1'!$A$36,N248)),MAX($M$2:M247)+1,0)</f>
        <v>246</v>
      </c>
      <c r="V248" s="419" t="s">
        <v>2024</v>
      </c>
      <c r="W248" t="str">
        <f>IFERROR(VLOOKUP(ROWS($W$3:W248),$U$3:$V$992,2,0),"")</f>
        <v>Výstavba ostatních staveb</v>
      </c>
      <c r="X248">
        <f>IF(ISNUMBER(SEARCH('1Př1'!$A$37,N248)),MAX($M$2:M247)+1,0)</f>
        <v>246</v>
      </c>
      <c r="Y248" s="419" t="s">
        <v>2024</v>
      </c>
      <c r="Z248" t="str">
        <f>IFERROR(VLOOKUP(ROWS($Z$3:Z248),$X$3:$Y$992,2,0),"")</f>
        <v>Výstavba ostatních staveb</v>
      </c>
    </row>
    <row r="249" spans="10:26" ht="12.75">
      <c r="J249" s="430" t="s">
        <v>2026</v>
      </c>
      <c r="K249" s="417" t="s">
        <v>2027</v>
      </c>
      <c r="M249" s="418">
        <f>IF(ISNUMBER(SEARCH(ZAKL_DATA!$B$29,N249)),MAX($M$2:M248)+1,0)</f>
        <v>247</v>
      </c>
      <c r="N249" s="419" t="s">
        <v>2028</v>
      </c>
      <c r="O249" s="436" t="s">
        <v>2029</v>
      </c>
      <c r="P249" s="421"/>
      <c r="Q249" s="422" t="str">
        <f>IFERROR(VLOOKUP(ROWS($Q$3:Q249),$M$3:$N$992,2,0),"")</f>
        <v>Demolice a příprava staveniště</v>
      </c>
      <c r="R249">
        <f>IF(ISNUMBER(SEARCH('1Př1'!$A$35,N249)),MAX($M$2:M248)+1,0)</f>
        <v>247</v>
      </c>
      <c r="S249" s="419" t="s">
        <v>2028</v>
      </c>
      <c r="T249" t="str">
        <f>IFERROR(VLOOKUP(ROWS($T$3:T249),$R$3:$S$992,2,0),"")</f>
        <v>Demolice a příprava staveniště</v>
      </c>
      <c r="U249">
        <f>IF(ISNUMBER(SEARCH('1Př1'!$A$36,N249)),MAX($M$2:M248)+1,0)</f>
        <v>247</v>
      </c>
      <c r="V249" s="419" t="s">
        <v>2028</v>
      </c>
      <c r="W249" t="str">
        <f>IFERROR(VLOOKUP(ROWS($W$3:W249),$U$3:$V$992,2,0),"")</f>
        <v>Demolice a příprava staveniště</v>
      </c>
      <c r="X249">
        <f>IF(ISNUMBER(SEARCH('1Př1'!$A$37,N249)),MAX($M$2:M248)+1,0)</f>
        <v>247</v>
      </c>
      <c r="Y249" s="419" t="s">
        <v>2028</v>
      </c>
      <c r="Z249" t="str">
        <f>IFERROR(VLOOKUP(ROWS($Z$3:Z249),$X$3:$Y$992,2,0),"")</f>
        <v>Demolice a příprava staveniště</v>
      </c>
    </row>
    <row r="250" spans="10:26" ht="12.75">
      <c r="J250" s="430" t="s">
        <v>2030</v>
      </c>
      <c r="K250" s="417" t="s">
        <v>2031</v>
      </c>
      <c r="M250" s="418">
        <f>IF(ISNUMBER(SEARCH(ZAKL_DATA!$B$29,N250)),MAX($M$2:M249)+1,0)</f>
        <v>248</v>
      </c>
      <c r="N250" s="419" t="s">
        <v>2032</v>
      </c>
      <c r="O250" s="436" t="s">
        <v>2033</v>
      </c>
      <c r="P250" s="421"/>
      <c r="Q250" s="422" t="str">
        <f>IFERROR(VLOOKUP(ROWS($Q$3:Q250),$M$3:$N$992,2,0),"")</f>
        <v>Elektroinstalační, instalatérské a ostatní stavebně instalační práce</v>
      </c>
      <c r="R250">
        <f>IF(ISNUMBER(SEARCH('1Př1'!$A$35,N250)),MAX($M$2:M249)+1,0)</f>
        <v>248</v>
      </c>
      <c r="S250" s="419" t="s">
        <v>2032</v>
      </c>
      <c r="T250" t="str">
        <f>IFERROR(VLOOKUP(ROWS($T$3:T250),$R$3:$S$992,2,0),"")</f>
        <v>Elektroinstalační, instalatérské a ostatní stavebně instalační práce</v>
      </c>
      <c r="U250">
        <f>IF(ISNUMBER(SEARCH('1Př1'!$A$36,N250)),MAX($M$2:M249)+1,0)</f>
        <v>248</v>
      </c>
      <c r="V250" s="419" t="s">
        <v>2032</v>
      </c>
      <c r="W250" t="str">
        <f>IFERROR(VLOOKUP(ROWS($W$3:W250),$U$3:$V$992,2,0),"")</f>
        <v>Elektroinstalační, instalatérské a ostatní stavebně instalační práce</v>
      </c>
      <c r="X250">
        <f>IF(ISNUMBER(SEARCH('1Př1'!$A$37,N250)),MAX($M$2:M249)+1,0)</f>
        <v>248</v>
      </c>
      <c r="Y250" s="419" t="s">
        <v>2032</v>
      </c>
      <c r="Z250" t="str">
        <f>IFERROR(VLOOKUP(ROWS($Z$3:Z250),$X$3:$Y$992,2,0),"")</f>
        <v>Elektroinstalační, instalatérské a ostatní stavebně instalační práce</v>
      </c>
    </row>
    <row r="251" spans="10:26" ht="12.75">
      <c r="J251" s="430" t="s">
        <v>2034</v>
      </c>
      <c r="K251" s="417" t="s">
        <v>2035</v>
      </c>
      <c r="M251" s="418">
        <f>IF(ISNUMBER(SEARCH(ZAKL_DATA!$B$29,N251)),MAX($M$2:M250)+1,0)</f>
        <v>249</v>
      </c>
      <c r="N251" s="419" t="s">
        <v>2036</v>
      </c>
      <c r="O251" s="436" t="s">
        <v>2037</v>
      </c>
      <c r="P251" s="421"/>
      <c r="Q251" s="422" t="str">
        <f>IFERROR(VLOOKUP(ROWS($Q$3:Q251),$M$3:$N$992,2,0),"")</f>
        <v>Kompletační a dokončovací práce</v>
      </c>
      <c r="R251">
        <f>IF(ISNUMBER(SEARCH('1Př1'!$A$35,N251)),MAX($M$2:M250)+1,0)</f>
        <v>249</v>
      </c>
      <c r="S251" s="419" t="s">
        <v>2036</v>
      </c>
      <c r="T251" t="str">
        <f>IFERROR(VLOOKUP(ROWS($T$3:T251),$R$3:$S$992,2,0),"")</f>
        <v>Kompletační a dokončovací práce</v>
      </c>
      <c r="U251">
        <f>IF(ISNUMBER(SEARCH('1Př1'!$A$36,N251)),MAX($M$2:M250)+1,0)</f>
        <v>249</v>
      </c>
      <c r="V251" s="419" t="s">
        <v>2036</v>
      </c>
      <c r="W251" t="str">
        <f>IFERROR(VLOOKUP(ROWS($W$3:W251),$U$3:$V$992,2,0),"")</f>
        <v>Kompletační a dokončovací práce</v>
      </c>
      <c r="X251">
        <f>IF(ISNUMBER(SEARCH('1Př1'!$A$37,N251)),MAX($M$2:M250)+1,0)</f>
        <v>249</v>
      </c>
      <c r="Y251" s="419" t="s">
        <v>2036</v>
      </c>
      <c r="Z251" t="str">
        <f>IFERROR(VLOOKUP(ROWS($Z$3:Z251),$X$3:$Y$992,2,0),"")</f>
        <v>Kompletační a dokončovací práce</v>
      </c>
    </row>
    <row r="252" spans="10:26" ht="12.75">
      <c r="J252" s="430" t="s">
        <v>2038</v>
      </c>
      <c r="K252" s="417" t="s">
        <v>2039</v>
      </c>
      <c r="M252" s="418">
        <f>IF(ISNUMBER(SEARCH(ZAKL_DATA!$B$29,N252)),MAX($M$2:M251)+1,0)</f>
        <v>250</v>
      </c>
      <c r="N252" s="419" t="s">
        <v>2040</v>
      </c>
      <c r="O252" s="436" t="s">
        <v>2041</v>
      </c>
      <c r="P252" s="421"/>
      <c r="Q252" s="422" t="str">
        <f>IFERROR(VLOOKUP(ROWS($Q$3:Q252),$M$3:$N$992,2,0),"")</f>
        <v>Ostatní specializované stavební činnosti</v>
      </c>
      <c r="R252">
        <f>IF(ISNUMBER(SEARCH('1Př1'!$A$35,N252)),MAX($M$2:M251)+1,0)</f>
        <v>250</v>
      </c>
      <c r="S252" s="419" t="s">
        <v>2040</v>
      </c>
      <c r="T252" t="str">
        <f>IFERROR(VLOOKUP(ROWS($T$3:T252),$R$3:$S$992,2,0),"")</f>
        <v>Ostatní specializované stavební činnosti</v>
      </c>
      <c r="U252">
        <f>IF(ISNUMBER(SEARCH('1Př1'!$A$36,N252)),MAX($M$2:M251)+1,0)</f>
        <v>250</v>
      </c>
      <c r="V252" s="419" t="s">
        <v>2040</v>
      </c>
      <c r="W252" t="str">
        <f>IFERROR(VLOOKUP(ROWS($W$3:W252),$U$3:$V$992,2,0),"")</f>
        <v>Ostatní specializované stavební činnosti</v>
      </c>
      <c r="X252">
        <f>IF(ISNUMBER(SEARCH('1Př1'!$A$37,N252)),MAX($M$2:M251)+1,0)</f>
        <v>250</v>
      </c>
      <c r="Y252" s="419" t="s">
        <v>2040</v>
      </c>
      <c r="Z252" t="str">
        <f>IFERROR(VLOOKUP(ROWS($Z$3:Z252),$X$3:$Y$992,2,0),"")</f>
        <v>Ostatní specializované stavební činnosti</v>
      </c>
    </row>
    <row r="253" spans="10:26" ht="13.5" thickBot="1">
      <c r="J253" s="443" t="s">
        <v>2042</v>
      </c>
      <c r="K253" s="417" t="s">
        <v>2043</v>
      </c>
      <c r="M253" s="418">
        <f>IF(ISNUMBER(SEARCH(ZAKL_DATA!$B$29,N253)),MAX($M$2:M252)+1,0)</f>
        <v>251</v>
      </c>
      <c r="N253" s="419" t="s">
        <v>2044</v>
      </c>
      <c r="O253" s="436" t="s">
        <v>2045</v>
      </c>
      <c r="P253" s="421"/>
      <c r="Q253" s="422" t="str">
        <f>IFERROR(VLOOKUP(ROWS($Q$3:Q253),$M$3:$N$992,2,0),"")</f>
        <v>Obchod s motorovými vozidly, kromě motocyklů</v>
      </c>
      <c r="R253">
        <f>IF(ISNUMBER(SEARCH('1Př1'!$A$35,N253)),MAX($M$2:M252)+1,0)</f>
        <v>251</v>
      </c>
      <c r="S253" s="419" t="s">
        <v>2044</v>
      </c>
      <c r="T253" t="str">
        <f>IFERROR(VLOOKUP(ROWS($T$3:T253),$R$3:$S$992,2,0),"")</f>
        <v>Obchod s motorovými vozidly, kromě motocyklů</v>
      </c>
      <c r="U253">
        <f>IF(ISNUMBER(SEARCH('1Př1'!$A$36,N253)),MAX($M$2:M252)+1,0)</f>
        <v>251</v>
      </c>
      <c r="V253" s="419" t="s">
        <v>2044</v>
      </c>
      <c r="W253" t="str">
        <f>IFERROR(VLOOKUP(ROWS($W$3:W253),$U$3:$V$992,2,0),"")</f>
        <v>Obchod s motorovými vozidly, kromě motocyklů</v>
      </c>
      <c r="X253">
        <f>IF(ISNUMBER(SEARCH('1Př1'!$A$37,N253)),MAX($M$2:M252)+1,0)</f>
        <v>251</v>
      </c>
      <c r="Y253" s="419" t="s">
        <v>2044</v>
      </c>
      <c r="Z253" t="str">
        <f>IFERROR(VLOOKUP(ROWS($Z$3:Z253),$X$3:$Y$992,2,0),"")</f>
        <v>Obchod s motorovými vozidly, kromě motocyklů</v>
      </c>
    </row>
    <row r="254" spans="13:26" ht="12.75">
      <c r="M254" s="418">
        <f>IF(ISNUMBER(SEARCH(ZAKL_DATA!$B$29,N254)),MAX($M$2:M253)+1,0)</f>
        <v>252</v>
      </c>
      <c r="N254" s="419" t="s">
        <v>2046</v>
      </c>
      <c r="O254" s="436" t="s">
        <v>2047</v>
      </c>
      <c r="P254" s="421"/>
      <c r="Q254" s="422" t="str">
        <f>IFERROR(VLOOKUP(ROWS($Q$3:Q254),$M$3:$N$992,2,0),"")</f>
        <v>Opravy a údržba motorových vozidel, kromě motocyklů</v>
      </c>
      <c r="R254">
        <f>IF(ISNUMBER(SEARCH('1Př1'!$A$35,N254)),MAX($M$2:M253)+1,0)</f>
        <v>252</v>
      </c>
      <c r="S254" s="419" t="s">
        <v>2046</v>
      </c>
      <c r="T254" t="str">
        <f>IFERROR(VLOOKUP(ROWS($T$3:T254),$R$3:$S$992,2,0),"")</f>
        <v>Opravy a údržba motorových vozidel, kromě motocyklů</v>
      </c>
      <c r="U254">
        <f>IF(ISNUMBER(SEARCH('1Př1'!$A$36,N254)),MAX($M$2:M253)+1,0)</f>
        <v>252</v>
      </c>
      <c r="V254" s="419" t="s">
        <v>2046</v>
      </c>
      <c r="W254" t="str">
        <f>IFERROR(VLOOKUP(ROWS($W$3:W254),$U$3:$V$992,2,0),"")</f>
        <v>Opravy a údržba motorových vozidel, kromě motocyklů</v>
      </c>
      <c r="X254">
        <f>IF(ISNUMBER(SEARCH('1Př1'!$A$37,N254)),MAX($M$2:M253)+1,0)</f>
        <v>252</v>
      </c>
      <c r="Y254" s="419" t="s">
        <v>2046</v>
      </c>
      <c r="Z254" t="str">
        <f>IFERROR(VLOOKUP(ROWS($Z$3:Z254),$X$3:$Y$992,2,0),"")</f>
        <v>Opravy a údržba motorových vozidel, kromě motocyklů</v>
      </c>
    </row>
    <row r="255" spans="13:26" ht="12.75">
      <c r="M255" s="418">
        <f>IF(ISNUMBER(SEARCH(ZAKL_DATA!$B$29,N255)),MAX($M$2:M254)+1,0)</f>
        <v>253</v>
      </c>
      <c r="N255" s="419" t="s">
        <v>2048</v>
      </c>
      <c r="O255" s="436" t="s">
        <v>2049</v>
      </c>
      <c r="P255" s="421"/>
      <c r="Q255" s="422" t="str">
        <f>IFERROR(VLOOKUP(ROWS($Q$3:Q255),$M$3:$N$992,2,0),"")</f>
        <v>Obchod s díly a příslušenstvím pro motorová vozidla, kromě motocyklů</v>
      </c>
      <c r="R255">
        <f>IF(ISNUMBER(SEARCH('1Př1'!$A$35,N255)),MAX($M$2:M254)+1,0)</f>
        <v>253</v>
      </c>
      <c r="S255" s="419" t="s">
        <v>2048</v>
      </c>
      <c r="T255" t="str">
        <f>IFERROR(VLOOKUP(ROWS($T$3:T255),$R$3:$S$992,2,0),"")</f>
        <v>Obchod s díly a příslušenstvím pro motorová vozidla, kromě motocyklů</v>
      </c>
      <c r="U255">
        <f>IF(ISNUMBER(SEARCH('1Př1'!$A$36,N255)),MAX($M$2:M254)+1,0)</f>
        <v>253</v>
      </c>
      <c r="V255" s="419" t="s">
        <v>2048</v>
      </c>
      <c r="W255" t="str">
        <f>IFERROR(VLOOKUP(ROWS($W$3:W255),$U$3:$V$992,2,0),"")</f>
        <v>Obchod s díly a příslušenstvím pro motorová vozidla, kromě motocyklů</v>
      </c>
      <c r="X255">
        <f>IF(ISNUMBER(SEARCH('1Př1'!$A$37,N255)),MAX($M$2:M254)+1,0)</f>
        <v>253</v>
      </c>
      <c r="Y255" s="419" t="s">
        <v>2048</v>
      </c>
      <c r="Z255" t="str">
        <f>IFERROR(VLOOKUP(ROWS($Z$3:Z255),$X$3:$Y$992,2,0),"")</f>
        <v>Obchod s díly a příslušenstvím pro motorová vozidla, kromě motocyklů</v>
      </c>
    </row>
    <row r="256" spans="13:26" ht="12.75">
      <c r="M256" s="418">
        <f>IF(ISNUMBER(SEARCH(ZAKL_DATA!$B$29,N256)),MAX($M$2:M255)+1,0)</f>
        <v>254</v>
      </c>
      <c r="N256" s="419" t="s">
        <v>2050</v>
      </c>
      <c r="O256" s="436" t="s">
        <v>2051</v>
      </c>
      <c r="P256" s="421"/>
      <c r="Q256" s="422" t="str">
        <f>IFERROR(VLOOKUP(ROWS($Q$3:Q256),$M$3:$N$992,2,0),"")</f>
        <v>Obchod, opravy a údržba motocyklů, jejich dílů a příslušenství</v>
      </c>
      <c r="R256">
        <f>IF(ISNUMBER(SEARCH('1Př1'!$A$35,N256)),MAX($M$2:M255)+1,0)</f>
        <v>254</v>
      </c>
      <c r="S256" s="419" t="s">
        <v>2050</v>
      </c>
      <c r="T256" t="str">
        <f>IFERROR(VLOOKUP(ROWS($T$3:T256),$R$3:$S$992,2,0),"")</f>
        <v>Obchod, opravy a údržba motocyklů, jejich dílů a příslušenství</v>
      </c>
      <c r="U256">
        <f>IF(ISNUMBER(SEARCH('1Př1'!$A$36,N256)),MAX($M$2:M255)+1,0)</f>
        <v>254</v>
      </c>
      <c r="V256" s="419" t="s">
        <v>2050</v>
      </c>
      <c r="W256" t="str">
        <f>IFERROR(VLOOKUP(ROWS($W$3:W256),$U$3:$V$992,2,0),"")</f>
        <v>Obchod, opravy a údržba motocyklů, jejich dílů a příslušenství</v>
      </c>
      <c r="X256">
        <f>IF(ISNUMBER(SEARCH('1Př1'!$A$37,N256)),MAX($M$2:M255)+1,0)</f>
        <v>254</v>
      </c>
      <c r="Y256" s="419" t="s">
        <v>2050</v>
      </c>
      <c r="Z256" t="str">
        <f>IFERROR(VLOOKUP(ROWS($Z$3:Z256),$X$3:$Y$992,2,0),"")</f>
        <v>Obchod, opravy a údržba motocyklů, jejich dílů a příslušenství</v>
      </c>
    </row>
    <row r="257" spans="13:26" ht="12.75">
      <c r="M257" s="418">
        <f>IF(ISNUMBER(SEARCH(ZAKL_DATA!$B$29,N257)),MAX($M$2:M256)+1,0)</f>
        <v>255</v>
      </c>
      <c r="N257" s="419" t="s">
        <v>2052</v>
      </c>
      <c r="O257" s="436" t="s">
        <v>2053</v>
      </c>
      <c r="P257" s="421"/>
      <c r="Q257" s="422" t="str">
        <f>IFERROR(VLOOKUP(ROWS($Q$3:Q257),$M$3:$N$992,2,0),"")</f>
        <v>Zprostředkování velkoobchodu a velkoobchod v zastoupení</v>
      </c>
      <c r="R257">
        <f>IF(ISNUMBER(SEARCH('1Př1'!$A$35,N257)),MAX($M$2:M256)+1,0)</f>
        <v>255</v>
      </c>
      <c r="S257" s="419" t="s">
        <v>2052</v>
      </c>
      <c r="T257" t="str">
        <f>IFERROR(VLOOKUP(ROWS($T$3:T257),$R$3:$S$992,2,0),"")</f>
        <v>Zprostředkování velkoobchodu a velkoobchod v zastoupení</v>
      </c>
      <c r="U257">
        <f>IF(ISNUMBER(SEARCH('1Př1'!$A$36,N257)),MAX($M$2:M256)+1,0)</f>
        <v>255</v>
      </c>
      <c r="V257" s="419" t="s">
        <v>2052</v>
      </c>
      <c r="W257" t="str">
        <f>IFERROR(VLOOKUP(ROWS($W$3:W257),$U$3:$V$992,2,0),"")</f>
        <v>Zprostředkování velkoobchodu a velkoobchod v zastoupení</v>
      </c>
      <c r="X257">
        <f>IF(ISNUMBER(SEARCH('1Př1'!$A$37,N257)),MAX($M$2:M256)+1,0)</f>
        <v>255</v>
      </c>
      <c r="Y257" s="419" t="s">
        <v>2052</v>
      </c>
      <c r="Z257" t="str">
        <f>IFERROR(VLOOKUP(ROWS($Z$3:Z257),$X$3:$Y$992,2,0),"")</f>
        <v>Zprostředkování velkoobchodu a velkoobchod v zastoupení</v>
      </c>
    </row>
    <row r="258" spans="13:26" ht="12.75">
      <c r="M258" s="418">
        <f>IF(ISNUMBER(SEARCH(ZAKL_DATA!$B$29,N258)),MAX($M$2:M257)+1,0)</f>
        <v>256</v>
      </c>
      <c r="N258" s="419" t="s">
        <v>2054</v>
      </c>
      <c r="O258" s="436" t="s">
        <v>2055</v>
      </c>
      <c r="P258" s="421"/>
      <c r="Q258" s="422" t="str">
        <f>IFERROR(VLOOKUP(ROWS($Q$3:Q258),$M$3:$N$992,2,0),"")</f>
        <v>Velkoobchod se základními zemědělskými produkty a živými zvířaty</v>
      </c>
      <c r="R258">
        <f>IF(ISNUMBER(SEARCH('1Př1'!$A$35,N258)),MAX($M$2:M257)+1,0)</f>
        <v>256</v>
      </c>
      <c r="S258" s="419" t="s">
        <v>2054</v>
      </c>
      <c r="T258" t="str">
        <f>IFERROR(VLOOKUP(ROWS($T$3:T258),$R$3:$S$992,2,0),"")</f>
        <v>Velkoobchod se základními zemědělskými produkty a živými zvířaty</v>
      </c>
      <c r="U258">
        <f>IF(ISNUMBER(SEARCH('1Př1'!$A$36,N258)),MAX($M$2:M257)+1,0)</f>
        <v>256</v>
      </c>
      <c r="V258" s="419" t="s">
        <v>2054</v>
      </c>
      <c r="W258" t="str">
        <f>IFERROR(VLOOKUP(ROWS($W$3:W258),$U$3:$V$992,2,0),"")</f>
        <v>Velkoobchod se základními zemědělskými produkty a živými zvířaty</v>
      </c>
      <c r="X258">
        <f>IF(ISNUMBER(SEARCH('1Př1'!$A$37,N258)),MAX($M$2:M257)+1,0)</f>
        <v>256</v>
      </c>
      <c r="Y258" s="419" t="s">
        <v>2054</v>
      </c>
      <c r="Z258" t="str">
        <f>IFERROR(VLOOKUP(ROWS($Z$3:Z258),$X$3:$Y$992,2,0),"")</f>
        <v>Velkoobchod se základními zemědělskými produkty a živými zvířaty</v>
      </c>
    </row>
    <row r="259" spans="13:26" ht="12.75">
      <c r="M259" s="418">
        <f>IF(ISNUMBER(SEARCH(ZAKL_DATA!$B$29,N259)),MAX($M$2:M258)+1,0)</f>
        <v>257</v>
      </c>
      <c r="N259" s="419" t="s">
        <v>2056</v>
      </c>
      <c r="O259" s="436" t="s">
        <v>2057</v>
      </c>
      <c r="P259" s="421"/>
      <c r="Q259" s="422" t="str">
        <f>IFERROR(VLOOKUP(ROWS($Q$3:Q259),$M$3:$N$992,2,0),"")</f>
        <v>Velkoobchod s potravinami, nápoji a tabákovými výrobky</v>
      </c>
      <c r="R259">
        <f>IF(ISNUMBER(SEARCH('1Př1'!$A$35,N259)),MAX($M$2:M258)+1,0)</f>
        <v>257</v>
      </c>
      <c r="S259" s="419" t="s">
        <v>2056</v>
      </c>
      <c r="T259" t="str">
        <f>IFERROR(VLOOKUP(ROWS($T$3:T259),$R$3:$S$992,2,0),"")</f>
        <v>Velkoobchod s potravinami, nápoji a tabákovými výrobky</v>
      </c>
      <c r="U259">
        <f>IF(ISNUMBER(SEARCH('1Př1'!$A$36,N259)),MAX($M$2:M258)+1,0)</f>
        <v>257</v>
      </c>
      <c r="V259" s="419" t="s">
        <v>2056</v>
      </c>
      <c r="W259" t="str">
        <f>IFERROR(VLOOKUP(ROWS($W$3:W259),$U$3:$V$992,2,0),"")</f>
        <v>Velkoobchod s potravinami, nápoji a tabákovými výrobky</v>
      </c>
      <c r="X259">
        <f>IF(ISNUMBER(SEARCH('1Př1'!$A$37,N259)),MAX($M$2:M258)+1,0)</f>
        <v>257</v>
      </c>
      <c r="Y259" s="419" t="s">
        <v>2056</v>
      </c>
      <c r="Z259" t="str">
        <f>IFERROR(VLOOKUP(ROWS($Z$3:Z259),$X$3:$Y$992,2,0),"")</f>
        <v>Velkoobchod s potravinami, nápoji a tabákovými výrobky</v>
      </c>
    </row>
    <row r="260" spans="13:26" ht="12.75">
      <c r="M260" s="418">
        <f>IF(ISNUMBER(SEARCH(ZAKL_DATA!$B$29,N260)),MAX($M$2:M259)+1,0)</f>
        <v>258</v>
      </c>
      <c r="N260" s="419" t="s">
        <v>2058</v>
      </c>
      <c r="O260" s="436" t="s">
        <v>2059</v>
      </c>
      <c r="P260" s="421"/>
      <c r="Q260" s="422" t="str">
        <f>IFERROR(VLOOKUP(ROWS($Q$3:Q260),$M$3:$N$992,2,0),"")</f>
        <v>Velkoobchod s výrobky převážně pro domácnost</v>
      </c>
      <c r="R260">
        <f>IF(ISNUMBER(SEARCH('1Př1'!$A$35,N260)),MAX($M$2:M259)+1,0)</f>
        <v>258</v>
      </c>
      <c r="S260" s="419" t="s">
        <v>2058</v>
      </c>
      <c r="T260" t="str">
        <f>IFERROR(VLOOKUP(ROWS($T$3:T260),$R$3:$S$992,2,0),"")</f>
        <v>Velkoobchod s výrobky převážně pro domácnost</v>
      </c>
      <c r="U260">
        <f>IF(ISNUMBER(SEARCH('1Př1'!$A$36,N260)),MAX($M$2:M259)+1,0)</f>
        <v>258</v>
      </c>
      <c r="V260" s="419" t="s">
        <v>2058</v>
      </c>
      <c r="W260" t="str">
        <f>IFERROR(VLOOKUP(ROWS($W$3:W260),$U$3:$V$992,2,0),"")</f>
        <v>Velkoobchod s výrobky převážně pro domácnost</v>
      </c>
      <c r="X260">
        <f>IF(ISNUMBER(SEARCH('1Př1'!$A$37,N260)),MAX($M$2:M259)+1,0)</f>
        <v>258</v>
      </c>
      <c r="Y260" s="419" t="s">
        <v>2058</v>
      </c>
      <c r="Z260" t="str">
        <f>IFERROR(VLOOKUP(ROWS($Z$3:Z260),$X$3:$Y$992,2,0),"")</f>
        <v>Velkoobchod s výrobky převážně pro domácnost</v>
      </c>
    </row>
    <row r="261" spans="13:26" ht="12.75">
      <c r="M261" s="418">
        <f>IF(ISNUMBER(SEARCH(ZAKL_DATA!$B$29,N261)),MAX($M$2:M260)+1,0)</f>
        <v>259</v>
      </c>
      <c r="N261" s="419" t="s">
        <v>2060</v>
      </c>
      <c r="O261" s="436" t="s">
        <v>2061</v>
      </c>
      <c r="P261" s="421"/>
      <c r="Q261" s="422" t="str">
        <f>IFERROR(VLOOKUP(ROWS($Q$3:Q261),$M$3:$N$992,2,0),"")</f>
        <v>Velkoobchod s počítačovým a komunikačním zařízením</v>
      </c>
      <c r="R261">
        <f>IF(ISNUMBER(SEARCH('1Př1'!$A$35,N261)),MAX($M$2:M260)+1,0)</f>
        <v>259</v>
      </c>
      <c r="S261" s="419" t="s">
        <v>2060</v>
      </c>
      <c r="T261" t="str">
        <f>IFERROR(VLOOKUP(ROWS($T$3:T261),$R$3:$S$992,2,0),"")</f>
        <v>Velkoobchod s počítačovým a komunikačním zařízením</v>
      </c>
      <c r="U261">
        <f>IF(ISNUMBER(SEARCH('1Př1'!$A$36,N261)),MAX($M$2:M260)+1,0)</f>
        <v>259</v>
      </c>
      <c r="V261" s="419" t="s">
        <v>2060</v>
      </c>
      <c r="W261" t="str">
        <f>IFERROR(VLOOKUP(ROWS($W$3:W261),$U$3:$V$992,2,0),"")</f>
        <v>Velkoobchod s počítačovým a komunikačním zařízením</v>
      </c>
      <c r="X261">
        <f>IF(ISNUMBER(SEARCH('1Př1'!$A$37,N261)),MAX($M$2:M260)+1,0)</f>
        <v>259</v>
      </c>
      <c r="Y261" s="419" t="s">
        <v>2060</v>
      </c>
      <c r="Z261" t="str">
        <f>IFERROR(VLOOKUP(ROWS($Z$3:Z261),$X$3:$Y$992,2,0),"")</f>
        <v>Velkoobchod s počítačovým a komunikačním zařízením</v>
      </c>
    </row>
    <row r="262" spans="13:26" ht="12.75">
      <c r="M262" s="418">
        <f>IF(ISNUMBER(SEARCH(ZAKL_DATA!$B$29,N262)),MAX($M$2:M261)+1,0)</f>
        <v>260</v>
      </c>
      <c r="N262" s="419" t="s">
        <v>2062</v>
      </c>
      <c r="O262" s="436" t="s">
        <v>2063</v>
      </c>
      <c r="P262" s="421"/>
      <c r="Q262" s="422" t="str">
        <f>IFERROR(VLOOKUP(ROWS($Q$3:Q262),$M$3:$N$992,2,0),"")</f>
        <v>Velkoobchod s ostatními stroji, strojním zařízením a příslušenstvím</v>
      </c>
      <c r="R262">
        <f>IF(ISNUMBER(SEARCH('1Př1'!$A$35,N262)),MAX($M$2:M261)+1,0)</f>
        <v>260</v>
      </c>
      <c r="S262" s="419" t="s">
        <v>2062</v>
      </c>
      <c r="T262" t="str">
        <f>IFERROR(VLOOKUP(ROWS($T$3:T262),$R$3:$S$992,2,0),"")</f>
        <v>Velkoobchod s ostatními stroji, strojním zařízením a příslušenstvím</v>
      </c>
      <c r="U262">
        <f>IF(ISNUMBER(SEARCH('1Př1'!$A$36,N262)),MAX($M$2:M261)+1,0)</f>
        <v>260</v>
      </c>
      <c r="V262" s="419" t="s">
        <v>2062</v>
      </c>
      <c r="W262" t="str">
        <f>IFERROR(VLOOKUP(ROWS($W$3:W262),$U$3:$V$992,2,0),"")</f>
        <v>Velkoobchod s ostatními stroji, strojním zařízením a příslušenstvím</v>
      </c>
      <c r="X262">
        <f>IF(ISNUMBER(SEARCH('1Př1'!$A$37,N262)),MAX($M$2:M261)+1,0)</f>
        <v>260</v>
      </c>
      <c r="Y262" s="419" t="s">
        <v>2062</v>
      </c>
      <c r="Z262" t="str">
        <f>IFERROR(VLOOKUP(ROWS($Z$3:Z262),$X$3:$Y$992,2,0),"")</f>
        <v>Velkoobchod s ostatními stroji, strojním zařízením a příslušenstvím</v>
      </c>
    </row>
    <row r="263" spans="13:26" ht="12.75">
      <c r="M263" s="418">
        <f>IF(ISNUMBER(SEARCH(ZAKL_DATA!$B$29,N263)),MAX($M$2:M262)+1,0)</f>
        <v>261</v>
      </c>
      <c r="N263" s="419" t="s">
        <v>2064</v>
      </c>
      <c r="O263" s="436" t="s">
        <v>2065</v>
      </c>
      <c r="P263" s="421"/>
      <c r="Q263" s="422" t="str">
        <f>IFERROR(VLOOKUP(ROWS($Q$3:Q263),$M$3:$N$992,2,0),"")</f>
        <v>Ostatní specializovaný velkoobchod</v>
      </c>
      <c r="R263">
        <f>IF(ISNUMBER(SEARCH('1Př1'!$A$35,N263)),MAX($M$2:M262)+1,0)</f>
        <v>261</v>
      </c>
      <c r="S263" s="419" t="s">
        <v>2064</v>
      </c>
      <c r="T263" t="str">
        <f>IFERROR(VLOOKUP(ROWS($T$3:T263),$R$3:$S$992,2,0),"")</f>
        <v>Ostatní specializovaný velkoobchod</v>
      </c>
      <c r="U263">
        <f>IF(ISNUMBER(SEARCH('1Př1'!$A$36,N263)),MAX($M$2:M262)+1,0)</f>
        <v>261</v>
      </c>
      <c r="V263" s="419" t="s">
        <v>2064</v>
      </c>
      <c r="W263" t="str">
        <f>IFERROR(VLOOKUP(ROWS($W$3:W263),$U$3:$V$992,2,0),"")</f>
        <v>Ostatní specializovaný velkoobchod</v>
      </c>
      <c r="X263">
        <f>IF(ISNUMBER(SEARCH('1Př1'!$A$37,N263)),MAX($M$2:M262)+1,0)</f>
        <v>261</v>
      </c>
      <c r="Y263" s="419" t="s">
        <v>2064</v>
      </c>
      <c r="Z263" t="str">
        <f>IFERROR(VLOOKUP(ROWS($Z$3:Z263),$X$3:$Y$992,2,0),"")</f>
        <v>Ostatní specializovaný velkoobchod</v>
      </c>
    </row>
    <row r="264" spans="13:26" ht="12.75">
      <c r="M264" s="418">
        <f>IF(ISNUMBER(SEARCH(ZAKL_DATA!$B$29,N264)),MAX($M$2:M263)+1,0)</f>
        <v>262</v>
      </c>
      <c r="N264" s="419" t="s">
        <v>2066</v>
      </c>
      <c r="O264" s="436" t="s">
        <v>2067</v>
      </c>
      <c r="P264" s="421"/>
      <c r="Q264" s="422" t="str">
        <f>IFERROR(VLOOKUP(ROWS($Q$3:Q264),$M$3:$N$992,2,0),"")</f>
        <v>Nespecializovaný velkoobchod</v>
      </c>
      <c r="R264">
        <f>IF(ISNUMBER(SEARCH('1Př1'!$A$35,N264)),MAX($M$2:M263)+1,0)</f>
        <v>262</v>
      </c>
      <c r="S264" s="419" t="s">
        <v>2066</v>
      </c>
      <c r="T264" t="str">
        <f>IFERROR(VLOOKUP(ROWS($T$3:T264),$R$3:$S$992,2,0),"")</f>
        <v>Nespecializovaný velkoobchod</v>
      </c>
      <c r="U264">
        <f>IF(ISNUMBER(SEARCH('1Př1'!$A$36,N264)),MAX($M$2:M263)+1,0)</f>
        <v>262</v>
      </c>
      <c r="V264" s="419" t="s">
        <v>2066</v>
      </c>
      <c r="W264" t="str">
        <f>IFERROR(VLOOKUP(ROWS($W$3:W264),$U$3:$V$992,2,0),"")</f>
        <v>Nespecializovaný velkoobchod</v>
      </c>
      <c r="X264">
        <f>IF(ISNUMBER(SEARCH('1Př1'!$A$37,N264)),MAX($M$2:M263)+1,0)</f>
        <v>262</v>
      </c>
      <c r="Y264" s="419" t="s">
        <v>2066</v>
      </c>
      <c r="Z264" t="str">
        <f>IFERROR(VLOOKUP(ROWS($Z$3:Z264),$X$3:$Y$992,2,0),"")</f>
        <v>Nespecializovaný velkoobchod</v>
      </c>
    </row>
    <row r="265" spans="13:26" ht="12.75">
      <c r="M265" s="418">
        <f>IF(ISNUMBER(SEARCH(ZAKL_DATA!$B$29,N265)),MAX($M$2:M264)+1,0)</f>
        <v>263</v>
      </c>
      <c r="N265" s="419" t="s">
        <v>2068</v>
      </c>
      <c r="O265" s="436" t="s">
        <v>2069</v>
      </c>
      <c r="P265" s="421"/>
      <c r="Q265" s="422" t="str">
        <f>IFERROR(VLOOKUP(ROWS($Q$3:Q265),$M$3:$N$992,2,0),"")</f>
        <v>Maloobchod v nespecializovaných prodejnách</v>
      </c>
      <c r="R265">
        <f>IF(ISNUMBER(SEARCH('1Př1'!$A$35,N265)),MAX($M$2:M264)+1,0)</f>
        <v>263</v>
      </c>
      <c r="S265" s="419" t="s">
        <v>2068</v>
      </c>
      <c r="T265" t="str">
        <f>IFERROR(VLOOKUP(ROWS($T$3:T265),$R$3:$S$992,2,0),"")</f>
        <v>Maloobchod v nespecializovaných prodejnách</v>
      </c>
      <c r="U265">
        <f>IF(ISNUMBER(SEARCH('1Př1'!$A$36,N265)),MAX($M$2:M264)+1,0)</f>
        <v>263</v>
      </c>
      <c r="V265" s="419" t="s">
        <v>2068</v>
      </c>
      <c r="W265" t="str">
        <f>IFERROR(VLOOKUP(ROWS($W$3:W265),$U$3:$V$992,2,0),"")</f>
        <v>Maloobchod v nespecializovaných prodejnách</v>
      </c>
      <c r="X265">
        <f>IF(ISNUMBER(SEARCH('1Př1'!$A$37,N265)),MAX($M$2:M264)+1,0)</f>
        <v>263</v>
      </c>
      <c r="Y265" s="419" t="s">
        <v>2068</v>
      </c>
      <c r="Z265" t="str">
        <f>IFERROR(VLOOKUP(ROWS($Z$3:Z265),$X$3:$Y$992,2,0),"")</f>
        <v>Maloobchod v nespecializovaných prodejnách</v>
      </c>
    </row>
    <row r="266" spans="13:26" ht="12.75">
      <c r="M266" s="418">
        <f>IF(ISNUMBER(SEARCH(ZAKL_DATA!$B$29,N266)),MAX($M$2:M265)+1,0)</f>
        <v>264</v>
      </c>
      <c r="N266" s="419" t="s">
        <v>2070</v>
      </c>
      <c r="O266" s="436" t="s">
        <v>2071</v>
      </c>
      <c r="P266" s="421"/>
      <c r="Q266" s="422" t="str">
        <f>IFERROR(VLOOKUP(ROWS($Q$3:Q266),$M$3:$N$992,2,0),"")</f>
        <v>Maloobchod s potravinami,nápoji a tabák.výrobky ve specializ.prodejnách</v>
      </c>
      <c r="R266">
        <f>IF(ISNUMBER(SEARCH('1Př1'!$A$35,N266)),MAX($M$2:M265)+1,0)</f>
        <v>264</v>
      </c>
      <c r="S266" s="419" t="s">
        <v>2070</v>
      </c>
      <c r="T266" t="str">
        <f>IFERROR(VLOOKUP(ROWS($T$3:T266),$R$3:$S$992,2,0),"")</f>
        <v>Maloobchod s potravinami,nápoji a tabák.výrobky ve specializ.prodejnách</v>
      </c>
      <c r="U266">
        <f>IF(ISNUMBER(SEARCH('1Př1'!$A$36,N266)),MAX($M$2:M265)+1,0)</f>
        <v>264</v>
      </c>
      <c r="V266" s="419" t="s">
        <v>2070</v>
      </c>
      <c r="W266" t="str">
        <f>IFERROR(VLOOKUP(ROWS($W$3:W266),$U$3:$V$992,2,0),"")</f>
        <v>Maloobchod s potravinami,nápoji a tabák.výrobky ve specializ.prodejnách</v>
      </c>
      <c r="X266">
        <f>IF(ISNUMBER(SEARCH('1Př1'!$A$37,N266)),MAX($M$2:M265)+1,0)</f>
        <v>264</v>
      </c>
      <c r="Y266" s="419" t="s">
        <v>2070</v>
      </c>
      <c r="Z266" t="str">
        <f>IFERROR(VLOOKUP(ROWS($Z$3:Z266),$X$3:$Y$992,2,0),"")</f>
        <v>Maloobchod s potravinami,nápoji a tabák.výrobky ve specializ.prodejnách</v>
      </c>
    </row>
    <row r="267" spans="13:26" ht="12.75">
      <c r="M267" s="418">
        <f>IF(ISNUMBER(SEARCH(ZAKL_DATA!$B$29,N267)),MAX($M$2:M266)+1,0)</f>
        <v>265</v>
      </c>
      <c r="N267" s="419" t="s">
        <v>2072</v>
      </c>
      <c r="O267" s="436" t="s">
        <v>2073</v>
      </c>
      <c r="P267" s="421"/>
      <c r="Q267" s="422" t="str">
        <f>IFERROR(VLOOKUP(ROWS($Q$3:Q267),$M$3:$N$992,2,0),"")</f>
        <v>Maloobchod s pohonnými hmotami ve specializovaných prodejnách</v>
      </c>
      <c r="R267">
        <f>IF(ISNUMBER(SEARCH('1Př1'!$A$35,N267)),MAX($M$2:M266)+1,0)</f>
        <v>265</v>
      </c>
      <c r="S267" s="419" t="s">
        <v>2072</v>
      </c>
      <c r="T267" t="str">
        <f>IFERROR(VLOOKUP(ROWS($T$3:T267),$R$3:$S$992,2,0),"")</f>
        <v>Maloobchod s pohonnými hmotami ve specializovaných prodejnách</v>
      </c>
      <c r="U267">
        <f>IF(ISNUMBER(SEARCH('1Př1'!$A$36,N267)),MAX($M$2:M266)+1,0)</f>
        <v>265</v>
      </c>
      <c r="V267" s="419" t="s">
        <v>2072</v>
      </c>
      <c r="W267" t="str">
        <f>IFERROR(VLOOKUP(ROWS($W$3:W267),$U$3:$V$992,2,0),"")</f>
        <v>Maloobchod s pohonnými hmotami ve specializovaných prodejnách</v>
      </c>
      <c r="X267">
        <f>IF(ISNUMBER(SEARCH('1Př1'!$A$37,N267)),MAX($M$2:M266)+1,0)</f>
        <v>265</v>
      </c>
      <c r="Y267" s="419" t="s">
        <v>2072</v>
      </c>
      <c r="Z267" t="str">
        <f>IFERROR(VLOOKUP(ROWS($Z$3:Z267),$X$3:$Y$992,2,0),"")</f>
        <v>Maloobchod s pohonnými hmotami ve specializovaných prodejnách</v>
      </c>
    </row>
    <row r="268" spans="13:26" ht="12.75">
      <c r="M268" s="418">
        <f>IF(ISNUMBER(SEARCH(ZAKL_DATA!$B$29,N268)),MAX($M$2:M267)+1,0)</f>
        <v>266</v>
      </c>
      <c r="N268" s="419" t="s">
        <v>2074</v>
      </c>
      <c r="O268" s="436" t="s">
        <v>2075</v>
      </c>
      <c r="P268" s="421"/>
      <c r="Q268" s="422" t="str">
        <f>IFERROR(VLOOKUP(ROWS($Q$3:Q268),$M$3:$N$992,2,0),"")</f>
        <v>Maloobchod s počítačovým a komunikačním zařízením ve specializ.prodejnách</v>
      </c>
      <c r="R268">
        <f>IF(ISNUMBER(SEARCH('1Př1'!$A$35,N268)),MAX($M$2:M267)+1,0)</f>
        <v>266</v>
      </c>
      <c r="S268" s="419" t="s">
        <v>2074</v>
      </c>
      <c r="T268" t="str">
        <f>IFERROR(VLOOKUP(ROWS($T$3:T268),$R$3:$S$992,2,0),"")</f>
        <v>Maloobchod s počítačovým a komunikačním zařízením ve specializ.prodejnách</v>
      </c>
      <c r="U268">
        <f>IF(ISNUMBER(SEARCH('1Př1'!$A$36,N268)),MAX($M$2:M267)+1,0)</f>
        <v>266</v>
      </c>
      <c r="V268" s="419" t="s">
        <v>2074</v>
      </c>
      <c r="W268" t="str">
        <f>IFERROR(VLOOKUP(ROWS($W$3:W268),$U$3:$V$992,2,0),"")</f>
        <v>Maloobchod s počítačovým a komunikačním zařízením ve specializ.prodejnách</v>
      </c>
      <c r="X268">
        <f>IF(ISNUMBER(SEARCH('1Př1'!$A$37,N268)),MAX($M$2:M267)+1,0)</f>
        <v>266</v>
      </c>
      <c r="Y268" s="419" t="s">
        <v>2074</v>
      </c>
      <c r="Z268" t="str">
        <f>IFERROR(VLOOKUP(ROWS($Z$3:Z268),$X$3:$Y$992,2,0),"")</f>
        <v>Maloobchod s počítačovým a komunikačním zařízením ve specializ.prodejnách</v>
      </c>
    </row>
    <row r="269" spans="13:26" ht="12.75">
      <c r="M269" s="418">
        <f>IF(ISNUMBER(SEARCH(ZAKL_DATA!$B$29,N269)),MAX($M$2:M268)+1,0)</f>
        <v>267</v>
      </c>
      <c r="N269" s="419" t="s">
        <v>2076</v>
      </c>
      <c r="O269" s="436" t="s">
        <v>2077</v>
      </c>
      <c r="P269" s="421"/>
      <c r="Q269" s="422" t="str">
        <f>IFERROR(VLOOKUP(ROWS($Q$3:Q269),$M$3:$N$992,2,0),"")</f>
        <v>Maloobchod s ost.výrobky převážně pro domácnost ve specializ.prodejnách</v>
      </c>
      <c r="R269">
        <f>IF(ISNUMBER(SEARCH('1Př1'!$A$35,N269)),MAX($M$2:M268)+1,0)</f>
        <v>267</v>
      </c>
      <c r="S269" s="419" t="s">
        <v>2076</v>
      </c>
      <c r="T269" t="str">
        <f>IFERROR(VLOOKUP(ROWS($T$3:T269),$R$3:$S$992,2,0),"")</f>
        <v>Maloobchod s ost.výrobky převážně pro domácnost ve specializ.prodejnách</v>
      </c>
      <c r="U269">
        <f>IF(ISNUMBER(SEARCH('1Př1'!$A$36,N269)),MAX($M$2:M268)+1,0)</f>
        <v>267</v>
      </c>
      <c r="V269" s="419" t="s">
        <v>2076</v>
      </c>
      <c r="W269" t="str">
        <f>IFERROR(VLOOKUP(ROWS($W$3:W269),$U$3:$V$992,2,0),"")</f>
        <v>Maloobchod s ost.výrobky převážně pro domácnost ve specializ.prodejnách</v>
      </c>
      <c r="X269">
        <f>IF(ISNUMBER(SEARCH('1Př1'!$A$37,N269)),MAX($M$2:M268)+1,0)</f>
        <v>267</v>
      </c>
      <c r="Y269" s="419" t="s">
        <v>2076</v>
      </c>
      <c r="Z269" t="str">
        <f>IFERROR(VLOOKUP(ROWS($Z$3:Z269),$X$3:$Y$992,2,0),"")</f>
        <v>Maloobchod s ost.výrobky převážně pro domácnost ve specializ.prodejnách</v>
      </c>
    </row>
    <row r="270" spans="13:26" ht="12.75">
      <c r="M270" s="418">
        <f>IF(ISNUMBER(SEARCH(ZAKL_DATA!$B$29,N270)),MAX($M$2:M269)+1,0)</f>
        <v>268</v>
      </c>
      <c r="N270" s="419" t="s">
        <v>2078</v>
      </c>
      <c r="O270" s="436" t="s">
        <v>2079</v>
      </c>
      <c r="P270" s="421"/>
      <c r="Q270" s="422" t="str">
        <f>IFERROR(VLOOKUP(ROWS($Q$3:Q270),$M$3:$N$992,2,0),"")</f>
        <v>Maloobchod s výrobky pro kulturní rozhled a rekreaci ve specializ.prod.</v>
      </c>
      <c r="R270">
        <f>IF(ISNUMBER(SEARCH('1Př1'!$A$35,N270)),MAX($M$2:M269)+1,0)</f>
        <v>268</v>
      </c>
      <c r="S270" s="419" t="s">
        <v>2078</v>
      </c>
      <c r="T270" t="str">
        <f>IFERROR(VLOOKUP(ROWS($T$3:T270),$R$3:$S$992,2,0),"")</f>
        <v>Maloobchod s výrobky pro kulturní rozhled a rekreaci ve specializ.prod.</v>
      </c>
      <c r="U270">
        <f>IF(ISNUMBER(SEARCH('1Př1'!$A$36,N270)),MAX($M$2:M269)+1,0)</f>
        <v>268</v>
      </c>
      <c r="V270" s="419" t="s">
        <v>2078</v>
      </c>
      <c r="W270" t="str">
        <f>IFERROR(VLOOKUP(ROWS($W$3:W270),$U$3:$V$992,2,0),"")</f>
        <v>Maloobchod s výrobky pro kulturní rozhled a rekreaci ve specializ.prod.</v>
      </c>
      <c r="X270">
        <f>IF(ISNUMBER(SEARCH('1Př1'!$A$37,N270)),MAX($M$2:M269)+1,0)</f>
        <v>268</v>
      </c>
      <c r="Y270" s="419" t="s">
        <v>2078</v>
      </c>
      <c r="Z270" t="str">
        <f>IFERROR(VLOOKUP(ROWS($Z$3:Z270),$X$3:$Y$992,2,0),"")</f>
        <v>Maloobchod s výrobky pro kulturní rozhled a rekreaci ve specializ.prod.</v>
      </c>
    </row>
    <row r="271" spans="13:26" ht="12.75">
      <c r="M271" s="418">
        <f>IF(ISNUMBER(SEARCH(ZAKL_DATA!$B$29,N271)),MAX($M$2:M270)+1,0)</f>
        <v>269</v>
      </c>
      <c r="N271" s="419" t="s">
        <v>2080</v>
      </c>
      <c r="O271" s="436" t="s">
        <v>2081</v>
      </c>
      <c r="P271" s="421"/>
      <c r="Q271" s="422" t="str">
        <f>IFERROR(VLOOKUP(ROWS($Q$3:Q271),$M$3:$N$992,2,0),"")</f>
        <v>Maloobchod s ostatním zbožím ve specializovaných prodejnách</v>
      </c>
      <c r="R271">
        <f>IF(ISNUMBER(SEARCH('1Př1'!$A$35,N271)),MAX($M$2:M270)+1,0)</f>
        <v>269</v>
      </c>
      <c r="S271" s="419" t="s">
        <v>2080</v>
      </c>
      <c r="T271" t="str">
        <f>IFERROR(VLOOKUP(ROWS($T$3:T271),$R$3:$S$992,2,0),"")</f>
        <v>Maloobchod s ostatním zbožím ve specializovaných prodejnách</v>
      </c>
      <c r="U271">
        <f>IF(ISNUMBER(SEARCH('1Př1'!$A$36,N271)),MAX($M$2:M270)+1,0)</f>
        <v>269</v>
      </c>
      <c r="V271" s="419" t="s">
        <v>2080</v>
      </c>
      <c r="W271" t="str">
        <f>IFERROR(VLOOKUP(ROWS($W$3:W271),$U$3:$V$992,2,0),"")</f>
        <v>Maloobchod s ostatním zbožím ve specializovaných prodejnách</v>
      </c>
      <c r="X271">
        <f>IF(ISNUMBER(SEARCH('1Př1'!$A$37,N271)),MAX($M$2:M270)+1,0)</f>
        <v>269</v>
      </c>
      <c r="Y271" s="419" t="s">
        <v>2080</v>
      </c>
      <c r="Z271" t="str">
        <f>IFERROR(VLOOKUP(ROWS($Z$3:Z271),$X$3:$Y$992,2,0),"")</f>
        <v>Maloobchod s ostatním zbožím ve specializovaných prodejnách</v>
      </c>
    </row>
    <row r="272" spans="13:26" ht="12.75">
      <c r="M272" s="418">
        <f>IF(ISNUMBER(SEARCH(ZAKL_DATA!$B$29,N272)),MAX($M$2:M271)+1,0)</f>
        <v>270</v>
      </c>
      <c r="N272" s="419" t="s">
        <v>2082</v>
      </c>
      <c r="O272" s="436" t="s">
        <v>2083</v>
      </c>
      <c r="P272" s="421"/>
      <c r="Q272" s="422" t="str">
        <f>IFERROR(VLOOKUP(ROWS($Q$3:Q272),$M$3:$N$992,2,0),"")</f>
        <v>Maloobchod ve stáncích a na trzích</v>
      </c>
      <c r="R272">
        <f>IF(ISNUMBER(SEARCH('1Př1'!$A$35,N272)),MAX($M$2:M271)+1,0)</f>
        <v>270</v>
      </c>
      <c r="S272" s="419" t="s">
        <v>2082</v>
      </c>
      <c r="T272" t="str">
        <f>IFERROR(VLOOKUP(ROWS($T$3:T272),$R$3:$S$992,2,0),"")</f>
        <v>Maloobchod ve stáncích a na trzích</v>
      </c>
      <c r="U272">
        <f>IF(ISNUMBER(SEARCH('1Př1'!$A$36,N272)),MAX($M$2:M271)+1,0)</f>
        <v>270</v>
      </c>
      <c r="V272" s="419" t="s">
        <v>2082</v>
      </c>
      <c r="W272" t="str">
        <f>IFERROR(VLOOKUP(ROWS($W$3:W272),$U$3:$V$992,2,0),"")</f>
        <v>Maloobchod ve stáncích a na trzích</v>
      </c>
      <c r="X272">
        <f>IF(ISNUMBER(SEARCH('1Př1'!$A$37,N272)),MAX($M$2:M271)+1,0)</f>
        <v>270</v>
      </c>
      <c r="Y272" s="419" t="s">
        <v>2082</v>
      </c>
      <c r="Z272" t="str">
        <f>IFERROR(VLOOKUP(ROWS($Z$3:Z272),$X$3:$Y$992,2,0),"")</f>
        <v>Maloobchod ve stáncích a na trzích</v>
      </c>
    </row>
    <row r="273" spans="13:26" ht="12.75">
      <c r="M273" s="418">
        <f>IF(ISNUMBER(SEARCH(ZAKL_DATA!$B$29,N273)),MAX($M$2:M272)+1,0)</f>
        <v>271</v>
      </c>
      <c r="N273" s="419" t="s">
        <v>2084</v>
      </c>
      <c r="O273" s="436" t="s">
        <v>2085</v>
      </c>
      <c r="P273" s="421"/>
      <c r="Q273" s="422" t="str">
        <f>IFERROR(VLOOKUP(ROWS($Q$3:Q273),$M$3:$N$992,2,0),"")</f>
        <v>Maloobchod mimo prodejny, stánky a trhy</v>
      </c>
      <c r="R273">
        <f>IF(ISNUMBER(SEARCH('1Př1'!$A$35,N273)),MAX($M$2:M272)+1,0)</f>
        <v>271</v>
      </c>
      <c r="S273" s="419" t="s">
        <v>2084</v>
      </c>
      <c r="T273" t="str">
        <f>IFERROR(VLOOKUP(ROWS($T$3:T273),$R$3:$S$992,2,0),"")</f>
        <v>Maloobchod mimo prodejny, stánky a trhy</v>
      </c>
      <c r="U273">
        <f>IF(ISNUMBER(SEARCH('1Př1'!$A$36,N273)),MAX($M$2:M272)+1,0)</f>
        <v>271</v>
      </c>
      <c r="V273" s="419" t="s">
        <v>2084</v>
      </c>
      <c r="W273" t="str">
        <f>IFERROR(VLOOKUP(ROWS($W$3:W273),$U$3:$V$992,2,0),"")</f>
        <v>Maloobchod mimo prodejny, stánky a trhy</v>
      </c>
      <c r="X273">
        <f>IF(ISNUMBER(SEARCH('1Př1'!$A$37,N273)),MAX($M$2:M272)+1,0)</f>
        <v>271</v>
      </c>
      <c r="Y273" s="419" t="s">
        <v>2084</v>
      </c>
      <c r="Z273" t="str">
        <f>IFERROR(VLOOKUP(ROWS($Z$3:Z273),$X$3:$Y$992,2,0),"")</f>
        <v>Maloobchod mimo prodejny, stánky a trhy</v>
      </c>
    </row>
    <row r="274" spans="13:26" ht="12.75">
      <c r="M274" s="418">
        <f>IF(ISNUMBER(SEARCH(ZAKL_DATA!$B$29,N274)),MAX($M$2:M273)+1,0)</f>
        <v>272</v>
      </c>
      <c r="N274" s="419" t="s">
        <v>2086</v>
      </c>
      <c r="O274" s="436" t="s">
        <v>2087</v>
      </c>
      <c r="P274" s="421"/>
      <c r="Q274" s="422" t="str">
        <f>IFERROR(VLOOKUP(ROWS($Q$3:Q274),$M$3:$N$992,2,0),"")</f>
        <v>železniční osobní doprava meziměstská</v>
      </c>
      <c r="R274">
        <f>IF(ISNUMBER(SEARCH('1Př1'!$A$35,N274)),MAX($M$2:M273)+1,0)</f>
        <v>272</v>
      </c>
      <c r="S274" s="419" t="s">
        <v>2086</v>
      </c>
      <c r="T274" t="str">
        <f>IFERROR(VLOOKUP(ROWS($T$3:T274),$R$3:$S$992,2,0),"")</f>
        <v>železniční osobní doprava meziměstská</v>
      </c>
      <c r="U274">
        <f>IF(ISNUMBER(SEARCH('1Př1'!$A$36,N274)),MAX($M$2:M273)+1,0)</f>
        <v>272</v>
      </c>
      <c r="V274" s="419" t="s">
        <v>2086</v>
      </c>
      <c r="W274" t="str">
        <f>IFERROR(VLOOKUP(ROWS($W$3:W274),$U$3:$V$992,2,0),"")</f>
        <v>železniční osobní doprava meziměstská</v>
      </c>
      <c r="X274">
        <f>IF(ISNUMBER(SEARCH('1Př1'!$A$37,N274)),MAX($M$2:M273)+1,0)</f>
        <v>272</v>
      </c>
      <c r="Y274" s="419" t="s">
        <v>2086</v>
      </c>
      <c r="Z274" t="str">
        <f>IFERROR(VLOOKUP(ROWS($Z$3:Z274),$X$3:$Y$992,2,0),"")</f>
        <v>železniční osobní doprava meziměstská</v>
      </c>
    </row>
    <row r="275" spans="13:26" ht="12.75">
      <c r="M275" s="418">
        <f>IF(ISNUMBER(SEARCH(ZAKL_DATA!$B$29,N275)),MAX($M$2:M274)+1,0)</f>
        <v>273</v>
      </c>
      <c r="N275" s="419" t="s">
        <v>2088</v>
      </c>
      <c r="O275" s="436" t="s">
        <v>2089</v>
      </c>
      <c r="P275" s="421"/>
      <c r="Q275" s="422" t="str">
        <f>IFERROR(VLOOKUP(ROWS($Q$3:Q275),$M$3:$N$992,2,0),"")</f>
        <v>železniční nákladní doprava</v>
      </c>
      <c r="R275">
        <f>IF(ISNUMBER(SEARCH('1Př1'!$A$35,N275)),MAX($M$2:M274)+1,0)</f>
        <v>273</v>
      </c>
      <c r="S275" s="419" t="s">
        <v>2088</v>
      </c>
      <c r="T275" t="str">
        <f>IFERROR(VLOOKUP(ROWS($T$3:T275),$R$3:$S$992,2,0),"")</f>
        <v>železniční nákladní doprava</v>
      </c>
      <c r="U275">
        <f>IF(ISNUMBER(SEARCH('1Př1'!$A$36,N275)),MAX($M$2:M274)+1,0)</f>
        <v>273</v>
      </c>
      <c r="V275" s="419" t="s">
        <v>2088</v>
      </c>
      <c r="W275" t="str">
        <f>IFERROR(VLOOKUP(ROWS($W$3:W275),$U$3:$V$992,2,0),"")</f>
        <v>železniční nákladní doprava</v>
      </c>
      <c r="X275">
        <f>IF(ISNUMBER(SEARCH('1Př1'!$A$37,N275)),MAX($M$2:M274)+1,0)</f>
        <v>273</v>
      </c>
      <c r="Y275" s="419" t="s">
        <v>2088</v>
      </c>
      <c r="Z275" t="str">
        <f>IFERROR(VLOOKUP(ROWS($Z$3:Z275),$X$3:$Y$992,2,0),"")</f>
        <v>železniční nákladní doprava</v>
      </c>
    </row>
    <row r="276" spans="13:26" ht="12.75">
      <c r="M276" s="418">
        <f>IF(ISNUMBER(SEARCH(ZAKL_DATA!$B$29,N276)),MAX($M$2:M275)+1,0)</f>
        <v>274</v>
      </c>
      <c r="N276" s="419" t="s">
        <v>2090</v>
      </c>
      <c r="O276" s="436" t="s">
        <v>2091</v>
      </c>
      <c r="P276" s="421"/>
      <c r="Q276" s="422" t="str">
        <f>IFERROR(VLOOKUP(ROWS($Q$3:Q276),$M$3:$N$992,2,0),"")</f>
        <v>Ostatní pozemní osobní doprava</v>
      </c>
      <c r="R276">
        <f>IF(ISNUMBER(SEARCH('1Př1'!$A$35,N276)),MAX($M$2:M275)+1,0)</f>
        <v>274</v>
      </c>
      <c r="S276" s="419" t="s">
        <v>2090</v>
      </c>
      <c r="T276" t="str">
        <f>IFERROR(VLOOKUP(ROWS($T$3:T276),$R$3:$S$992,2,0),"")</f>
        <v>Ostatní pozemní osobní doprava</v>
      </c>
      <c r="U276">
        <f>IF(ISNUMBER(SEARCH('1Př1'!$A$36,N276)),MAX($M$2:M275)+1,0)</f>
        <v>274</v>
      </c>
      <c r="V276" s="419" t="s">
        <v>2090</v>
      </c>
      <c r="W276" t="str">
        <f>IFERROR(VLOOKUP(ROWS($W$3:W276),$U$3:$V$992,2,0),"")</f>
        <v>Ostatní pozemní osobní doprava</v>
      </c>
      <c r="X276">
        <f>IF(ISNUMBER(SEARCH('1Př1'!$A$37,N276)),MAX($M$2:M275)+1,0)</f>
        <v>274</v>
      </c>
      <c r="Y276" s="419" t="s">
        <v>2090</v>
      </c>
      <c r="Z276" t="str">
        <f>IFERROR(VLOOKUP(ROWS($Z$3:Z276),$X$3:$Y$992,2,0),"")</f>
        <v>Ostatní pozemní osobní doprava</v>
      </c>
    </row>
    <row r="277" spans="13:26" ht="12.75">
      <c r="M277" s="418">
        <f>IF(ISNUMBER(SEARCH(ZAKL_DATA!$B$29,N277)),MAX($M$2:M276)+1,0)</f>
        <v>275</v>
      </c>
      <c r="N277" s="419" t="s">
        <v>2092</v>
      </c>
      <c r="O277" s="436" t="s">
        <v>2093</v>
      </c>
      <c r="P277" s="421"/>
      <c r="Q277" s="422" t="str">
        <f>IFERROR(VLOOKUP(ROWS($Q$3:Q277),$M$3:$N$992,2,0),"")</f>
        <v>Silniční nákladní doprava a stěhovací služby</v>
      </c>
      <c r="R277">
        <f>IF(ISNUMBER(SEARCH('1Př1'!$A$35,N277)),MAX($M$2:M276)+1,0)</f>
        <v>275</v>
      </c>
      <c r="S277" s="419" t="s">
        <v>2092</v>
      </c>
      <c r="T277" t="str">
        <f>IFERROR(VLOOKUP(ROWS($T$3:T277),$R$3:$S$992,2,0),"")</f>
        <v>Silniční nákladní doprava a stěhovací služby</v>
      </c>
      <c r="U277">
        <f>IF(ISNUMBER(SEARCH('1Př1'!$A$36,N277)),MAX($M$2:M276)+1,0)</f>
        <v>275</v>
      </c>
      <c r="V277" s="419" t="s">
        <v>2092</v>
      </c>
      <c r="W277" t="str">
        <f>IFERROR(VLOOKUP(ROWS($W$3:W277),$U$3:$V$992,2,0),"")</f>
        <v>Silniční nákladní doprava a stěhovací služby</v>
      </c>
      <c r="X277">
        <f>IF(ISNUMBER(SEARCH('1Př1'!$A$37,N277)),MAX($M$2:M276)+1,0)</f>
        <v>275</v>
      </c>
      <c r="Y277" s="419" t="s">
        <v>2092</v>
      </c>
      <c r="Z277" t="str">
        <f>IFERROR(VLOOKUP(ROWS($Z$3:Z277),$X$3:$Y$992,2,0),"")</f>
        <v>Silniční nákladní doprava a stěhovací služby</v>
      </c>
    </row>
    <row r="278" spans="13:26" ht="12.75">
      <c r="M278" s="418">
        <f>IF(ISNUMBER(SEARCH(ZAKL_DATA!$B$29,N278)),MAX($M$2:M277)+1,0)</f>
        <v>276</v>
      </c>
      <c r="N278" s="419" t="s">
        <v>2094</v>
      </c>
      <c r="O278" s="436" t="s">
        <v>2095</v>
      </c>
      <c r="P278" s="421"/>
      <c r="Q278" s="422" t="str">
        <f>IFERROR(VLOOKUP(ROWS($Q$3:Q278),$M$3:$N$992,2,0),"")</f>
        <v>Potrubní doprava</v>
      </c>
      <c r="R278">
        <f>IF(ISNUMBER(SEARCH('1Př1'!$A$35,N278)),MAX($M$2:M277)+1,0)</f>
        <v>276</v>
      </c>
      <c r="S278" s="419" t="s">
        <v>2094</v>
      </c>
      <c r="T278" t="str">
        <f>IFERROR(VLOOKUP(ROWS($T$3:T278),$R$3:$S$992,2,0),"")</f>
        <v>Potrubní doprava</v>
      </c>
      <c r="U278">
        <f>IF(ISNUMBER(SEARCH('1Př1'!$A$36,N278)),MAX($M$2:M277)+1,0)</f>
        <v>276</v>
      </c>
      <c r="V278" s="419" t="s">
        <v>2094</v>
      </c>
      <c r="W278" t="str">
        <f>IFERROR(VLOOKUP(ROWS($W$3:W278),$U$3:$V$992,2,0),"")</f>
        <v>Potrubní doprava</v>
      </c>
      <c r="X278">
        <f>IF(ISNUMBER(SEARCH('1Př1'!$A$37,N278)),MAX($M$2:M277)+1,0)</f>
        <v>276</v>
      </c>
      <c r="Y278" s="419" t="s">
        <v>2094</v>
      </c>
      <c r="Z278" t="str">
        <f>IFERROR(VLOOKUP(ROWS($Z$3:Z278),$X$3:$Y$992,2,0),"")</f>
        <v>Potrubní doprava</v>
      </c>
    </row>
    <row r="279" spans="13:26" ht="12.75">
      <c r="M279" s="418">
        <f>IF(ISNUMBER(SEARCH(ZAKL_DATA!$B$29,N279)),MAX($M$2:M278)+1,0)</f>
        <v>277</v>
      </c>
      <c r="N279" s="419" t="s">
        <v>2096</v>
      </c>
      <c r="O279" s="436" t="s">
        <v>2097</v>
      </c>
      <c r="P279" s="421"/>
      <c r="Q279" s="422" t="str">
        <f>IFERROR(VLOOKUP(ROWS($Q$3:Q279),$M$3:$N$992,2,0),"")</f>
        <v>Námořní a pobřežní osobní doprava</v>
      </c>
      <c r="R279">
        <f>IF(ISNUMBER(SEARCH('1Př1'!$A$35,N279)),MAX($M$2:M278)+1,0)</f>
        <v>277</v>
      </c>
      <c r="S279" s="419" t="s">
        <v>2096</v>
      </c>
      <c r="T279" t="str">
        <f>IFERROR(VLOOKUP(ROWS($T$3:T279),$R$3:$S$992,2,0),"")</f>
        <v>Námořní a pobřežní osobní doprava</v>
      </c>
      <c r="U279">
        <f>IF(ISNUMBER(SEARCH('1Př1'!$A$36,N279)),MAX($M$2:M278)+1,0)</f>
        <v>277</v>
      </c>
      <c r="V279" s="419" t="s">
        <v>2096</v>
      </c>
      <c r="W279" t="str">
        <f>IFERROR(VLOOKUP(ROWS($W$3:W279),$U$3:$V$992,2,0),"")</f>
        <v>Námořní a pobřežní osobní doprava</v>
      </c>
      <c r="X279">
        <f>IF(ISNUMBER(SEARCH('1Př1'!$A$37,N279)),MAX($M$2:M278)+1,0)</f>
        <v>277</v>
      </c>
      <c r="Y279" s="419" t="s">
        <v>2096</v>
      </c>
      <c r="Z279" t="str">
        <f>IFERROR(VLOOKUP(ROWS($Z$3:Z279),$X$3:$Y$992,2,0),"")</f>
        <v>Námořní a pobřežní osobní doprava</v>
      </c>
    </row>
    <row r="280" spans="13:26" ht="12.75">
      <c r="M280" s="418">
        <f>IF(ISNUMBER(SEARCH(ZAKL_DATA!$B$29,N280)),MAX($M$2:M279)+1,0)</f>
        <v>278</v>
      </c>
      <c r="N280" s="419" t="s">
        <v>2098</v>
      </c>
      <c r="O280" s="436" t="s">
        <v>2099</v>
      </c>
      <c r="P280" s="421"/>
      <c r="Q280" s="422" t="str">
        <f>IFERROR(VLOOKUP(ROWS($Q$3:Q280),$M$3:$N$992,2,0),"")</f>
        <v>Námořní a pobřežní nákladní doprava</v>
      </c>
      <c r="R280">
        <f>IF(ISNUMBER(SEARCH('1Př1'!$A$35,N280)),MAX($M$2:M279)+1,0)</f>
        <v>278</v>
      </c>
      <c r="S280" s="419" t="s">
        <v>2098</v>
      </c>
      <c r="T280" t="str">
        <f>IFERROR(VLOOKUP(ROWS($T$3:T280),$R$3:$S$992,2,0),"")</f>
        <v>Námořní a pobřežní nákladní doprava</v>
      </c>
      <c r="U280">
        <f>IF(ISNUMBER(SEARCH('1Př1'!$A$36,N280)),MAX($M$2:M279)+1,0)</f>
        <v>278</v>
      </c>
      <c r="V280" s="419" t="s">
        <v>2098</v>
      </c>
      <c r="W280" t="str">
        <f>IFERROR(VLOOKUP(ROWS($W$3:W280),$U$3:$V$992,2,0),"")</f>
        <v>Námořní a pobřežní nákladní doprava</v>
      </c>
      <c r="X280">
        <f>IF(ISNUMBER(SEARCH('1Př1'!$A$37,N280)),MAX($M$2:M279)+1,0)</f>
        <v>278</v>
      </c>
      <c r="Y280" s="419" t="s">
        <v>2098</v>
      </c>
      <c r="Z280" t="str">
        <f>IFERROR(VLOOKUP(ROWS($Z$3:Z280),$X$3:$Y$992,2,0),"")</f>
        <v>Námořní a pobřežní nákladní doprava</v>
      </c>
    </row>
    <row r="281" spans="13:26" ht="12.75">
      <c r="M281" s="418">
        <f>IF(ISNUMBER(SEARCH(ZAKL_DATA!$B$29,N281)),MAX($M$2:M280)+1,0)</f>
        <v>279</v>
      </c>
      <c r="N281" s="419" t="s">
        <v>2100</v>
      </c>
      <c r="O281" s="436" t="s">
        <v>2101</v>
      </c>
      <c r="P281" s="421"/>
      <c r="Q281" s="422" t="str">
        <f>IFERROR(VLOOKUP(ROWS($Q$3:Q281),$M$3:$N$992,2,0),"")</f>
        <v>Vnitrozemská vodní osobní doprava</v>
      </c>
      <c r="R281">
        <f>IF(ISNUMBER(SEARCH('1Př1'!$A$35,N281)),MAX($M$2:M280)+1,0)</f>
        <v>279</v>
      </c>
      <c r="S281" s="419" t="s">
        <v>2100</v>
      </c>
      <c r="T281" t="str">
        <f>IFERROR(VLOOKUP(ROWS($T$3:T281),$R$3:$S$992,2,0),"")</f>
        <v>Vnitrozemská vodní osobní doprava</v>
      </c>
      <c r="U281">
        <f>IF(ISNUMBER(SEARCH('1Př1'!$A$36,N281)),MAX($M$2:M280)+1,0)</f>
        <v>279</v>
      </c>
      <c r="V281" s="419" t="s">
        <v>2100</v>
      </c>
      <c r="W281" t="str">
        <f>IFERROR(VLOOKUP(ROWS($W$3:W281),$U$3:$V$992,2,0),"")</f>
        <v>Vnitrozemská vodní osobní doprava</v>
      </c>
      <c r="X281">
        <f>IF(ISNUMBER(SEARCH('1Př1'!$A$37,N281)),MAX($M$2:M280)+1,0)</f>
        <v>279</v>
      </c>
      <c r="Y281" s="419" t="s">
        <v>2100</v>
      </c>
      <c r="Z281" t="str">
        <f>IFERROR(VLOOKUP(ROWS($Z$3:Z281),$X$3:$Y$992,2,0),"")</f>
        <v>Vnitrozemská vodní osobní doprava</v>
      </c>
    </row>
    <row r="282" spans="13:26" ht="12.75">
      <c r="M282" s="418">
        <f>IF(ISNUMBER(SEARCH(ZAKL_DATA!$B$29,N282)),MAX($M$2:M281)+1,0)</f>
        <v>280</v>
      </c>
      <c r="N282" s="419" t="s">
        <v>2102</v>
      </c>
      <c r="O282" s="436" t="s">
        <v>2103</v>
      </c>
      <c r="P282" s="421"/>
      <c r="Q282" s="422" t="str">
        <f>IFERROR(VLOOKUP(ROWS($Q$3:Q282),$M$3:$N$992,2,0),"")</f>
        <v>Vnitrozemská vodní nákladní doprava</v>
      </c>
      <c r="R282">
        <f>IF(ISNUMBER(SEARCH('1Př1'!$A$35,N282)),MAX($M$2:M281)+1,0)</f>
        <v>280</v>
      </c>
      <c r="S282" s="419" t="s">
        <v>2102</v>
      </c>
      <c r="T282" t="str">
        <f>IFERROR(VLOOKUP(ROWS($T$3:T282),$R$3:$S$992,2,0),"")</f>
        <v>Vnitrozemská vodní nákladní doprava</v>
      </c>
      <c r="U282">
        <f>IF(ISNUMBER(SEARCH('1Př1'!$A$36,N282)),MAX($M$2:M281)+1,0)</f>
        <v>280</v>
      </c>
      <c r="V282" s="419" t="s">
        <v>2102</v>
      </c>
      <c r="W282" t="str">
        <f>IFERROR(VLOOKUP(ROWS($W$3:W282),$U$3:$V$992,2,0),"")</f>
        <v>Vnitrozemská vodní nákladní doprava</v>
      </c>
      <c r="X282">
        <f>IF(ISNUMBER(SEARCH('1Př1'!$A$37,N282)),MAX($M$2:M281)+1,0)</f>
        <v>280</v>
      </c>
      <c r="Y282" s="419" t="s">
        <v>2102</v>
      </c>
      <c r="Z282" t="str">
        <f>IFERROR(VLOOKUP(ROWS($Z$3:Z282),$X$3:$Y$992,2,0),"")</f>
        <v>Vnitrozemská vodní nákladní doprava</v>
      </c>
    </row>
    <row r="283" spans="13:26" ht="12.75">
      <c r="M283" s="418">
        <f>IF(ISNUMBER(SEARCH(ZAKL_DATA!$B$29,N283)),MAX($M$2:M282)+1,0)</f>
        <v>281</v>
      </c>
      <c r="N283" s="419" t="s">
        <v>2104</v>
      </c>
      <c r="O283" s="436" t="s">
        <v>2105</v>
      </c>
      <c r="P283" s="421"/>
      <c r="Q283" s="422" t="str">
        <f>IFERROR(VLOOKUP(ROWS($Q$3:Q283),$M$3:$N$992,2,0),"")</f>
        <v>Letecká osobní doprava</v>
      </c>
      <c r="R283">
        <f>IF(ISNUMBER(SEARCH('1Př1'!$A$35,N283)),MAX($M$2:M282)+1,0)</f>
        <v>281</v>
      </c>
      <c r="S283" s="419" t="s">
        <v>2104</v>
      </c>
      <c r="T283" t="str">
        <f>IFERROR(VLOOKUP(ROWS($T$3:T283),$R$3:$S$992,2,0),"")</f>
        <v>Letecká osobní doprava</v>
      </c>
      <c r="U283">
        <f>IF(ISNUMBER(SEARCH('1Př1'!$A$36,N283)),MAX($M$2:M282)+1,0)</f>
        <v>281</v>
      </c>
      <c r="V283" s="419" t="s">
        <v>2104</v>
      </c>
      <c r="W283" t="str">
        <f>IFERROR(VLOOKUP(ROWS($W$3:W283),$U$3:$V$992,2,0),"")</f>
        <v>Letecká osobní doprava</v>
      </c>
      <c r="X283">
        <f>IF(ISNUMBER(SEARCH('1Př1'!$A$37,N283)),MAX($M$2:M282)+1,0)</f>
        <v>281</v>
      </c>
      <c r="Y283" s="419" t="s">
        <v>2104</v>
      </c>
      <c r="Z283" t="str">
        <f>IFERROR(VLOOKUP(ROWS($Z$3:Z283),$X$3:$Y$992,2,0),"")</f>
        <v>Letecká osobní doprava</v>
      </c>
    </row>
    <row r="284" spans="13:26" ht="12.75">
      <c r="M284" s="418">
        <f>IF(ISNUMBER(SEARCH(ZAKL_DATA!$B$29,N284)),MAX($M$2:M283)+1,0)</f>
        <v>282</v>
      </c>
      <c r="N284" s="419" t="s">
        <v>2106</v>
      </c>
      <c r="O284" s="436" t="s">
        <v>2107</v>
      </c>
      <c r="P284" s="421"/>
      <c r="Q284" s="422" t="str">
        <f>IFERROR(VLOOKUP(ROWS($Q$3:Q284),$M$3:$N$992,2,0),"")</f>
        <v>Letecká nákladní doprava a kosmická doprava</v>
      </c>
      <c r="R284">
        <f>IF(ISNUMBER(SEARCH('1Př1'!$A$35,N284)),MAX($M$2:M283)+1,0)</f>
        <v>282</v>
      </c>
      <c r="S284" s="419" t="s">
        <v>2106</v>
      </c>
      <c r="T284" t="str">
        <f>IFERROR(VLOOKUP(ROWS($T$3:T284),$R$3:$S$992,2,0),"")</f>
        <v>Letecká nákladní doprava a kosmická doprava</v>
      </c>
      <c r="U284">
        <f>IF(ISNUMBER(SEARCH('1Př1'!$A$36,N284)),MAX($M$2:M283)+1,0)</f>
        <v>282</v>
      </c>
      <c r="V284" s="419" t="s">
        <v>2106</v>
      </c>
      <c r="W284" t="str">
        <f>IFERROR(VLOOKUP(ROWS($W$3:W284),$U$3:$V$992,2,0),"")</f>
        <v>Letecká nákladní doprava a kosmická doprava</v>
      </c>
      <c r="X284">
        <f>IF(ISNUMBER(SEARCH('1Př1'!$A$37,N284)),MAX($M$2:M283)+1,0)</f>
        <v>282</v>
      </c>
      <c r="Y284" s="419" t="s">
        <v>2106</v>
      </c>
      <c r="Z284" t="str">
        <f>IFERROR(VLOOKUP(ROWS($Z$3:Z284),$X$3:$Y$992,2,0),"")</f>
        <v>Letecká nákladní doprava a kosmická doprava</v>
      </c>
    </row>
    <row r="285" spans="13:26" ht="12.75">
      <c r="M285" s="418">
        <f>IF(ISNUMBER(SEARCH(ZAKL_DATA!$B$29,N285)),MAX($M$2:M284)+1,0)</f>
        <v>283</v>
      </c>
      <c r="N285" s="419" t="s">
        <v>2108</v>
      </c>
      <c r="O285" s="436" t="s">
        <v>2109</v>
      </c>
      <c r="P285" s="421"/>
      <c r="Q285" s="422" t="str">
        <f>IFERROR(VLOOKUP(ROWS($Q$3:Q285),$M$3:$N$992,2,0),"")</f>
        <v>Skladování</v>
      </c>
      <c r="R285">
        <f>IF(ISNUMBER(SEARCH('1Př1'!$A$35,N285)),MAX($M$2:M284)+1,0)</f>
        <v>283</v>
      </c>
      <c r="S285" s="419" t="s">
        <v>2108</v>
      </c>
      <c r="T285" t="str">
        <f>IFERROR(VLOOKUP(ROWS($T$3:T285),$R$3:$S$992,2,0),"")</f>
        <v>Skladování</v>
      </c>
      <c r="U285">
        <f>IF(ISNUMBER(SEARCH('1Př1'!$A$36,N285)),MAX($M$2:M284)+1,0)</f>
        <v>283</v>
      </c>
      <c r="V285" s="419" t="s">
        <v>2108</v>
      </c>
      <c r="W285" t="str">
        <f>IFERROR(VLOOKUP(ROWS($W$3:W285),$U$3:$V$992,2,0),"")</f>
        <v>Skladování</v>
      </c>
      <c r="X285">
        <f>IF(ISNUMBER(SEARCH('1Př1'!$A$37,N285)),MAX($M$2:M284)+1,0)</f>
        <v>283</v>
      </c>
      <c r="Y285" s="419" t="s">
        <v>2108</v>
      </c>
      <c r="Z285" t="str">
        <f>IFERROR(VLOOKUP(ROWS($Z$3:Z285),$X$3:$Y$992,2,0),"")</f>
        <v>Skladování</v>
      </c>
    </row>
    <row r="286" spans="13:26" ht="12.75">
      <c r="M286" s="418">
        <f>IF(ISNUMBER(SEARCH(ZAKL_DATA!$B$29,N286)),MAX($M$2:M285)+1,0)</f>
        <v>284</v>
      </c>
      <c r="N286" s="419" t="s">
        <v>2110</v>
      </c>
      <c r="O286" s="436" t="s">
        <v>2111</v>
      </c>
      <c r="P286" s="421"/>
      <c r="Q286" s="422" t="str">
        <f>IFERROR(VLOOKUP(ROWS($Q$3:Q286),$M$3:$N$992,2,0),"")</f>
        <v>Vedlejší činnosti v dopravě</v>
      </c>
      <c r="R286">
        <f>IF(ISNUMBER(SEARCH('1Př1'!$A$35,N286)),MAX($M$2:M285)+1,0)</f>
        <v>284</v>
      </c>
      <c r="S286" s="419" t="s">
        <v>2110</v>
      </c>
      <c r="T286" t="str">
        <f>IFERROR(VLOOKUP(ROWS($T$3:T286),$R$3:$S$992,2,0),"")</f>
        <v>Vedlejší činnosti v dopravě</v>
      </c>
      <c r="U286">
        <f>IF(ISNUMBER(SEARCH('1Př1'!$A$36,N286)),MAX($M$2:M285)+1,0)</f>
        <v>284</v>
      </c>
      <c r="V286" s="419" t="s">
        <v>2110</v>
      </c>
      <c r="W286" t="str">
        <f>IFERROR(VLOOKUP(ROWS($W$3:W286),$U$3:$V$992,2,0),"")</f>
        <v>Vedlejší činnosti v dopravě</v>
      </c>
      <c r="X286">
        <f>IF(ISNUMBER(SEARCH('1Př1'!$A$37,N286)),MAX($M$2:M285)+1,0)</f>
        <v>284</v>
      </c>
      <c r="Y286" s="419" t="s">
        <v>2110</v>
      </c>
      <c r="Z286" t="str">
        <f>IFERROR(VLOOKUP(ROWS($Z$3:Z286),$X$3:$Y$992,2,0),"")</f>
        <v>Vedlejší činnosti v dopravě</v>
      </c>
    </row>
    <row r="287" spans="13:26" ht="12.75">
      <c r="M287" s="418">
        <f>IF(ISNUMBER(SEARCH(ZAKL_DATA!$B$29,N287)),MAX($M$2:M286)+1,0)</f>
        <v>285</v>
      </c>
      <c r="N287" s="419" t="s">
        <v>2112</v>
      </c>
      <c r="O287" s="436" t="s">
        <v>2113</v>
      </c>
      <c r="P287" s="421"/>
      <c r="Q287" s="422" t="str">
        <f>IFERROR(VLOOKUP(ROWS($Q$3:Q287),$M$3:$N$992,2,0),"")</f>
        <v>Základní poštovní služby poskytované na základě poštovní licence</v>
      </c>
      <c r="R287">
        <f>IF(ISNUMBER(SEARCH('1Př1'!$A$35,N287)),MAX($M$2:M286)+1,0)</f>
        <v>285</v>
      </c>
      <c r="S287" s="419" t="s">
        <v>2112</v>
      </c>
      <c r="T287" t="str">
        <f>IFERROR(VLOOKUP(ROWS($T$3:T287),$R$3:$S$992,2,0),"")</f>
        <v>Základní poštovní služby poskytované na základě poštovní licence</v>
      </c>
      <c r="U287">
        <f>IF(ISNUMBER(SEARCH('1Př1'!$A$36,N287)),MAX($M$2:M286)+1,0)</f>
        <v>285</v>
      </c>
      <c r="V287" s="419" t="s">
        <v>2112</v>
      </c>
      <c r="W287" t="str">
        <f>IFERROR(VLOOKUP(ROWS($W$3:W287),$U$3:$V$992,2,0),"")</f>
        <v>Základní poštovní služby poskytované na základě poštovní licence</v>
      </c>
      <c r="X287">
        <f>IF(ISNUMBER(SEARCH('1Př1'!$A$37,N287)),MAX($M$2:M286)+1,0)</f>
        <v>285</v>
      </c>
      <c r="Y287" s="419" t="s">
        <v>2112</v>
      </c>
      <c r="Z287" t="str">
        <f>IFERROR(VLOOKUP(ROWS($Z$3:Z287),$X$3:$Y$992,2,0),"")</f>
        <v>Základní poštovní služby poskytované na základě poštovní licence</v>
      </c>
    </row>
    <row r="288" spans="13:26" ht="12.75">
      <c r="M288" s="418">
        <f>IF(ISNUMBER(SEARCH(ZAKL_DATA!$B$29,N288)),MAX($M$2:M287)+1,0)</f>
        <v>286</v>
      </c>
      <c r="N288" s="419" t="s">
        <v>2114</v>
      </c>
      <c r="O288" s="436" t="s">
        <v>2115</v>
      </c>
      <c r="P288" s="421"/>
      <c r="Q288" s="422" t="str">
        <f>IFERROR(VLOOKUP(ROWS($Q$3:Q288),$M$3:$N$992,2,0),"")</f>
        <v>Ostatní poštovní a kurýrní činnosti</v>
      </c>
      <c r="R288">
        <f>IF(ISNUMBER(SEARCH('1Př1'!$A$35,N288)),MAX($M$2:M287)+1,0)</f>
        <v>286</v>
      </c>
      <c r="S288" s="419" t="s">
        <v>2114</v>
      </c>
      <c r="T288" t="str">
        <f>IFERROR(VLOOKUP(ROWS($T$3:T288),$R$3:$S$992,2,0),"")</f>
        <v>Ostatní poštovní a kurýrní činnosti</v>
      </c>
      <c r="U288">
        <f>IF(ISNUMBER(SEARCH('1Př1'!$A$36,N288)),MAX($M$2:M287)+1,0)</f>
        <v>286</v>
      </c>
      <c r="V288" s="419" t="s">
        <v>2114</v>
      </c>
      <c r="W288" t="str">
        <f>IFERROR(VLOOKUP(ROWS($W$3:W288),$U$3:$V$992,2,0),"")</f>
        <v>Ostatní poštovní a kurýrní činnosti</v>
      </c>
      <c r="X288">
        <f>IF(ISNUMBER(SEARCH('1Př1'!$A$37,N288)),MAX($M$2:M287)+1,0)</f>
        <v>286</v>
      </c>
      <c r="Y288" s="419" t="s">
        <v>2114</v>
      </c>
      <c r="Z288" t="str">
        <f>IFERROR(VLOOKUP(ROWS($Z$3:Z288),$X$3:$Y$992,2,0),"")</f>
        <v>Ostatní poštovní a kurýrní činnosti</v>
      </c>
    </row>
    <row r="289" spans="13:26" ht="12.75">
      <c r="M289" s="418">
        <f>IF(ISNUMBER(SEARCH(ZAKL_DATA!$B$29,N289)),MAX($M$2:M288)+1,0)</f>
        <v>287</v>
      </c>
      <c r="N289" s="419" t="s">
        <v>2116</v>
      </c>
      <c r="O289" s="436" t="s">
        <v>2117</v>
      </c>
      <c r="P289" s="421"/>
      <c r="Q289" s="422" t="str">
        <f>IFERROR(VLOOKUP(ROWS($Q$3:Q289),$M$3:$N$992,2,0),"")</f>
        <v>Ubytování v hotelích a podobných ubytovacích zařízeních</v>
      </c>
      <c r="R289">
        <f>IF(ISNUMBER(SEARCH('1Př1'!$A$35,N289)),MAX($M$2:M288)+1,0)</f>
        <v>287</v>
      </c>
      <c r="S289" s="419" t="s">
        <v>2116</v>
      </c>
      <c r="T289" t="str">
        <f>IFERROR(VLOOKUP(ROWS($T$3:T289),$R$3:$S$992,2,0),"")</f>
        <v>Ubytování v hotelích a podobných ubytovacích zařízeních</v>
      </c>
      <c r="U289">
        <f>IF(ISNUMBER(SEARCH('1Př1'!$A$36,N289)),MAX($M$2:M288)+1,0)</f>
        <v>287</v>
      </c>
      <c r="V289" s="419" t="s">
        <v>2116</v>
      </c>
      <c r="W289" t="str">
        <f>IFERROR(VLOOKUP(ROWS($W$3:W289),$U$3:$V$992,2,0),"")</f>
        <v>Ubytování v hotelích a podobných ubytovacích zařízeních</v>
      </c>
      <c r="X289">
        <f>IF(ISNUMBER(SEARCH('1Př1'!$A$37,N289)),MAX($M$2:M288)+1,0)</f>
        <v>287</v>
      </c>
      <c r="Y289" s="419" t="s">
        <v>2116</v>
      </c>
      <c r="Z289" t="str">
        <f>IFERROR(VLOOKUP(ROWS($Z$3:Z289),$X$3:$Y$992,2,0),"")</f>
        <v>Ubytování v hotelích a podobných ubytovacích zařízeních</v>
      </c>
    </row>
    <row r="290" spans="13:26" ht="12.75">
      <c r="M290" s="418">
        <f>IF(ISNUMBER(SEARCH(ZAKL_DATA!$B$29,N290)),MAX($M$2:M289)+1,0)</f>
        <v>288</v>
      </c>
      <c r="N290" s="419" t="s">
        <v>2118</v>
      </c>
      <c r="O290" s="436" t="s">
        <v>2119</v>
      </c>
      <c r="P290" s="421"/>
      <c r="Q290" s="422" t="str">
        <f>IFERROR(VLOOKUP(ROWS($Q$3:Q290),$M$3:$N$992,2,0),"")</f>
        <v>Rekreační a ostatní krátkodobé ubytování</v>
      </c>
      <c r="R290">
        <f>IF(ISNUMBER(SEARCH('1Př1'!$A$35,N290)),MAX($M$2:M289)+1,0)</f>
        <v>288</v>
      </c>
      <c r="S290" s="419" t="s">
        <v>2118</v>
      </c>
      <c r="T290" t="str">
        <f>IFERROR(VLOOKUP(ROWS($T$3:T290),$R$3:$S$992,2,0),"")</f>
        <v>Rekreační a ostatní krátkodobé ubytování</v>
      </c>
      <c r="U290">
        <f>IF(ISNUMBER(SEARCH('1Př1'!$A$36,N290)),MAX($M$2:M289)+1,0)</f>
        <v>288</v>
      </c>
      <c r="V290" s="419" t="s">
        <v>2118</v>
      </c>
      <c r="W290" t="str">
        <f>IFERROR(VLOOKUP(ROWS($W$3:W290),$U$3:$V$992,2,0),"")</f>
        <v>Rekreační a ostatní krátkodobé ubytování</v>
      </c>
      <c r="X290">
        <f>IF(ISNUMBER(SEARCH('1Př1'!$A$37,N290)),MAX($M$2:M289)+1,0)</f>
        <v>288</v>
      </c>
      <c r="Y290" s="419" t="s">
        <v>2118</v>
      </c>
      <c r="Z290" t="str">
        <f>IFERROR(VLOOKUP(ROWS($Z$3:Z290),$X$3:$Y$992,2,0),"")</f>
        <v>Rekreační a ostatní krátkodobé ubytování</v>
      </c>
    </row>
    <row r="291" spans="13:26" ht="12.75">
      <c r="M291" s="418">
        <f>IF(ISNUMBER(SEARCH(ZAKL_DATA!$B$29,N291)),MAX($M$2:M290)+1,0)</f>
        <v>289</v>
      </c>
      <c r="N291" s="419" t="s">
        <v>2120</v>
      </c>
      <c r="O291" s="436" t="s">
        <v>2121</v>
      </c>
      <c r="P291" s="421"/>
      <c r="Q291" s="422" t="str">
        <f>IFERROR(VLOOKUP(ROWS($Q$3:Q291),$M$3:$N$992,2,0),"")</f>
        <v>Kempy a tábořiště</v>
      </c>
      <c r="R291">
        <f>IF(ISNUMBER(SEARCH('1Př1'!$A$35,N291)),MAX($M$2:M290)+1,0)</f>
        <v>289</v>
      </c>
      <c r="S291" s="419" t="s">
        <v>2120</v>
      </c>
      <c r="T291" t="str">
        <f>IFERROR(VLOOKUP(ROWS($T$3:T291),$R$3:$S$992,2,0),"")</f>
        <v>Kempy a tábořiště</v>
      </c>
      <c r="U291">
        <f>IF(ISNUMBER(SEARCH('1Př1'!$A$36,N291)),MAX($M$2:M290)+1,0)</f>
        <v>289</v>
      </c>
      <c r="V291" s="419" t="s">
        <v>2120</v>
      </c>
      <c r="W291" t="str">
        <f>IFERROR(VLOOKUP(ROWS($W$3:W291),$U$3:$V$992,2,0),"")</f>
        <v>Kempy a tábořiště</v>
      </c>
      <c r="X291">
        <f>IF(ISNUMBER(SEARCH('1Př1'!$A$37,N291)),MAX($M$2:M290)+1,0)</f>
        <v>289</v>
      </c>
      <c r="Y291" s="419" t="s">
        <v>2120</v>
      </c>
      <c r="Z291" t="str">
        <f>IFERROR(VLOOKUP(ROWS($Z$3:Z291),$X$3:$Y$992,2,0),"")</f>
        <v>Kempy a tábořiště</v>
      </c>
    </row>
    <row r="292" spans="13:26" ht="12.75">
      <c r="M292" s="418">
        <f>IF(ISNUMBER(SEARCH(ZAKL_DATA!$B$29,N292)),MAX($M$2:M291)+1,0)</f>
        <v>290</v>
      </c>
      <c r="N292" s="419" t="s">
        <v>2122</v>
      </c>
      <c r="O292" s="436" t="s">
        <v>2123</v>
      </c>
      <c r="P292" s="421"/>
      <c r="Q292" s="422" t="str">
        <f>IFERROR(VLOOKUP(ROWS($Q$3:Q292),$M$3:$N$992,2,0),"")</f>
        <v>Ostatní ubytování</v>
      </c>
      <c r="R292">
        <f>IF(ISNUMBER(SEARCH('1Př1'!$A$35,N292)),MAX($M$2:M291)+1,0)</f>
        <v>290</v>
      </c>
      <c r="S292" s="419" t="s">
        <v>2122</v>
      </c>
      <c r="T292" t="str">
        <f>IFERROR(VLOOKUP(ROWS($T$3:T292),$R$3:$S$992,2,0),"")</f>
        <v>Ostatní ubytování</v>
      </c>
      <c r="U292">
        <f>IF(ISNUMBER(SEARCH('1Př1'!$A$36,N292)),MAX($M$2:M291)+1,0)</f>
        <v>290</v>
      </c>
      <c r="V292" s="419" t="s">
        <v>2122</v>
      </c>
      <c r="W292" t="str">
        <f>IFERROR(VLOOKUP(ROWS($W$3:W292),$U$3:$V$992,2,0),"")</f>
        <v>Ostatní ubytování</v>
      </c>
      <c r="X292">
        <f>IF(ISNUMBER(SEARCH('1Př1'!$A$37,N292)),MAX($M$2:M291)+1,0)</f>
        <v>290</v>
      </c>
      <c r="Y292" s="419" t="s">
        <v>2122</v>
      </c>
      <c r="Z292" t="str">
        <f>IFERROR(VLOOKUP(ROWS($Z$3:Z292),$X$3:$Y$992,2,0),"")</f>
        <v>Ostatní ubytování</v>
      </c>
    </row>
    <row r="293" spans="13:26" ht="12.75">
      <c r="M293" s="418">
        <f>IF(ISNUMBER(SEARCH(ZAKL_DATA!$B$29,N293)),MAX($M$2:M292)+1,0)</f>
        <v>291</v>
      </c>
      <c r="N293" s="419" t="s">
        <v>2124</v>
      </c>
      <c r="O293" s="436" t="s">
        <v>2125</v>
      </c>
      <c r="P293" s="421"/>
      <c r="Q293" s="422" t="str">
        <f>IFERROR(VLOOKUP(ROWS($Q$3:Q293),$M$3:$N$992,2,0),"")</f>
        <v>Stravování v restauracích, u stánků a v mobilních zařízeních</v>
      </c>
      <c r="R293">
        <f>IF(ISNUMBER(SEARCH('1Př1'!$A$35,N293)),MAX($M$2:M292)+1,0)</f>
        <v>291</v>
      </c>
      <c r="S293" s="419" t="s">
        <v>2124</v>
      </c>
      <c r="T293" t="str">
        <f>IFERROR(VLOOKUP(ROWS($T$3:T293),$R$3:$S$992,2,0),"")</f>
        <v>Stravování v restauracích, u stánků a v mobilních zařízeních</v>
      </c>
      <c r="U293">
        <f>IF(ISNUMBER(SEARCH('1Př1'!$A$36,N293)),MAX($M$2:M292)+1,0)</f>
        <v>291</v>
      </c>
      <c r="V293" s="419" t="s">
        <v>2124</v>
      </c>
      <c r="W293" t="str">
        <f>IFERROR(VLOOKUP(ROWS($W$3:W293),$U$3:$V$992,2,0),"")</f>
        <v>Stravování v restauracích, u stánků a v mobilních zařízeních</v>
      </c>
      <c r="X293">
        <f>IF(ISNUMBER(SEARCH('1Př1'!$A$37,N293)),MAX($M$2:M292)+1,0)</f>
        <v>291</v>
      </c>
      <c r="Y293" s="419" t="s">
        <v>2124</v>
      </c>
      <c r="Z293" t="str">
        <f>IFERROR(VLOOKUP(ROWS($Z$3:Z293),$X$3:$Y$992,2,0),"")</f>
        <v>Stravování v restauracích, u stánků a v mobilních zařízeních</v>
      </c>
    </row>
    <row r="294" spans="13:26" ht="12.75">
      <c r="M294" s="418">
        <f>IF(ISNUMBER(SEARCH(ZAKL_DATA!$B$29,N294)),MAX($M$2:M293)+1,0)</f>
        <v>292</v>
      </c>
      <c r="N294" s="419" t="s">
        <v>2126</v>
      </c>
      <c r="O294" s="436" t="s">
        <v>2127</v>
      </c>
      <c r="P294" s="421"/>
      <c r="Q294" s="422" t="str">
        <f>IFERROR(VLOOKUP(ROWS($Q$3:Q294),$M$3:$N$992,2,0),"")</f>
        <v>Poskytování cateringových a ostatních stravovacích služeb</v>
      </c>
      <c r="R294">
        <f>IF(ISNUMBER(SEARCH('1Př1'!$A$35,N294)),MAX($M$2:M293)+1,0)</f>
        <v>292</v>
      </c>
      <c r="S294" s="419" t="s">
        <v>2126</v>
      </c>
      <c r="T294" t="str">
        <f>IFERROR(VLOOKUP(ROWS($T$3:T294),$R$3:$S$992,2,0),"")</f>
        <v>Poskytování cateringových a ostatních stravovacích služeb</v>
      </c>
      <c r="U294">
        <f>IF(ISNUMBER(SEARCH('1Př1'!$A$36,N294)),MAX($M$2:M293)+1,0)</f>
        <v>292</v>
      </c>
      <c r="V294" s="419" t="s">
        <v>2126</v>
      </c>
      <c r="W294" t="str">
        <f>IFERROR(VLOOKUP(ROWS($W$3:W294),$U$3:$V$992,2,0),"")</f>
        <v>Poskytování cateringových a ostatních stravovacích služeb</v>
      </c>
      <c r="X294">
        <f>IF(ISNUMBER(SEARCH('1Př1'!$A$37,N294)),MAX($M$2:M293)+1,0)</f>
        <v>292</v>
      </c>
      <c r="Y294" s="419" t="s">
        <v>2126</v>
      </c>
      <c r="Z294" t="str">
        <f>IFERROR(VLOOKUP(ROWS($Z$3:Z294),$X$3:$Y$992,2,0),"")</f>
        <v>Poskytování cateringových a ostatních stravovacích služeb</v>
      </c>
    </row>
    <row r="295" spans="13:26" ht="12.75">
      <c r="M295" s="418">
        <f>IF(ISNUMBER(SEARCH(ZAKL_DATA!$B$29,N295)),MAX($M$2:M294)+1,0)</f>
        <v>293</v>
      </c>
      <c r="N295" s="419" t="s">
        <v>2128</v>
      </c>
      <c r="O295" s="436" t="s">
        <v>2129</v>
      </c>
      <c r="P295" s="421"/>
      <c r="Q295" s="422" t="str">
        <f>IFERROR(VLOOKUP(ROWS($Q$3:Q295),$M$3:$N$992,2,0),"")</f>
        <v>Pohostinství</v>
      </c>
      <c r="R295">
        <f>IF(ISNUMBER(SEARCH('1Př1'!$A$35,N295)),MAX($M$2:M294)+1,0)</f>
        <v>293</v>
      </c>
      <c r="S295" s="419" t="s">
        <v>2128</v>
      </c>
      <c r="T295" t="str">
        <f>IFERROR(VLOOKUP(ROWS($T$3:T295),$R$3:$S$992,2,0),"")</f>
        <v>Pohostinství</v>
      </c>
      <c r="U295">
        <f>IF(ISNUMBER(SEARCH('1Př1'!$A$36,N295)),MAX($M$2:M294)+1,0)</f>
        <v>293</v>
      </c>
      <c r="V295" s="419" t="s">
        <v>2128</v>
      </c>
      <c r="W295" t="str">
        <f>IFERROR(VLOOKUP(ROWS($W$3:W295),$U$3:$V$992,2,0),"")</f>
        <v>Pohostinství</v>
      </c>
      <c r="X295">
        <f>IF(ISNUMBER(SEARCH('1Př1'!$A$37,N295)),MAX($M$2:M294)+1,0)</f>
        <v>293</v>
      </c>
      <c r="Y295" s="419" t="s">
        <v>2128</v>
      </c>
      <c r="Z295" t="str">
        <f>IFERROR(VLOOKUP(ROWS($Z$3:Z295),$X$3:$Y$992,2,0),"")</f>
        <v>Pohostinství</v>
      </c>
    </row>
    <row r="296" spans="13:26" ht="12.75">
      <c r="M296" s="418">
        <f>IF(ISNUMBER(SEARCH(ZAKL_DATA!$B$29,N296)),MAX($M$2:M295)+1,0)</f>
        <v>294</v>
      </c>
      <c r="N296" s="419" t="s">
        <v>2130</v>
      </c>
      <c r="O296" s="436" t="s">
        <v>2131</v>
      </c>
      <c r="P296" s="421"/>
      <c r="Q296" s="422" t="str">
        <f>IFERROR(VLOOKUP(ROWS($Q$3:Q296),$M$3:$N$992,2,0),"")</f>
        <v>Vydávání knih, periodických publikací a ostatní vydavatelské činnosti</v>
      </c>
      <c r="R296">
        <f>IF(ISNUMBER(SEARCH('1Př1'!$A$35,N296)),MAX($M$2:M295)+1,0)</f>
        <v>294</v>
      </c>
      <c r="S296" s="419" t="s">
        <v>2130</v>
      </c>
      <c r="T296" t="str">
        <f>IFERROR(VLOOKUP(ROWS($T$3:T296),$R$3:$S$992,2,0),"")</f>
        <v>Vydávání knih, periodických publikací a ostatní vydavatelské činnosti</v>
      </c>
      <c r="U296">
        <f>IF(ISNUMBER(SEARCH('1Př1'!$A$36,N296)),MAX($M$2:M295)+1,0)</f>
        <v>294</v>
      </c>
      <c r="V296" s="419" t="s">
        <v>2130</v>
      </c>
      <c r="W296" t="str">
        <f>IFERROR(VLOOKUP(ROWS($W$3:W296),$U$3:$V$992,2,0),"")</f>
        <v>Vydávání knih, periodických publikací a ostatní vydavatelské činnosti</v>
      </c>
      <c r="X296">
        <f>IF(ISNUMBER(SEARCH('1Př1'!$A$37,N296)),MAX($M$2:M295)+1,0)</f>
        <v>294</v>
      </c>
      <c r="Y296" s="419" t="s">
        <v>2130</v>
      </c>
      <c r="Z296" t="str">
        <f>IFERROR(VLOOKUP(ROWS($Z$3:Z296),$X$3:$Y$992,2,0),"")</f>
        <v>Vydávání knih, periodických publikací a ostatní vydavatelské činnosti</v>
      </c>
    </row>
    <row r="297" spans="13:26" ht="12.75">
      <c r="M297" s="418">
        <f>IF(ISNUMBER(SEARCH(ZAKL_DATA!$B$29,N297)),MAX($M$2:M296)+1,0)</f>
        <v>295</v>
      </c>
      <c r="N297" s="419" t="s">
        <v>2132</v>
      </c>
      <c r="O297" s="436" t="s">
        <v>2133</v>
      </c>
      <c r="P297" s="421"/>
      <c r="Q297" s="422" t="str">
        <f>IFERROR(VLOOKUP(ROWS($Q$3:Q297),$M$3:$N$992,2,0),"")</f>
        <v>Vydávání softwaru</v>
      </c>
      <c r="R297">
        <f>IF(ISNUMBER(SEARCH('1Př1'!$A$35,N297)),MAX($M$2:M296)+1,0)</f>
        <v>295</v>
      </c>
      <c r="S297" s="419" t="s">
        <v>2132</v>
      </c>
      <c r="T297" t="str">
        <f>IFERROR(VLOOKUP(ROWS($T$3:T297),$R$3:$S$992,2,0),"")</f>
        <v>Vydávání softwaru</v>
      </c>
      <c r="U297">
        <f>IF(ISNUMBER(SEARCH('1Př1'!$A$36,N297)),MAX($M$2:M296)+1,0)</f>
        <v>295</v>
      </c>
      <c r="V297" s="419" t="s">
        <v>2132</v>
      </c>
      <c r="W297" t="str">
        <f>IFERROR(VLOOKUP(ROWS($W$3:W297),$U$3:$V$992,2,0),"")</f>
        <v>Vydávání softwaru</v>
      </c>
      <c r="X297">
        <f>IF(ISNUMBER(SEARCH('1Př1'!$A$37,N297)),MAX($M$2:M296)+1,0)</f>
        <v>295</v>
      </c>
      <c r="Y297" s="419" t="s">
        <v>2132</v>
      </c>
      <c r="Z297" t="str">
        <f>IFERROR(VLOOKUP(ROWS($Z$3:Z297),$X$3:$Y$992,2,0),"")</f>
        <v>Vydávání softwaru</v>
      </c>
    </row>
    <row r="298" spans="13:26" ht="12.75">
      <c r="M298" s="418">
        <f>IF(ISNUMBER(SEARCH(ZAKL_DATA!$B$29,N298)),MAX($M$2:M297)+1,0)</f>
        <v>296</v>
      </c>
      <c r="N298" s="419" t="s">
        <v>2134</v>
      </c>
      <c r="O298" s="436" t="s">
        <v>2135</v>
      </c>
      <c r="P298" s="421"/>
      <c r="Q298" s="422" t="str">
        <f>IFERROR(VLOOKUP(ROWS($Q$3:Q298),$M$3:$N$992,2,0),"")</f>
        <v>Činnosti v oblasti filmů, videozáznamů a televizních programů</v>
      </c>
      <c r="R298">
        <f>IF(ISNUMBER(SEARCH('1Př1'!$A$35,N298)),MAX($M$2:M297)+1,0)</f>
        <v>296</v>
      </c>
      <c r="S298" s="419" t="s">
        <v>2134</v>
      </c>
      <c r="T298" t="str">
        <f>IFERROR(VLOOKUP(ROWS($T$3:T298),$R$3:$S$992,2,0),"")</f>
        <v>Činnosti v oblasti filmů, videozáznamů a televizních programů</v>
      </c>
      <c r="U298">
        <f>IF(ISNUMBER(SEARCH('1Př1'!$A$36,N298)),MAX($M$2:M297)+1,0)</f>
        <v>296</v>
      </c>
      <c r="V298" s="419" t="s">
        <v>2134</v>
      </c>
      <c r="W298" t="str">
        <f>IFERROR(VLOOKUP(ROWS($W$3:W298),$U$3:$V$992,2,0),"")</f>
        <v>Činnosti v oblasti filmů, videozáznamů a televizních programů</v>
      </c>
      <c r="X298">
        <f>IF(ISNUMBER(SEARCH('1Př1'!$A$37,N298)),MAX($M$2:M297)+1,0)</f>
        <v>296</v>
      </c>
      <c r="Y298" s="419" t="s">
        <v>2134</v>
      </c>
      <c r="Z298" t="str">
        <f>IFERROR(VLOOKUP(ROWS($Z$3:Z298),$X$3:$Y$992,2,0),"")</f>
        <v>Činnosti v oblasti filmů, videozáznamů a televizních programů</v>
      </c>
    </row>
    <row r="299" spans="13:26" ht="12.75">
      <c r="M299" s="418">
        <f>IF(ISNUMBER(SEARCH(ZAKL_DATA!$B$29,N299)),MAX($M$2:M298)+1,0)</f>
        <v>297</v>
      </c>
      <c r="N299" s="419" t="s">
        <v>2136</v>
      </c>
      <c r="O299" s="436" t="s">
        <v>2137</v>
      </c>
      <c r="P299" s="421"/>
      <c r="Q299" s="422" t="str">
        <f>IFERROR(VLOOKUP(ROWS($Q$3:Q299),$M$3:$N$992,2,0),"")</f>
        <v>Pořizování zvukových nahrávek a hudební vydavatelské činnosti</v>
      </c>
      <c r="R299">
        <f>IF(ISNUMBER(SEARCH('1Př1'!$A$35,N299)),MAX($M$2:M298)+1,0)</f>
        <v>297</v>
      </c>
      <c r="S299" s="419" t="s">
        <v>2136</v>
      </c>
      <c r="T299" t="str">
        <f>IFERROR(VLOOKUP(ROWS($T$3:T299),$R$3:$S$992,2,0),"")</f>
        <v>Pořizování zvukových nahrávek a hudební vydavatelské činnosti</v>
      </c>
      <c r="U299">
        <f>IF(ISNUMBER(SEARCH('1Př1'!$A$36,N299)),MAX($M$2:M298)+1,0)</f>
        <v>297</v>
      </c>
      <c r="V299" s="419" t="s">
        <v>2136</v>
      </c>
      <c r="W299" t="str">
        <f>IFERROR(VLOOKUP(ROWS($W$3:W299),$U$3:$V$992,2,0),"")</f>
        <v>Pořizování zvukových nahrávek a hudební vydavatelské činnosti</v>
      </c>
      <c r="X299">
        <f>IF(ISNUMBER(SEARCH('1Př1'!$A$37,N299)),MAX($M$2:M298)+1,0)</f>
        <v>297</v>
      </c>
      <c r="Y299" s="419" t="s">
        <v>2136</v>
      </c>
      <c r="Z299" t="str">
        <f>IFERROR(VLOOKUP(ROWS($Z$3:Z299),$X$3:$Y$992,2,0),"")</f>
        <v>Pořizování zvukových nahrávek a hudební vydavatelské činnosti</v>
      </c>
    </row>
    <row r="300" spans="13:26" ht="12.75">
      <c r="M300" s="418">
        <f>IF(ISNUMBER(SEARCH(ZAKL_DATA!$B$29,N300)),MAX($M$2:M299)+1,0)</f>
        <v>298</v>
      </c>
      <c r="N300" s="419" t="s">
        <v>2138</v>
      </c>
      <c r="O300" s="436" t="s">
        <v>2139</v>
      </c>
      <c r="P300" s="421"/>
      <c r="Q300" s="422" t="str">
        <f>IFERROR(VLOOKUP(ROWS($Q$3:Q300),$M$3:$N$992,2,0),"")</f>
        <v>Rozhlasové vysílání</v>
      </c>
      <c r="R300">
        <f>IF(ISNUMBER(SEARCH('1Př1'!$A$35,N300)),MAX($M$2:M299)+1,0)</f>
        <v>298</v>
      </c>
      <c r="S300" s="419" t="s">
        <v>2138</v>
      </c>
      <c r="T300" t="str">
        <f>IFERROR(VLOOKUP(ROWS($T$3:T300),$R$3:$S$992,2,0),"")</f>
        <v>Rozhlasové vysílání</v>
      </c>
      <c r="U300">
        <f>IF(ISNUMBER(SEARCH('1Př1'!$A$36,N300)),MAX($M$2:M299)+1,0)</f>
        <v>298</v>
      </c>
      <c r="V300" s="419" t="s">
        <v>2138</v>
      </c>
      <c r="W300" t="str">
        <f>IFERROR(VLOOKUP(ROWS($W$3:W300),$U$3:$V$992,2,0),"")</f>
        <v>Rozhlasové vysílání</v>
      </c>
      <c r="X300">
        <f>IF(ISNUMBER(SEARCH('1Př1'!$A$37,N300)),MAX($M$2:M299)+1,0)</f>
        <v>298</v>
      </c>
      <c r="Y300" s="419" t="s">
        <v>2138</v>
      </c>
      <c r="Z300" t="str">
        <f>IFERROR(VLOOKUP(ROWS($Z$3:Z300),$X$3:$Y$992,2,0),"")</f>
        <v>Rozhlasové vysílání</v>
      </c>
    </row>
    <row r="301" spans="13:26" ht="12.75">
      <c r="M301" s="418">
        <f>IF(ISNUMBER(SEARCH(ZAKL_DATA!$B$29,N301)),MAX($M$2:M300)+1,0)</f>
        <v>299</v>
      </c>
      <c r="N301" s="419" t="s">
        <v>2140</v>
      </c>
      <c r="O301" s="436" t="s">
        <v>2141</v>
      </c>
      <c r="P301" s="421"/>
      <c r="Q301" s="422" t="str">
        <f>IFERROR(VLOOKUP(ROWS($Q$3:Q301),$M$3:$N$992,2,0),"")</f>
        <v>Tvorba televizních programů a televizní vysílání</v>
      </c>
      <c r="R301">
        <f>IF(ISNUMBER(SEARCH('1Př1'!$A$35,N301)),MAX($M$2:M300)+1,0)</f>
        <v>299</v>
      </c>
      <c r="S301" s="419" t="s">
        <v>2140</v>
      </c>
      <c r="T301" t="str">
        <f>IFERROR(VLOOKUP(ROWS($T$3:T301),$R$3:$S$992,2,0),"")</f>
        <v>Tvorba televizních programů a televizní vysílání</v>
      </c>
      <c r="U301">
        <f>IF(ISNUMBER(SEARCH('1Př1'!$A$36,N301)),MAX($M$2:M300)+1,0)</f>
        <v>299</v>
      </c>
      <c r="V301" s="419" t="s">
        <v>2140</v>
      </c>
      <c r="W301" t="str">
        <f>IFERROR(VLOOKUP(ROWS($W$3:W301),$U$3:$V$992,2,0),"")</f>
        <v>Tvorba televizních programů a televizní vysílání</v>
      </c>
      <c r="X301">
        <f>IF(ISNUMBER(SEARCH('1Př1'!$A$37,N301)),MAX($M$2:M300)+1,0)</f>
        <v>299</v>
      </c>
      <c r="Y301" s="419" t="s">
        <v>2140</v>
      </c>
      <c r="Z301" t="str">
        <f>IFERROR(VLOOKUP(ROWS($Z$3:Z301),$X$3:$Y$992,2,0),"")</f>
        <v>Tvorba televizních programů a televizní vysílání</v>
      </c>
    </row>
    <row r="302" spans="13:26" ht="12.75">
      <c r="M302" s="418">
        <f>IF(ISNUMBER(SEARCH(ZAKL_DATA!$B$29,N302)),MAX($M$2:M301)+1,0)</f>
        <v>300</v>
      </c>
      <c r="N302" s="419" t="s">
        <v>2142</v>
      </c>
      <c r="O302" s="436" t="s">
        <v>2143</v>
      </c>
      <c r="P302" s="421"/>
      <c r="Q302" s="422" t="str">
        <f>IFERROR(VLOOKUP(ROWS($Q$3:Q302),$M$3:$N$992,2,0),"")</f>
        <v>Činnosti související s pevnou telekomunikační sítí</v>
      </c>
      <c r="R302">
        <f>IF(ISNUMBER(SEARCH('1Př1'!$A$35,N302)),MAX($M$2:M301)+1,0)</f>
        <v>300</v>
      </c>
      <c r="S302" s="419" t="s">
        <v>2142</v>
      </c>
      <c r="T302" t="str">
        <f>IFERROR(VLOOKUP(ROWS($T$3:T302),$R$3:$S$992,2,0),"")</f>
        <v>Činnosti související s pevnou telekomunikační sítí</v>
      </c>
      <c r="U302">
        <f>IF(ISNUMBER(SEARCH('1Př1'!$A$36,N302)),MAX($M$2:M301)+1,0)</f>
        <v>300</v>
      </c>
      <c r="V302" s="419" t="s">
        <v>2142</v>
      </c>
      <c r="W302" t="str">
        <f>IFERROR(VLOOKUP(ROWS($W$3:W302),$U$3:$V$992,2,0),"")</f>
        <v>Činnosti související s pevnou telekomunikační sítí</v>
      </c>
      <c r="X302">
        <f>IF(ISNUMBER(SEARCH('1Př1'!$A$37,N302)),MAX($M$2:M301)+1,0)</f>
        <v>300</v>
      </c>
      <c r="Y302" s="419" t="s">
        <v>2142</v>
      </c>
      <c r="Z302" t="str">
        <f>IFERROR(VLOOKUP(ROWS($Z$3:Z302),$X$3:$Y$992,2,0),"")</f>
        <v>Činnosti související s pevnou telekomunikační sítí</v>
      </c>
    </row>
    <row r="303" spans="13:26" ht="12.75">
      <c r="M303" s="418">
        <f>IF(ISNUMBER(SEARCH(ZAKL_DATA!$B$29,N303)),MAX($M$2:M302)+1,0)</f>
        <v>301</v>
      </c>
      <c r="N303" s="419" t="s">
        <v>2144</v>
      </c>
      <c r="O303" s="436" t="s">
        <v>2145</v>
      </c>
      <c r="P303" s="421"/>
      <c r="Q303" s="422" t="str">
        <f>IFERROR(VLOOKUP(ROWS($Q$3:Q303),$M$3:$N$992,2,0),"")</f>
        <v>Činnosti související s bezdrátovou telekomunikační sítí</v>
      </c>
      <c r="R303">
        <f>IF(ISNUMBER(SEARCH('1Př1'!$A$35,N303)),MAX($M$2:M302)+1,0)</f>
        <v>301</v>
      </c>
      <c r="S303" s="419" t="s">
        <v>2144</v>
      </c>
      <c r="T303" t="str">
        <f>IFERROR(VLOOKUP(ROWS($T$3:T303),$R$3:$S$992,2,0),"")</f>
        <v>Činnosti související s bezdrátovou telekomunikační sítí</v>
      </c>
      <c r="U303">
        <f>IF(ISNUMBER(SEARCH('1Př1'!$A$36,N303)),MAX($M$2:M302)+1,0)</f>
        <v>301</v>
      </c>
      <c r="V303" s="419" t="s">
        <v>2144</v>
      </c>
      <c r="W303" t="str">
        <f>IFERROR(VLOOKUP(ROWS($W$3:W303),$U$3:$V$992,2,0),"")</f>
        <v>Činnosti související s bezdrátovou telekomunikační sítí</v>
      </c>
      <c r="X303">
        <f>IF(ISNUMBER(SEARCH('1Př1'!$A$37,N303)),MAX($M$2:M302)+1,0)</f>
        <v>301</v>
      </c>
      <c r="Y303" s="419" t="s">
        <v>2144</v>
      </c>
      <c r="Z303" t="str">
        <f>IFERROR(VLOOKUP(ROWS($Z$3:Z303),$X$3:$Y$992,2,0),"")</f>
        <v>Činnosti související s bezdrátovou telekomunikační sítí</v>
      </c>
    </row>
    <row r="304" spans="13:26" ht="12.75">
      <c r="M304" s="418">
        <f>IF(ISNUMBER(SEARCH(ZAKL_DATA!$B$29,N304)),MAX($M$2:M303)+1,0)</f>
        <v>302</v>
      </c>
      <c r="N304" s="419" t="s">
        <v>2146</v>
      </c>
      <c r="O304" s="436" t="s">
        <v>2147</v>
      </c>
      <c r="P304" s="421"/>
      <c r="Q304" s="422" t="str">
        <f>IFERROR(VLOOKUP(ROWS($Q$3:Q304),$M$3:$N$992,2,0),"")</f>
        <v>Činnosti související se satelitní telekomunikační sítí</v>
      </c>
      <c r="R304">
        <f>IF(ISNUMBER(SEARCH('1Př1'!$A$35,N304)),MAX($M$2:M303)+1,0)</f>
        <v>302</v>
      </c>
      <c r="S304" s="419" t="s">
        <v>2146</v>
      </c>
      <c r="T304" t="str">
        <f>IFERROR(VLOOKUP(ROWS($T$3:T304),$R$3:$S$992,2,0),"")</f>
        <v>Činnosti související se satelitní telekomunikační sítí</v>
      </c>
      <c r="U304">
        <f>IF(ISNUMBER(SEARCH('1Př1'!$A$36,N304)),MAX($M$2:M303)+1,0)</f>
        <v>302</v>
      </c>
      <c r="V304" s="419" t="s">
        <v>2146</v>
      </c>
      <c r="W304" t="str">
        <f>IFERROR(VLOOKUP(ROWS($W$3:W304),$U$3:$V$992,2,0),"")</f>
        <v>Činnosti související se satelitní telekomunikační sítí</v>
      </c>
      <c r="X304">
        <f>IF(ISNUMBER(SEARCH('1Př1'!$A$37,N304)),MAX($M$2:M303)+1,0)</f>
        <v>302</v>
      </c>
      <c r="Y304" s="419" t="s">
        <v>2146</v>
      </c>
      <c r="Z304" t="str">
        <f>IFERROR(VLOOKUP(ROWS($Z$3:Z304),$X$3:$Y$992,2,0),"")</f>
        <v>Činnosti související se satelitní telekomunikační sítí</v>
      </c>
    </row>
    <row r="305" spans="13:26" ht="12.75">
      <c r="M305" s="418">
        <f>IF(ISNUMBER(SEARCH(ZAKL_DATA!$B$29,N305)),MAX($M$2:M304)+1,0)</f>
        <v>303</v>
      </c>
      <c r="N305" s="419" t="s">
        <v>2148</v>
      </c>
      <c r="O305" s="436" t="s">
        <v>2149</v>
      </c>
      <c r="P305" s="421"/>
      <c r="Q305" s="422" t="str">
        <f>IFERROR(VLOOKUP(ROWS($Q$3:Q305),$M$3:$N$992,2,0),"")</f>
        <v>Ostatní telekomunikační činnosti</v>
      </c>
      <c r="R305">
        <f>IF(ISNUMBER(SEARCH('1Př1'!$A$35,N305)),MAX($M$2:M304)+1,0)</f>
        <v>303</v>
      </c>
      <c r="S305" s="419" t="s">
        <v>2148</v>
      </c>
      <c r="T305" t="str">
        <f>IFERROR(VLOOKUP(ROWS($T$3:T305),$R$3:$S$992,2,0),"")</f>
        <v>Ostatní telekomunikační činnosti</v>
      </c>
      <c r="U305">
        <f>IF(ISNUMBER(SEARCH('1Př1'!$A$36,N305)),MAX($M$2:M304)+1,0)</f>
        <v>303</v>
      </c>
      <c r="V305" s="419" t="s">
        <v>2148</v>
      </c>
      <c r="W305" t="str">
        <f>IFERROR(VLOOKUP(ROWS($W$3:W305),$U$3:$V$992,2,0),"")</f>
        <v>Ostatní telekomunikační činnosti</v>
      </c>
      <c r="X305">
        <f>IF(ISNUMBER(SEARCH('1Př1'!$A$37,N305)),MAX($M$2:M304)+1,0)</f>
        <v>303</v>
      </c>
      <c r="Y305" s="419" t="s">
        <v>2148</v>
      </c>
      <c r="Z305" t="str">
        <f>IFERROR(VLOOKUP(ROWS($Z$3:Z305),$X$3:$Y$992,2,0),"")</f>
        <v>Ostatní telekomunikační činnosti</v>
      </c>
    </row>
    <row r="306" spans="13:26" ht="12.75">
      <c r="M306" s="418">
        <f>IF(ISNUMBER(SEARCH(ZAKL_DATA!$B$29,N306)),MAX($M$2:M305)+1,0)</f>
        <v>304</v>
      </c>
      <c r="N306" s="419" t="s">
        <v>2150</v>
      </c>
      <c r="O306" s="436" t="s">
        <v>2151</v>
      </c>
      <c r="P306" s="421"/>
      <c r="Q306" s="422" t="str">
        <f>IFERROR(VLOOKUP(ROWS($Q$3:Q306),$M$3:$N$992,2,0),"")</f>
        <v>Činnosti souvis.se zprac.dat a hostingem;činnosti souvis.s web.portály</v>
      </c>
      <c r="R306">
        <f>IF(ISNUMBER(SEARCH('1Př1'!$A$35,N306)),MAX($M$2:M305)+1,0)</f>
        <v>304</v>
      </c>
      <c r="S306" s="419" t="s">
        <v>2150</v>
      </c>
      <c r="T306" t="str">
        <f>IFERROR(VLOOKUP(ROWS($T$3:T306),$R$3:$S$992,2,0),"")</f>
        <v>Činnosti souvis.se zprac.dat a hostingem;činnosti souvis.s web.portály</v>
      </c>
      <c r="U306">
        <f>IF(ISNUMBER(SEARCH('1Př1'!$A$36,N306)),MAX($M$2:M305)+1,0)</f>
        <v>304</v>
      </c>
      <c r="V306" s="419" t="s">
        <v>2150</v>
      </c>
      <c r="W306" t="str">
        <f>IFERROR(VLOOKUP(ROWS($W$3:W306),$U$3:$V$992,2,0),"")</f>
        <v>Činnosti souvis.se zprac.dat a hostingem;činnosti souvis.s web.portály</v>
      </c>
      <c r="X306">
        <f>IF(ISNUMBER(SEARCH('1Př1'!$A$37,N306)),MAX($M$2:M305)+1,0)</f>
        <v>304</v>
      </c>
      <c r="Y306" s="419" t="s">
        <v>2150</v>
      </c>
      <c r="Z306" t="str">
        <f>IFERROR(VLOOKUP(ROWS($Z$3:Z306),$X$3:$Y$992,2,0),"")</f>
        <v>Činnosti souvis.se zprac.dat a hostingem;činnosti souvis.s web.portály</v>
      </c>
    </row>
    <row r="307" spans="13:26" ht="12.75">
      <c r="M307" s="418">
        <f>IF(ISNUMBER(SEARCH(ZAKL_DATA!$B$29,N307)),MAX($M$2:M306)+1,0)</f>
        <v>305</v>
      </c>
      <c r="N307" s="419" t="s">
        <v>2152</v>
      </c>
      <c r="O307" s="436" t="s">
        <v>2153</v>
      </c>
      <c r="P307" s="421"/>
      <c r="Q307" s="422" t="str">
        <f>IFERROR(VLOOKUP(ROWS($Q$3:Q307),$M$3:$N$992,2,0),"")</f>
        <v>Ostatní informační činnosti</v>
      </c>
      <c r="R307">
        <f>IF(ISNUMBER(SEARCH('1Př1'!$A$35,N307)),MAX($M$2:M306)+1,0)</f>
        <v>305</v>
      </c>
      <c r="S307" s="419" t="s">
        <v>2152</v>
      </c>
      <c r="T307" t="str">
        <f>IFERROR(VLOOKUP(ROWS($T$3:T307),$R$3:$S$992,2,0),"")</f>
        <v>Ostatní informační činnosti</v>
      </c>
      <c r="U307">
        <f>IF(ISNUMBER(SEARCH('1Př1'!$A$36,N307)),MAX($M$2:M306)+1,0)</f>
        <v>305</v>
      </c>
      <c r="V307" s="419" t="s">
        <v>2152</v>
      </c>
      <c r="W307" t="str">
        <f>IFERROR(VLOOKUP(ROWS($W$3:W307),$U$3:$V$992,2,0),"")</f>
        <v>Ostatní informační činnosti</v>
      </c>
      <c r="X307">
        <f>IF(ISNUMBER(SEARCH('1Př1'!$A$37,N307)),MAX($M$2:M306)+1,0)</f>
        <v>305</v>
      </c>
      <c r="Y307" s="419" t="s">
        <v>2152</v>
      </c>
      <c r="Z307" t="str">
        <f>IFERROR(VLOOKUP(ROWS($Z$3:Z307),$X$3:$Y$992,2,0),"")</f>
        <v>Ostatní informační činnosti</v>
      </c>
    </row>
    <row r="308" spans="13:26" ht="12.75">
      <c r="M308" s="418">
        <f>IF(ISNUMBER(SEARCH(ZAKL_DATA!$B$29,N308)),MAX($M$2:M307)+1,0)</f>
        <v>306</v>
      </c>
      <c r="N308" s="419" t="s">
        <v>2154</v>
      </c>
      <c r="O308" s="436" t="s">
        <v>2155</v>
      </c>
      <c r="P308" s="421"/>
      <c r="Q308" s="422" t="str">
        <f>IFERROR(VLOOKUP(ROWS($Q$3:Q308),$M$3:$N$992,2,0),"")</f>
        <v>Peněžní zprostředkování</v>
      </c>
      <c r="R308">
        <f>IF(ISNUMBER(SEARCH('1Př1'!$A$35,N308)),MAX($M$2:M307)+1,0)</f>
        <v>306</v>
      </c>
      <c r="S308" s="419" t="s">
        <v>2154</v>
      </c>
      <c r="T308" t="str">
        <f>IFERROR(VLOOKUP(ROWS($T$3:T308),$R$3:$S$992,2,0),"")</f>
        <v>Peněžní zprostředkování</v>
      </c>
      <c r="U308">
        <f>IF(ISNUMBER(SEARCH('1Př1'!$A$36,N308)),MAX($M$2:M307)+1,0)</f>
        <v>306</v>
      </c>
      <c r="V308" s="419" t="s">
        <v>2154</v>
      </c>
      <c r="W308" t="str">
        <f>IFERROR(VLOOKUP(ROWS($W$3:W308),$U$3:$V$992,2,0),"")</f>
        <v>Peněžní zprostředkování</v>
      </c>
      <c r="X308">
        <f>IF(ISNUMBER(SEARCH('1Př1'!$A$37,N308)),MAX($M$2:M307)+1,0)</f>
        <v>306</v>
      </c>
      <c r="Y308" s="419" t="s">
        <v>2154</v>
      </c>
      <c r="Z308" t="str">
        <f>IFERROR(VLOOKUP(ROWS($Z$3:Z308),$X$3:$Y$992,2,0),"")</f>
        <v>Peněžní zprostředkování</v>
      </c>
    </row>
    <row r="309" spans="13:26" ht="12.75">
      <c r="M309" s="418">
        <f>IF(ISNUMBER(SEARCH(ZAKL_DATA!$B$29,N309)),MAX($M$2:M308)+1,0)</f>
        <v>307</v>
      </c>
      <c r="N309" s="419" t="s">
        <v>2156</v>
      </c>
      <c r="O309" s="436" t="s">
        <v>2157</v>
      </c>
      <c r="P309" s="421"/>
      <c r="Q309" s="422" t="str">
        <f>IFERROR(VLOOKUP(ROWS($Q$3:Q309),$M$3:$N$992,2,0),"")</f>
        <v>Činnosti holdingových společností</v>
      </c>
      <c r="R309">
        <f>IF(ISNUMBER(SEARCH('1Př1'!$A$35,N309)),MAX($M$2:M308)+1,0)</f>
        <v>307</v>
      </c>
      <c r="S309" s="419" t="s">
        <v>2156</v>
      </c>
      <c r="T309" t="str">
        <f>IFERROR(VLOOKUP(ROWS($T$3:T309),$R$3:$S$992,2,0),"")</f>
        <v>Činnosti holdingových společností</v>
      </c>
      <c r="U309">
        <f>IF(ISNUMBER(SEARCH('1Př1'!$A$36,N309)),MAX($M$2:M308)+1,0)</f>
        <v>307</v>
      </c>
      <c r="V309" s="419" t="s">
        <v>2156</v>
      </c>
      <c r="W309" t="str">
        <f>IFERROR(VLOOKUP(ROWS($W$3:W309),$U$3:$V$992,2,0),"")</f>
        <v>Činnosti holdingových společností</v>
      </c>
      <c r="X309">
        <f>IF(ISNUMBER(SEARCH('1Př1'!$A$37,N309)),MAX($M$2:M308)+1,0)</f>
        <v>307</v>
      </c>
      <c r="Y309" s="419" t="s">
        <v>2156</v>
      </c>
      <c r="Z309" t="str">
        <f>IFERROR(VLOOKUP(ROWS($Z$3:Z309),$X$3:$Y$992,2,0),"")</f>
        <v>Činnosti holdingových společností</v>
      </c>
    </row>
    <row r="310" spans="13:26" ht="12.75">
      <c r="M310" s="418">
        <f>IF(ISNUMBER(SEARCH(ZAKL_DATA!$B$29,N310)),MAX($M$2:M309)+1,0)</f>
        <v>308</v>
      </c>
      <c r="N310" s="419" t="s">
        <v>2158</v>
      </c>
      <c r="O310" s="436" t="s">
        <v>2159</v>
      </c>
      <c r="P310" s="421"/>
      <c r="Q310" s="422" t="str">
        <f>IFERROR(VLOOKUP(ROWS($Q$3:Q310),$M$3:$N$992,2,0),"")</f>
        <v>Činnosti trustů, fondů a podobných finančních subjektů</v>
      </c>
      <c r="R310">
        <f>IF(ISNUMBER(SEARCH('1Př1'!$A$35,N310)),MAX($M$2:M309)+1,0)</f>
        <v>308</v>
      </c>
      <c r="S310" s="419" t="s">
        <v>2158</v>
      </c>
      <c r="T310" t="str">
        <f>IFERROR(VLOOKUP(ROWS($T$3:T310),$R$3:$S$992,2,0),"")</f>
        <v>Činnosti trustů, fondů a podobných finančních subjektů</v>
      </c>
      <c r="U310">
        <f>IF(ISNUMBER(SEARCH('1Př1'!$A$36,N310)),MAX($M$2:M309)+1,0)</f>
        <v>308</v>
      </c>
      <c r="V310" s="419" t="s">
        <v>2158</v>
      </c>
      <c r="W310" t="str">
        <f>IFERROR(VLOOKUP(ROWS($W$3:W310),$U$3:$V$992,2,0),"")</f>
        <v>Činnosti trustů, fondů a podobných finančních subjektů</v>
      </c>
      <c r="X310">
        <f>IF(ISNUMBER(SEARCH('1Př1'!$A$37,N310)),MAX($M$2:M309)+1,0)</f>
        <v>308</v>
      </c>
      <c r="Y310" s="419" t="s">
        <v>2158</v>
      </c>
      <c r="Z310" t="str">
        <f>IFERROR(VLOOKUP(ROWS($Z$3:Z310),$X$3:$Y$992,2,0),"")</f>
        <v>Činnosti trustů, fondů a podobných finančních subjektů</v>
      </c>
    </row>
    <row r="311" spans="13:26" ht="12.75">
      <c r="M311" s="418">
        <f>IF(ISNUMBER(SEARCH(ZAKL_DATA!$B$29,N311)),MAX($M$2:M310)+1,0)</f>
        <v>309</v>
      </c>
      <c r="N311" s="419" t="s">
        <v>2160</v>
      </c>
      <c r="O311" s="436" t="s">
        <v>2161</v>
      </c>
      <c r="P311" s="421"/>
      <c r="Q311" s="422" t="str">
        <f>IFERROR(VLOOKUP(ROWS($Q$3:Q311),$M$3:$N$992,2,0),"")</f>
        <v>Ostatní finanční zprostředkování</v>
      </c>
      <c r="R311">
        <f>IF(ISNUMBER(SEARCH('1Př1'!$A$35,N311)),MAX($M$2:M310)+1,0)</f>
        <v>309</v>
      </c>
      <c r="S311" s="419" t="s">
        <v>2160</v>
      </c>
      <c r="T311" t="str">
        <f>IFERROR(VLOOKUP(ROWS($T$3:T311),$R$3:$S$992,2,0),"")</f>
        <v>Ostatní finanční zprostředkování</v>
      </c>
      <c r="U311">
        <f>IF(ISNUMBER(SEARCH('1Př1'!$A$36,N311)),MAX($M$2:M310)+1,0)</f>
        <v>309</v>
      </c>
      <c r="V311" s="419" t="s">
        <v>2160</v>
      </c>
      <c r="W311" t="str">
        <f>IFERROR(VLOOKUP(ROWS($W$3:W311),$U$3:$V$992,2,0),"")</f>
        <v>Ostatní finanční zprostředkování</v>
      </c>
      <c r="X311">
        <f>IF(ISNUMBER(SEARCH('1Př1'!$A$37,N311)),MAX($M$2:M310)+1,0)</f>
        <v>309</v>
      </c>
      <c r="Y311" s="419" t="s">
        <v>2160</v>
      </c>
      <c r="Z311" t="str">
        <f>IFERROR(VLOOKUP(ROWS($Z$3:Z311),$X$3:$Y$992,2,0),"")</f>
        <v>Ostatní finanční zprostředkování</v>
      </c>
    </row>
    <row r="312" spans="13:26" ht="12.75">
      <c r="M312" s="418">
        <f>IF(ISNUMBER(SEARCH(ZAKL_DATA!$B$29,N312)),MAX($M$2:M311)+1,0)</f>
        <v>310</v>
      </c>
      <c r="N312" s="419" t="s">
        <v>353</v>
      </c>
      <c r="O312" s="436" t="s">
        <v>2162</v>
      </c>
      <c r="P312" s="421"/>
      <c r="Q312" s="422" t="str">
        <f>IFERROR(VLOOKUP(ROWS($Q$3:Q312),$M$3:$N$992,2,0),"")</f>
        <v>Pojištění</v>
      </c>
      <c r="R312">
        <f>IF(ISNUMBER(SEARCH('1Př1'!$A$35,N312)),MAX($M$2:M311)+1,0)</f>
        <v>310</v>
      </c>
      <c r="S312" s="419" t="s">
        <v>353</v>
      </c>
      <c r="T312" t="str">
        <f>IFERROR(VLOOKUP(ROWS($T$3:T312),$R$3:$S$992,2,0),"")</f>
        <v>Pojištění</v>
      </c>
      <c r="U312">
        <f>IF(ISNUMBER(SEARCH('1Př1'!$A$36,N312)),MAX($M$2:M311)+1,0)</f>
        <v>310</v>
      </c>
      <c r="V312" s="419" t="s">
        <v>353</v>
      </c>
      <c r="W312" t="str">
        <f>IFERROR(VLOOKUP(ROWS($W$3:W312),$U$3:$V$992,2,0),"")</f>
        <v>Pojištění</v>
      </c>
      <c r="X312">
        <f>IF(ISNUMBER(SEARCH('1Př1'!$A$37,N312)),MAX($M$2:M311)+1,0)</f>
        <v>310</v>
      </c>
      <c r="Y312" s="419" t="s">
        <v>353</v>
      </c>
      <c r="Z312" t="str">
        <f>IFERROR(VLOOKUP(ROWS($Z$3:Z312),$X$3:$Y$992,2,0),"")</f>
        <v>Pojištění</v>
      </c>
    </row>
    <row r="313" spans="13:26" ht="12.75">
      <c r="M313" s="418">
        <f>IF(ISNUMBER(SEARCH(ZAKL_DATA!$B$29,N313)),MAX($M$2:M312)+1,0)</f>
        <v>311</v>
      </c>
      <c r="N313" s="419" t="s">
        <v>2163</v>
      </c>
      <c r="O313" s="436" t="s">
        <v>2164</v>
      </c>
      <c r="P313" s="421"/>
      <c r="Q313" s="422" t="str">
        <f>IFERROR(VLOOKUP(ROWS($Q$3:Q313),$M$3:$N$992,2,0),"")</f>
        <v>Zajištění</v>
      </c>
      <c r="R313">
        <f>IF(ISNUMBER(SEARCH('1Př1'!$A$35,N313)),MAX($M$2:M312)+1,0)</f>
        <v>311</v>
      </c>
      <c r="S313" s="419" t="s">
        <v>2163</v>
      </c>
      <c r="T313" t="str">
        <f>IFERROR(VLOOKUP(ROWS($T$3:T313),$R$3:$S$992,2,0),"")</f>
        <v>Zajištění</v>
      </c>
      <c r="U313">
        <f>IF(ISNUMBER(SEARCH('1Př1'!$A$36,N313)),MAX($M$2:M312)+1,0)</f>
        <v>311</v>
      </c>
      <c r="V313" s="419" t="s">
        <v>2163</v>
      </c>
      <c r="W313" t="str">
        <f>IFERROR(VLOOKUP(ROWS($W$3:W313),$U$3:$V$992,2,0),"")</f>
        <v>Zajištění</v>
      </c>
      <c r="X313">
        <f>IF(ISNUMBER(SEARCH('1Př1'!$A$37,N313)),MAX($M$2:M312)+1,0)</f>
        <v>311</v>
      </c>
      <c r="Y313" s="419" t="s">
        <v>2163</v>
      </c>
      <c r="Z313" t="str">
        <f>IFERROR(VLOOKUP(ROWS($Z$3:Z313),$X$3:$Y$992,2,0),"")</f>
        <v>Zajištění</v>
      </c>
    </row>
    <row r="314" spans="13:26" ht="12.75">
      <c r="M314" s="418">
        <f>IF(ISNUMBER(SEARCH(ZAKL_DATA!$B$29,N314)),MAX($M$2:M313)+1,0)</f>
        <v>312</v>
      </c>
      <c r="N314" s="419" t="s">
        <v>2165</v>
      </c>
      <c r="O314" s="436" t="s">
        <v>2166</v>
      </c>
      <c r="P314" s="421"/>
      <c r="Q314" s="422" t="str">
        <f>IFERROR(VLOOKUP(ROWS($Q$3:Q314),$M$3:$N$992,2,0),"")</f>
        <v>Penzijní financování</v>
      </c>
      <c r="R314">
        <f>IF(ISNUMBER(SEARCH('1Př1'!$A$35,N314)),MAX($M$2:M313)+1,0)</f>
        <v>312</v>
      </c>
      <c r="S314" s="419" t="s">
        <v>2165</v>
      </c>
      <c r="T314" t="str">
        <f>IFERROR(VLOOKUP(ROWS($T$3:T314),$R$3:$S$992,2,0),"")</f>
        <v>Penzijní financování</v>
      </c>
      <c r="U314">
        <f>IF(ISNUMBER(SEARCH('1Př1'!$A$36,N314)),MAX($M$2:M313)+1,0)</f>
        <v>312</v>
      </c>
      <c r="V314" s="419" t="s">
        <v>2165</v>
      </c>
      <c r="W314" t="str">
        <f>IFERROR(VLOOKUP(ROWS($W$3:W314),$U$3:$V$992,2,0),"")</f>
        <v>Penzijní financování</v>
      </c>
      <c r="X314">
        <f>IF(ISNUMBER(SEARCH('1Př1'!$A$37,N314)),MAX($M$2:M313)+1,0)</f>
        <v>312</v>
      </c>
      <c r="Y314" s="419" t="s">
        <v>2165</v>
      </c>
      <c r="Z314" t="str">
        <f>IFERROR(VLOOKUP(ROWS($Z$3:Z314),$X$3:$Y$992,2,0),"")</f>
        <v>Penzijní financování</v>
      </c>
    </row>
    <row r="315" spans="13:26" ht="12.75">
      <c r="M315" s="418">
        <f>IF(ISNUMBER(SEARCH(ZAKL_DATA!$B$29,N315)),MAX($M$2:M314)+1,0)</f>
        <v>313</v>
      </c>
      <c r="N315" s="419" t="s">
        <v>2167</v>
      </c>
      <c r="O315" s="436" t="s">
        <v>2168</v>
      </c>
      <c r="P315" s="421"/>
      <c r="Q315" s="422" t="str">
        <f>IFERROR(VLOOKUP(ROWS($Q$3:Q315),$M$3:$N$992,2,0),"")</f>
        <v>Pomocné činnosti související s fin.zprostřed.,kromě pojišť.a penzij.fin.</v>
      </c>
      <c r="R315">
        <f>IF(ISNUMBER(SEARCH('1Př1'!$A$35,N315)),MAX($M$2:M314)+1,0)</f>
        <v>313</v>
      </c>
      <c r="S315" s="419" t="s">
        <v>2167</v>
      </c>
      <c r="T315" t="str">
        <f>IFERROR(VLOOKUP(ROWS($T$3:T315),$R$3:$S$992,2,0),"")</f>
        <v>Pomocné činnosti související s fin.zprostřed.,kromě pojišť.a penzij.fin.</v>
      </c>
      <c r="U315">
        <f>IF(ISNUMBER(SEARCH('1Př1'!$A$36,N315)),MAX($M$2:M314)+1,0)</f>
        <v>313</v>
      </c>
      <c r="V315" s="419" t="s">
        <v>2167</v>
      </c>
      <c r="W315" t="str">
        <f>IFERROR(VLOOKUP(ROWS($W$3:W315),$U$3:$V$992,2,0),"")</f>
        <v>Pomocné činnosti související s fin.zprostřed.,kromě pojišť.a penzij.fin.</v>
      </c>
      <c r="X315">
        <f>IF(ISNUMBER(SEARCH('1Př1'!$A$37,N315)),MAX($M$2:M314)+1,0)</f>
        <v>313</v>
      </c>
      <c r="Y315" s="419" t="s">
        <v>2167</v>
      </c>
      <c r="Z315" t="str">
        <f>IFERROR(VLOOKUP(ROWS($Z$3:Z315),$X$3:$Y$992,2,0),"")</f>
        <v>Pomocné činnosti související s fin.zprostřed.,kromě pojišť.a penzij.fin.</v>
      </c>
    </row>
    <row r="316" spans="13:26" ht="12.75">
      <c r="M316" s="418">
        <f>IF(ISNUMBER(SEARCH(ZAKL_DATA!$B$29,N316)),MAX($M$2:M315)+1,0)</f>
        <v>314</v>
      </c>
      <c r="N316" s="419" t="s">
        <v>2169</v>
      </c>
      <c r="O316" s="436" t="s">
        <v>2170</v>
      </c>
      <c r="P316" s="421"/>
      <c r="Q316" s="422" t="str">
        <f>IFERROR(VLOOKUP(ROWS($Q$3:Q316),$M$3:$N$992,2,0),"")</f>
        <v>Pomocné činnosti související s pojišťovnictvím a penzijním financováním</v>
      </c>
      <c r="R316">
        <f>IF(ISNUMBER(SEARCH('1Př1'!$A$35,N316)),MAX($M$2:M315)+1,0)</f>
        <v>314</v>
      </c>
      <c r="S316" s="419" t="s">
        <v>2169</v>
      </c>
      <c r="T316" t="str">
        <f>IFERROR(VLOOKUP(ROWS($T$3:T316),$R$3:$S$992,2,0),"")</f>
        <v>Pomocné činnosti související s pojišťovnictvím a penzijním financováním</v>
      </c>
      <c r="U316">
        <f>IF(ISNUMBER(SEARCH('1Př1'!$A$36,N316)),MAX($M$2:M315)+1,0)</f>
        <v>314</v>
      </c>
      <c r="V316" s="419" t="s">
        <v>2169</v>
      </c>
      <c r="W316" t="str">
        <f>IFERROR(VLOOKUP(ROWS($W$3:W316),$U$3:$V$992,2,0),"")</f>
        <v>Pomocné činnosti související s pojišťovnictvím a penzijním financováním</v>
      </c>
      <c r="X316">
        <f>IF(ISNUMBER(SEARCH('1Př1'!$A$37,N316)),MAX($M$2:M315)+1,0)</f>
        <v>314</v>
      </c>
      <c r="Y316" s="419" t="s">
        <v>2169</v>
      </c>
      <c r="Z316" t="str">
        <f>IFERROR(VLOOKUP(ROWS($Z$3:Z316),$X$3:$Y$992,2,0),"")</f>
        <v>Pomocné činnosti související s pojišťovnictvím a penzijním financováním</v>
      </c>
    </row>
    <row r="317" spans="13:26" ht="12.75">
      <c r="M317" s="418">
        <f>IF(ISNUMBER(SEARCH(ZAKL_DATA!$B$29,N317)),MAX($M$2:M316)+1,0)</f>
        <v>315</v>
      </c>
      <c r="N317" s="419" t="s">
        <v>2171</v>
      </c>
      <c r="O317" s="436" t="s">
        <v>2172</v>
      </c>
      <c r="P317" s="421"/>
      <c r="Q317" s="422" t="str">
        <f>IFERROR(VLOOKUP(ROWS($Q$3:Q317),$M$3:$N$992,2,0),"")</f>
        <v>Správa fondů</v>
      </c>
      <c r="R317">
        <f>IF(ISNUMBER(SEARCH('1Př1'!$A$35,N317)),MAX($M$2:M316)+1,0)</f>
        <v>315</v>
      </c>
      <c r="S317" s="419" t="s">
        <v>2171</v>
      </c>
      <c r="T317" t="str">
        <f>IFERROR(VLOOKUP(ROWS($T$3:T317),$R$3:$S$992,2,0),"")</f>
        <v>Správa fondů</v>
      </c>
      <c r="U317">
        <f>IF(ISNUMBER(SEARCH('1Př1'!$A$36,N317)),MAX($M$2:M316)+1,0)</f>
        <v>315</v>
      </c>
      <c r="V317" s="419" t="s">
        <v>2171</v>
      </c>
      <c r="W317" t="str">
        <f>IFERROR(VLOOKUP(ROWS($W$3:W317),$U$3:$V$992,2,0),"")</f>
        <v>Správa fondů</v>
      </c>
      <c r="X317">
        <f>IF(ISNUMBER(SEARCH('1Př1'!$A$37,N317)),MAX($M$2:M316)+1,0)</f>
        <v>315</v>
      </c>
      <c r="Y317" s="419" t="s">
        <v>2171</v>
      </c>
      <c r="Z317" t="str">
        <f>IFERROR(VLOOKUP(ROWS($Z$3:Z317),$X$3:$Y$992,2,0),"")</f>
        <v>Správa fondů</v>
      </c>
    </row>
    <row r="318" spans="13:26" ht="12.75">
      <c r="M318" s="418">
        <f>IF(ISNUMBER(SEARCH(ZAKL_DATA!$B$29,N318)),MAX($M$2:M317)+1,0)</f>
        <v>316</v>
      </c>
      <c r="N318" s="419" t="s">
        <v>2173</v>
      </c>
      <c r="O318" s="436" t="s">
        <v>2174</v>
      </c>
      <c r="P318" s="421"/>
      <c r="Q318" s="422" t="str">
        <f>IFERROR(VLOOKUP(ROWS($Q$3:Q318),$M$3:$N$992,2,0),"")</f>
        <v>Nákup a následný prodej vlastních nemovitostí</v>
      </c>
      <c r="R318">
        <f>IF(ISNUMBER(SEARCH('1Př1'!$A$35,N318)),MAX($M$2:M317)+1,0)</f>
        <v>316</v>
      </c>
      <c r="S318" s="419" t="s">
        <v>2173</v>
      </c>
      <c r="T318" t="str">
        <f>IFERROR(VLOOKUP(ROWS($T$3:T318),$R$3:$S$992,2,0),"")</f>
        <v>Nákup a následný prodej vlastních nemovitostí</v>
      </c>
      <c r="U318">
        <f>IF(ISNUMBER(SEARCH('1Př1'!$A$36,N318)),MAX($M$2:M317)+1,0)</f>
        <v>316</v>
      </c>
      <c r="V318" s="419" t="s">
        <v>2173</v>
      </c>
      <c r="W318" t="str">
        <f>IFERROR(VLOOKUP(ROWS($W$3:W318),$U$3:$V$992,2,0),"")</f>
        <v>Nákup a následný prodej vlastních nemovitostí</v>
      </c>
      <c r="X318">
        <f>IF(ISNUMBER(SEARCH('1Př1'!$A$37,N318)),MAX($M$2:M317)+1,0)</f>
        <v>316</v>
      </c>
      <c r="Y318" s="419" t="s">
        <v>2173</v>
      </c>
      <c r="Z318" t="str">
        <f>IFERROR(VLOOKUP(ROWS($Z$3:Z318),$X$3:$Y$992,2,0),"")</f>
        <v>Nákup a následný prodej vlastních nemovitostí</v>
      </c>
    </row>
    <row r="319" spans="13:26" ht="12.75">
      <c r="M319" s="418">
        <f>IF(ISNUMBER(SEARCH(ZAKL_DATA!$B$29,N319)),MAX($M$2:M318)+1,0)</f>
        <v>317</v>
      </c>
      <c r="N319" s="419" t="s">
        <v>2175</v>
      </c>
      <c r="O319" s="436" t="s">
        <v>2176</v>
      </c>
      <c r="P319" s="421"/>
      <c r="Q319" s="422" t="str">
        <f>IFERROR(VLOOKUP(ROWS($Q$3:Q319),$M$3:$N$992,2,0),"")</f>
        <v>Pronájem a správa vlastních nebo pronajatých nemovitostí</v>
      </c>
      <c r="R319">
        <f>IF(ISNUMBER(SEARCH('1Př1'!$A$35,N319)),MAX($M$2:M318)+1,0)</f>
        <v>317</v>
      </c>
      <c r="S319" s="419" t="s">
        <v>2175</v>
      </c>
      <c r="T319" t="str">
        <f>IFERROR(VLOOKUP(ROWS($T$3:T319),$R$3:$S$992,2,0),"")</f>
        <v>Pronájem a správa vlastních nebo pronajatých nemovitostí</v>
      </c>
      <c r="U319">
        <f>IF(ISNUMBER(SEARCH('1Př1'!$A$36,N319)),MAX($M$2:M318)+1,0)</f>
        <v>317</v>
      </c>
      <c r="V319" s="419" t="s">
        <v>2175</v>
      </c>
      <c r="W319" t="str">
        <f>IFERROR(VLOOKUP(ROWS($W$3:W319),$U$3:$V$992,2,0),"")</f>
        <v>Pronájem a správa vlastních nebo pronajatých nemovitostí</v>
      </c>
      <c r="X319">
        <f>IF(ISNUMBER(SEARCH('1Př1'!$A$37,N319)),MAX($M$2:M318)+1,0)</f>
        <v>317</v>
      </c>
      <c r="Y319" s="419" t="s">
        <v>2175</v>
      </c>
      <c r="Z319" t="str">
        <f>IFERROR(VLOOKUP(ROWS($Z$3:Z319),$X$3:$Y$992,2,0),"")</f>
        <v>Pronájem a správa vlastních nebo pronajatých nemovitostí</v>
      </c>
    </row>
    <row r="320" spans="13:26" ht="12.75">
      <c r="M320" s="418">
        <f>IF(ISNUMBER(SEARCH(ZAKL_DATA!$B$29,N320)),MAX($M$2:M319)+1,0)</f>
        <v>318</v>
      </c>
      <c r="N320" s="419" t="s">
        <v>2177</v>
      </c>
      <c r="O320" s="436" t="s">
        <v>2178</v>
      </c>
      <c r="P320" s="421"/>
      <c r="Q320" s="422" t="str">
        <f>IFERROR(VLOOKUP(ROWS($Q$3:Q320),$M$3:$N$992,2,0),"")</f>
        <v>Činnosti v oblasti nemovitostí na základě smlouvy nebo dohody</v>
      </c>
      <c r="R320">
        <f>IF(ISNUMBER(SEARCH('1Př1'!$A$35,N320)),MAX($M$2:M319)+1,0)</f>
        <v>318</v>
      </c>
      <c r="S320" s="419" t="s">
        <v>2177</v>
      </c>
      <c r="T320" t="str">
        <f>IFERROR(VLOOKUP(ROWS($T$3:T320),$R$3:$S$992,2,0),"")</f>
        <v>Činnosti v oblasti nemovitostí na základě smlouvy nebo dohody</v>
      </c>
      <c r="U320">
        <f>IF(ISNUMBER(SEARCH('1Př1'!$A$36,N320)),MAX($M$2:M319)+1,0)</f>
        <v>318</v>
      </c>
      <c r="V320" s="419" t="s">
        <v>2177</v>
      </c>
      <c r="W320" t="str">
        <f>IFERROR(VLOOKUP(ROWS($W$3:W320),$U$3:$V$992,2,0),"")</f>
        <v>Činnosti v oblasti nemovitostí na základě smlouvy nebo dohody</v>
      </c>
      <c r="X320">
        <f>IF(ISNUMBER(SEARCH('1Př1'!$A$37,N320)),MAX($M$2:M319)+1,0)</f>
        <v>318</v>
      </c>
      <c r="Y320" s="419" t="s">
        <v>2177</v>
      </c>
      <c r="Z320" t="str">
        <f>IFERROR(VLOOKUP(ROWS($Z$3:Z320),$X$3:$Y$992,2,0),"")</f>
        <v>Činnosti v oblasti nemovitostí na základě smlouvy nebo dohody</v>
      </c>
    </row>
    <row r="321" spans="13:26" ht="12.75">
      <c r="M321" s="418">
        <f>IF(ISNUMBER(SEARCH(ZAKL_DATA!$B$29,N321)),MAX($M$2:M320)+1,0)</f>
        <v>319</v>
      </c>
      <c r="N321" s="419" t="s">
        <v>2179</v>
      </c>
      <c r="O321" s="436" t="s">
        <v>2180</v>
      </c>
      <c r="P321" s="421"/>
      <c r="Q321" s="422" t="str">
        <f>IFERROR(VLOOKUP(ROWS($Q$3:Q321),$M$3:$N$992,2,0),"")</f>
        <v>Právní činnosti</v>
      </c>
      <c r="R321">
        <f>IF(ISNUMBER(SEARCH('1Př1'!$A$35,N321)),MAX($M$2:M320)+1,0)</f>
        <v>319</v>
      </c>
      <c r="S321" s="419" t="s">
        <v>2179</v>
      </c>
      <c r="T321" t="str">
        <f>IFERROR(VLOOKUP(ROWS($T$3:T321),$R$3:$S$992,2,0),"")</f>
        <v>Právní činnosti</v>
      </c>
      <c r="U321">
        <f>IF(ISNUMBER(SEARCH('1Př1'!$A$36,N321)),MAX($M$2:M320)+1,0)</f>
        <v>319</v>
      </c>
      <c r="V321" s="419" t="s">
        <v>2179</v>
      </c>
      <c r="W321" t="str">
        <f>IFERROR(VLOOKUP(ROWS($W$3:W321),$U$3:$V$992,2,0),"")</f>
        <v>Právní činnosti</v>
      </c>
      <c r="X321">
        <f>IF(ISNUMBER(SEARCH('1Př1'!$A$37,N321)),MAX($M$2:M320)+1,0)</f>
        <v>319</v>
      </c>
      <c r="Y321" s="419" t="s">
        <v>2179</v>
      </c>
      <c r="Z321" t="str">
        <f>IFERROR(VLOOKUP(ROWS($Z$3:Z321),$X$3:$Y$992,2,0),"")</f>
        <v>Právní činnosti</v>
      </c>
    </row>
    <row r="322" spans="13:26" ht="12.75">
      <c r="M322" s="418">
        <f>IF(ISNUMBER(SEARCH(ZAKL_DATA!$B$29,N322)),MAX($M$2:M321)+1,0)</f>
        <v>320</v>
      </c>
      <c r="N322" s="419" t="s">
        <v>2181</v>
      </c>
      <c r="O322" s="436" t="s">
        <v>2182</v>
      </c>
      <c r="P322" s="421"/>
      <c r="Q322" s="422" t="str">
        <f>IFERROR(VLOOKUP(ROWS($Q$3:Q322),$M$3:$N$992,2,0),"")</f>
        <v>Účetnické a auditorské činnosti; daňové poradenství</v>
      </c>
      <c r="R322">
        <f>IF(ISNUMBER(SEARCH('1Př1'!$A$35,N322)),MAX($M$2:M321)+1,0)</f>
        <v>320</v>
      </c>
      <c r="S322" s="419" t="s">
        <v>2181</v>
      </c>
      <c r="T322" t="str">
        <f>IFERROR(VLOOKUP(ROWS($T$3:T322),$R$3:$S$992,2,0),"")</f>
        <v>Účetnické a auditorské činnosti; daňové poradenství</v>
      </c>
      <c r="U322">
        <f>IF(ISNUMBER(SEARCH('1Př1'!$A$36,N322)),MAX($M$2:M321)+1,0)</f>
        <v>320</v>
      </c>
      <c r="V322" s="419" t="s">
        <v>2181</v>
      </c>
      <c r="W322" t="str">
        <f>IFERROR(VLOOKUP(ROWS($W$3:W322),$U$3:$V$992,2,0),"")</f>
        <v>Účetnické a auditorské činnosti; daňové poradenství</v>
      </c>
      <c r="X322">
        <f>IF(ISNUMBER(SEARCH('1Př1'!$A$37,N322)),MAX($M$2:M321)+1,0)</f>
        <v>320</v>
      </c>
      <c r="Y322" s="419" t="s">
        <v>2181</v>
      </c>
      <c r="Z322" t="str">
        <f>IFERROR(VLOOKUP(ROWS($Z$3:Z322),$X$3:$Y$992,2,0),"")</f>
        <v>Účetnické a auditorské činnosti; daňové poradenství</v>
      </c>
    </row>
    <row r="323" spans="13:26" ht="12.75">
      <c r="M323" s="418">
        <f>IF(ISNUMBER(SEARCH(ZAKL_DATA!$B$29,N323)),MAX($M$2:M322)+1,0)</f>
        <v>321</v>
      </c>
      <c r="N323" s="419" t="s">
        <v>2183</v>
      </c>
      <c r="O323" s="436" t="s">
        <v>2184</v>
      </c>
      <c r="P323" s="421"/>
      <c r="Q323" s="422" t="str">
        <f>IFERROR(VLOOKUP(ROWS($Q$3:Q323),$M$3:$N$992,2,0),"")</f>
        <v>Činnosti vedení podniků</v>
      </c>
      <c r="R323">
        <f>IF(ISNUMBER(SEARCH('1Př1'!$A$35,N323)),MAX($M$2:M322)+1,0)</f>
        <v>321</v>
      </c>
      <c r="S323" s="419" t="s">
        <v>2183</v>
      </c>
      <c r="T323" t="str">
        <f>IFERROR(VLOOKUP(ROWS($T$3:T323),$R$3:$S$992,2,0),"")</f>
        <v>Činnosti vedení podniků</v>
      </c>
      <c r="U323">
        <f>IF(ISNUMBER(SEARCH('1Př1'!$A$36,N323)),MAX($M$2:M322)+1,0)</f>
        <v>321</v>
      </c>
      <c r="V323" s="419" t="s">
        <v>2183</v>
      </c>
      <c r="W323" t="str">
        <f>IFERROR(VLOOKUP(ROWS($W$3:W323),$U$3:$V$992,2,0),"")</f>
        <v>Činnosti vedení podniků</v>
      </c>
      <c r="X323">
        <f>IF(ISNUMBER(SEARCH('1Př1'!$A$37,N323)),MAX($M$2:M322)+1,0)</f>
        <v>321</v>
      </c>
      <c r="Y323" s="419" t="s">
        <v>2183</v>
      </c>
      <c r="Z323" t="str">
        <f>IFERROR(VLOOKUP(ROWS($Z$3:Z323),$X$3:$Y$992,2,0),"")</f>
        <v>Činnosti vedení podniků</v>
      </c>
    </row>
    <row r="324" spans="13:26" ht="12.75">
      <c r="M324" s="418">
        <f>IF(ISNUMBER(SEARCH(ZAKL_DATA!$B$29,N324)),MAX($M$2:M323)+1,0)</f>
        <v>322</v>
      </c>
      <c r="N324" s="419" t="s">
        <v>2185</v>
      </c>
      <c r="O324" s="436" t="s">
        <v>2186</v>
      </c>
      <c r="P324" s="421"/>
      <c r="Q324" s="422" t="str">
        <f>IFERROR(VLOOKUP(ROWS($Q$3:Q324),$M$3:$N$992,2,0),"")</f>
        <v>Poradenství v oblasti řízení</v>
      </c>
      <c r="R324">
        <f>IF(ISNUMBER(SEARCH('1Př1'!$A$35,N324)),MAX($M$2:M323)+1,0)</f>
        <v>322</v>
      </c>
      <c r="S324" s="419" t="s">
        <v>2185</v>
      </c>
      <c r="T324" t="str">
        <f>IFERROR(VLOOKUP(ROWS($T$3:T324),$R$3:$S$992,2,0),"")</f>
        <v>Poradenství v oblasti řízení</v>
      </c>
      <c r="U324">
        <f>IF(ISNUMBER(SEARCH('1Př1'!$A$36,N324)),MAX($M$2:M323)+1,0)</f>
        <v>322</v>
      </c>
      <c r="V324" s="419" t="s">
        <v>2185</v>
      </c>
      <c r="W324" t="str">
        <f>IFERROR(VLOOKUP(ROWS($W$3:W324),$U$3:$V$992,2,0),"")</f>
        <v>Poradenství v oblasti řízení</v>
      </c>
      <c r="X324">
        <f>IF(ISNUMBER(SEARCH('1Př1'!$A$37,N324)),MAX($M$2:M323)+1,0)</f>
        <v>322</v>
      </c>
      <c r="Y324" s="419" t="s">
        <v>2185</v>
      </c>
      <c r="Z324" t="str">
        <f>IFERROR(VLOOKUP(ROWS($Z$3:Z324),$X$3:$Y$992,2,0),"")</f>
        <v>Poradenství v oblasti řízení</v>
      </c>
    </row>
    <row r="325" spans="13:26" ht="12.75">
      <c r="M325" s="418">
        <f>IF(ISNUMBER(SEARCH(ZAKL_DATA!$B$29,N325)),MAX($M$2:M324)+1,0)</f>
        <v>323</v>
      </c>
      <c r="N325" s="419" t="s">
        <v>2187</v>
      </c>
      <c r="O325" s="436" t="s">
        <v>2188</v>
      </c>
      <c r="P325" s="421"/>
      <c r="Q325" s="422" t="str">
        <f>IFERROR(VLOOKUP(ROWS($Q$3:Q325),$M$3:$N$992,2,0),"")</f>
        <v>Architektonické a inženýrské činnosti a související technické poradenství</v>
      </c>
      <c r="R325">
        <f>IF(ISNUMBER(SEARCH('1Př1'!$A$35,N325)),MAX($M$2:M324)+1,0)</f>
        <v>323</v>
      </c>
      <c r="S325" s="419" t="s">
        <v>2187</v>
      </c>
      <c r="T325" t="str">
        <f>IFERROR(VLOOKUP(ROWS($T$3:T325),$R$3:$S$992,2,0),"")</f>
        <v>Architektonické a inženýrské činnosti a související technické poradenství</v>
      </c>
      <c r="U325">
        <f>IF(ISNUMBER(SEARCH('1Př1'!$A$36,N325)),MAX($M$2:M324)+1,0)</f>
        <v>323</v>
      </c>
      <c r="V325" s="419" t="s">
        <v>2187</v>
      </c>
      <c r="W325" t="str">
        <f>IFERROR(VLOOKUP(ROWS($W$3:W325),$U$3:$V$992,2,0),"")</f>
        <v>Architektonické a inženýrské činnosti a související technické poradenství</v>
      </c>
      <c r="X325">
        <f>IF(ISNUMBER(SEARCH('1Př1'!$A$37,N325)),MAX($M$2:M324)+1,0)</f>
        <v>323</v>
      </c>
      <c r="Y325" s="419" t="s">
        <v>2187</v>
      </c>
      <c r="Z325" t="str">
        <f>IFERROR(VLOOKUP(ROWS($Z$3:Z325),$X$3:$Y$992,2,0),"")</f>
        <v>Architektonické a inženýrské činnosti a související technické poradenství</v>
      </c>
    </row>
    <row r="326" spans="13:26" ht="12.75">
      <c r="M326" s="418">
        <f>IF(ISNUMBER(SEARCH(ZAKL_DATA!$B$29,N326)),MAX($M$2:M325)+1,0)</f>
        <v>324</v>
      </c>
      <c r="N326" s="419" t="s">
        <v>2189</v>
      </c>
      <c r="O326" s="436" t="s">
        <v>2190</v>
      </c>
      <c r="P326" s="421"/>
      <c r="Q326" s="422" t="str">
        <f>IFERROR(VLOOKUP(ROWS($Q$3:Q326),$M$3:$N$992,2,0),"")</f>
        <v>Technické zkoušky a analýzy</v>
      </c>
      <c r="R326">
        <f>IF(ISNUMBER(SEARCH('1Př1'!$A$35,N326)),MAX($M$2:M325)+1,0)</f>
        <v>324</v>
      </c>
      <c r="S326" s="419" t="s">
        <v>2189</v>
      </c>
      <c r="T326" t="str">
        <f>IFERROR(VLOOKUP(ROWS($T$3:T326),$R$3:$S$992,2,0),"")</f>
        <v>Technické zkoušky a analýzy</v>
      </c>
      <c r="U326">
        <f>IF(ISNUMBER(SEARCH('1Př1'!$A$36,N326)),MAX($M$2:M325)+1,0)</f>
        <v>324</v>
      </c>
      <c r="V326" s="419" t="s">
        <v>2189</v>
      </c>
      <c r="W326" t="str">
        <f>IFERROR(VLOOKUP(ROWS($W$3:W326),$U$3:$V$992,2,0),"")</f>
        <v>Technické zkoušky a analýzy</v>
      </c>
      <c r="X326">
        <f>IF(ISNUMBER(SEARCH('1Př1'!$A$37,N326)),MAX($M$2:M325)+1,0)</f>
        <v>324</v>
      </c>
      <c r="Y326" s="419" t="s">
        <v>2189</v>
      </c>
      <c r="Z326" t="str">
        <f>IFERROR(VLOOKUP(ROWS($Z$3:Z326),$X$3:$Y$992,2,0),"")</f>
        <v>Technické zkoušky a analýzy</v>
      </c>
    </row>
    <row r="327" spans="13:26" ht="12.75">
      <c r="M327" s="418">
        <f>IF(ISNUMBER(SEARCH(ZAKL_DATA!$B$29,N327)),MAX($M$2:M326)+1,0)</f>
        <v>325</v>
      </c>
      <c r="N327" s="419" t="s">
        <v>2191</v>
      </c>
      <c r="O327" s="436" t="s">
        <v>2192</v>
      </c>
      <c r="P327" s="421"/>
      <c r="Q327" s="422" t="str">
        <f>IFERROR(VLOOKUP(ROWS($Q$3:Q327),$M$3:$N$992,2,0),"")</f>
        <v>Výzkum a vývoj v oblasti přírodních a technických věd</v>
      </c>
      <c r="R327">
        <f>IF(ISNUMBER(SEARCH('1Př1'!$A$35,N327)),MAX($M$2:M326)+1,0)</f>
        <v>325</v>
      </c>
      <c r="S327" s="419" t="s">
        <v>2191</v>
      </c>
      <c r="T327" t="str">
        <f>IFERROR(VLOOKUP(ROWS($T$3:T327),$R$3:$S$992,2,0),"")</f>
        <v>Výzkum a vývoj v oblasti přírodních a technických věd</v>
      </c>
      <c r="U327">
        <f>IF(ISNUMBER(SEARCH('1Př1'!$A$36,N327)),MAX($M$2:M326)+1,0)</f>
        <v>325</v>
      </c>
      <c r="V327" s="419" t="s">
        <v>2191</v>
      </c>
      <c r="W327" t="str">
        <f>IFERROR(VLOOKUP(ROWS($W$3:W327),$U$3:$V$992,2,0),"")</f>
        <v>Výzkum a vývoj v oblasti přírodních a technických věd</v>
      </c>
      <c r="X327">
        <f>IF(ISNUMBER(SEARCH('1Př1'!$A$37,N327)),MAX($M$2:M326)+1,0)</f>
        <v>325</v>
      </c>
      <c r="Y327" s="419" t="s">
        <v>2191</v>
      </c>
      <c r="Z327" t="str">
        <f>IFERROR(VLOOKUP(ROWS($Z$3:Z327),$X$3:$Y$992,2,0),"")</f>
        <v>Výzkum a vývoj v oblasti přírodních a technických věd</v>
      </c>
    </row>
    <row r="328" spans="13:26" ht="12.75">
      <c r="M328" s="418">
        <f>IF(ISNUMBER(SEARCH(ZAKL_DATA!$B$29,N328)),MAX($M$2:M327)+1,0)</f>
        <v>326</v>
      </c>
      <c r="N328" s="419" t="s">
        <v>2193</v>
      </c>
      <c r="O328" s="436" t="s">
        <v>2194</v>
      </c>
      <c r="P328" s="421"/>
      <c r="Q328" s="422" t="str">
        <f>IFERROR(VLOOKUP(ROWS($Q$3:Q328),$M$3:$N$992,2,0),"")</f>
        <v>Těžba a úprava uranových a thoriových rud</v>
      </c>
      <c r="R328">
        <f>IF(ISNUMBER(SEARCH('1Př1'!$A$35,N328)),MAX($M$2:M327)+1,0)</f>
        <v>326</v>
      </c>
      <c r="S328" s="419" t="s">
        <v>2193</v>
      </c>
      <c r="T328" t="str">
        <f>IFERROR(VLOOKUP(ROWS($T$3:T328),$R$3:$S$992,2,0),"")</f>
        <v>Těžba a úprava uranových a thoriových rud</v>
      </c>
      <c r="U328">
        <f>IF(ISNUMBER(SEARCH('1Př1'!$A$36,N328)),MAX($M$2:M327)+1,0)</f>
        <v>326</v>
      </c>
      <c r="V328" s="419" t="s">
        <v>2193</v>
      </c>
      <c r="W328" t="str">
        <f>IFERROR(VLOOKUP(ROWS($W$3:W328),$U$3:$V$992,2,0),"")</f>
        <v>Těžba a úprava uranových a thoriových rud</v>
      </c>
      <c r="X328">
        <f>IF(ISNUMBER(SEARCH('1Př1'!$A$37,N328)),MAX($M$2:M327)+1,0)</f>
        <v>326</v>
      </c>
      <c r="Y328" s="419" t="s">
        <v>2193</v>
      </c>
      <c r="Z328" t="str">
        <f>IFERROR(VLOOKUP(ROWS($Z$3:Z328),$X$3:$Y$992,2,0),"")</f>
        <v>Těžba a úprava uranových a thoriových rud</v>
      </c>
    </row>
    <row r="329" spans="13:26" ht="12.75">
      <c r="M329" s="418">
        <f>IF(ISNUMBER(SEARCH(ZAKL_DATA!$B$29,N329)),MAX($M$2:M328)+1,0)</f>
        <v>327</v>
      </c>
      <c r="N329" s="419" t="s">
        <v>2195</v>
      </c>
      <c r="O329" s="436" t="s">
        <v>2196</v>
      </c>
      <c r="P329" s="421"/>
      <c r="Q329" s="422" t="str">
        <f>IFERROR(VLOOKUP(ROWS($Q$3:Q329),$M$3:$N$992,2,0),"")</f>
        <v>Výzkum a vývoj v oblasti společenských a humanitních věd</v>
      </c>
      <c r="R329">
        <f>IF(ISNUMBER(SEARCH('1Př1'!$A$35,N329)),MAX($M$2:M328)+1,0)</f>
        <v>327</v>
      </c>
      <c r="S329" s="419" t="s">
        <v>2195</v>
      </c>
      <c r="T329" t="str">
        <f>IFERROR(VLOOKUP(ROWS($T$3:T329),$R$3:$S$992,2,0),"")</f>
        <v>Výzkum a vývoj v oblasti společenských a humanitních věd</v>
      </c>
      <c r="U329">
        <f>IF(ISNUMBER(SEARCH('1Př1'!$A$36,N329)),MAX($M$2:M328)+1,0)</f>
        <v>327</v>
      </c>
      <c r="V329" s="419" t="s">
        <v>2195</v>
      </c>
      <c r="W329" t="str">
        <f>IFERROR(VLOOKUP(ROWS($W$3:W329),$U$3:$V$992,2,0),"")</f>
        <v>Výzkum a vývoj v oblasti společenských a humanitních věd</v>
      </c>
      <c r="X329">
        <f>IF(ISNUMBER(SEARCH('1Př1'!$A$37,N329)),MAX($M$2:M328)+1,0)</f>
        <v>327</v>
      </c>
      <c r="Y329" s="419" t="s">
        <v>2195</v>
      </c>
      <c r="Z329" t="str">
        <f>IFERROR(VLOOKUP(ROWS($Z$3:Z329),$X$3:$Y$992,2,0),"")</f>
        <v>Výzkum a vývoj v oblasti společenských a humanitních věd</v>
      </c>
    </row>
    <row r="330" spans="13:26" ht="12.75">
      <c r="M330" s="418">
        <f>IF(ISNUMBER(SEARCH(ZAKL_DATA!$B$29,N330)),MAX($M$2:M329)+1,0)</f>
        <v>328</v>
      </c>
      <c r="N330" s="419" t="s">
        <v>2197</v>
      </c>
      <c r="O330" s="436" t="s">
        <v>2198</v>
      </c>
      <c r="P330" s="421"/>
      <c r="Q330" s="422" t="str">
        <f>IFERROR(VLOOKUP(ROWS($Q$3:Q330),$M$3:$N$992,2,0),"")</f>
        <v>Těžba a úprava ostatních neželezných rud</v>
      </c>
      <c r="R330">
        <f>IF(ISNUMBER(SEARCH('1Př1'!$A$35,N330)),MAX($M$2:M329)+1,0)</f>
        <v>328</v>
      </c>
      <c r="S330" s="419" t="s">
        <v>2197</v>
      </c>
      <c r="T330" t="str">
        <f>IFERROR(VLOOKUP(ROWS($T$3:T330),$R$3:$S$992,2,0),"")</f>
        <v>Těžba a úprava ostatních neželezných rud</v>
      </c>
      <c r="U330">
        <f>IF(ISNUMBER(SEARCH('1Př1'!$A$36,N330)),MAX($M$2:M329)+1,0)</f>
        <v>328</v>
      </c>
      <c r="V330" s="419" t="s">
        <v>2197</v>
      </c>
      <c r="W330" t="str">
        <f>IFERROR(VLOOKUP(ROWS($W$3:W330),$U$3:$V$992,2,0),"")</f>
        <v>Těžba a úprava ostatních neželezných rud</v>
      </c>
      <c r="X330">
        <f>IF(ISNUMBER(SEARCH('1Př1'!$A$37,N330)),MAX($M$2:M329)+1,0)</f>
        <v>328</v>
      </c>
      <c r="Y330" s="419" t="s">
        <v>2197</v>
      </c>
      <c r="Z330" t="str">
        <f>IFERROR(VLOOKUP(ROWS($Z$3:Z330),$X$3:$Y$992,2,0),"")</f>
        <v>Těžba a úprava ostatních neželezných rud</v>
      </c>
    </row>
    <row r="331" spans="13:26" ht="12.75">
      <c r="M331" s="418">
        <f>IF(ISNUMBER(SEARCH(ZAKL_DATA!$B$29,N331)),MAX($M$2:M330)+1,0)</f>
        <v>329</v>
      </c>
      <c r="N331" s="419" t="s">
        <v>2199</v>
      </c>
      <c r="O331" s="436" t="s">
        <v>2200</v>
      </c>
      <c r="P331" s="421"/>
      <c r="Q331" s="422" t="str">
        <f>IFERROR(VLOOKUP(ROWS($Q$3:Q331),$M$3:$N$992,2,0),"")</f>
        <v>Reklamní činnosti</v>
      </c>
      <c r="R331">
        <f>IF(ISNUMBER(SEARCH('1Př1'!$A$35,N331)),MAX($M$2:M330)+1,0)</f>
        <v>329</v>
      </c>
      <c r="S331" s="419" t="s">
        <v>2199</v>
      </c>
      <c r="T331" t="str">
        <f>IFERROR(VLOOKUP(ROWS($T$3:T331),$R$3:$S$992,2,0),"")</f>
        <v>Reklamní činnosti</v>
      </c>
      <c r="U331">
        <f>IF(ISNUMBER(SEARCH('1Př1'!$A$36,N331)),MAX($M$2:M330)+1,0)</f>
        <v>329</v>
      </c>
      <c r="V331" s="419" t="s">
        <v>2199</v>
      </c>
      <c r="W331" t="str">
        <f>IFERROR(VLOOKUP(ROWS($W$3:W331),$U$3:$V$992,2,0),"")</f>
        <v>Reklamní činnosti</v>
      </c>
      <c r="X331">
        <f>IF(ISNUMBER(SEARCH('1Př1'!$A$37,N331)),MAX($M$2:M330)+1,0)</f>
        <v>329</v>
      </c>
      <c r="Y331" s="419" t="s">
        <v>2199</v>
      </c>
      <c r="Z331" t="str">
        <f>IFERROR(VLOOKUP(ROWS($Z$3:Z331),$X$3:$Y$992,2,0),"")</f>
        <v>Reklamní činnosti</v>
      </c>
    </row>
    <row r="332" spans="13:26" ht="12.75">
      <c r="M332" s="418">
        <f>IF(ISNUMBER(SEARCH(ZAKL_DATA!$B$29,N332)),MAX($M$2:M331)+1,0)</f>
        <v>330</v>
      </c>
      <c r="N332" s="419" t="s">
        <v>2201</v>
      </c>
      <c r="O332" s="436" t="s">
        <v>2202</v>
      </c>
      <c r="P332" s="421"/>
      <c r="Q332" s="422" t="str">
        <f>IFERROR(VLOOKUP(ROWS($Q$3:Q332),$M$3:$N$992,2,0),"")</f>
        <v>Průzkum trhu a veřejného mínění</v>
      </c>
      <c r="R332">
        <f>IF(ISNUMBER(SEARCH('1Př1'!$A$35,N332)),MAX($M$2:M331)+1,0)</f>
        <v>330</v>
      </c>
      <c r="S332" s="419" t="s">
        <v>2201</v>
      </c>
      <c r="T332" t="str">
        <f>IFERROR(VLOOKUP(ROWS($T$3:T332),$R$3:$S$992,2,0),"")</f>
        <v>Průzkum trhu a veřejného mínění</v>
      </c>
      <c r="U332">
        <f>IF(ISNUMBER(SEARCH('1Př1'!$A$36,N332)),MAX($M$2:M331)+1,0)</f>
        <v>330</v>
      </c>
      <c r="V332" s="419" t="s">
        <v>2201</v>
      </c>
      <c r="W332" t="str">
        <f>IFERROR(VLOOKUP(ROWS($W$3:W332),$U$3:$V$992,2,0),"")</f>
        <v>Průzkum trhu a veřejného mínění</v>
      </c>
      <c r="X332">
        <f>IF(ISNUMBER(SEARCH('1Př1'!$A$37,N332)),MAX($M$2:M331)+1,0)</f>
        <v>330</v>
      </c>
      <c r="Y332" s="419" t="s">
        <v>2201</v>
      </c>
      <c r="Z332" t="str">
        <f>IFERROR(VLOOKUP(ROWS($Z$3:Z332),$X$3:$Y$992,2,0),"")</f>
        <v>Průzkum trhu a veřejného mínění</v>
      </c>
    </row>
    <row r="333" spans="13:26" ht="12.75">
      <c r="M333" s="418">
        <f>IF(ISNUMBER(SEARCH(ZAKL_DATA!$B$29,N333)),MAX($M$2:M332)+1,0)</f>
        <v>331</v>
      </c>
      <c r="N333" s="419" t="s">
        <v>2203</v>
      </c>
      <c r="O333" s="436" t="s">
        <v>2204</v>
      </c>
      <c r="P333" s="421"/>
      <c r="Q333" s="422" t="str">
        <f>IFERROR(VLOOKUP(ROWS($Q$3:Q333),$M$3:$N$992,2,0),"")</f>
        <v>Specializované návrhářské činnosti</v>
      </c>
      <c r="R333">
        <f>IF(ISNUMBER(SEARCH('1Př1'!$A$35,N333)),MAX($M$2:M332)+1,0)</f>
        <v>331</v>
      </c>
      <c r="S333" s="419" t="s">
        <v>2203</v>
      </c>
      <c r="T333" t="str">
        <f>IFERROR(VLOOKUP(ROWS($T$3:T333),$R$3:$S$992,2,0),"")</f>
        <v>Specializované návrhářské činnosti</v>
      </c>
      <c r="U333">
        <f>IF(ISNUMBER(SEARCH('1Př1'!$A$36,N333)),MAX($M$2:M332)+1,0)</f>
        <v>331</v>
      </c>
      <c r="V333" s="419" t="s">
        <v>2203</v>
      </c>
      <c r="W333" t="str">
        <f>IFERROR(VLOOKUP(ROWS($W$3:W333),$U$3:$V$992,2,0),"")</f>
        <v>Specializované návrhářské činnosti</v>
      </c>
      <c r="X333">
        <f>IF(ISNUMBER(SEARCH('1Př1'!$A$37,N333)),MAX($M$2:M332)+1,0)</f>
        <v>331</v>
      </c>
      <c r="Y333" s="419" t="s">
        <v>2203</v>
      </c>
      <c r="Z333" t="str">
        <f>IFERROR(VLOOKUP(ROWS($Z$3:Z333),$X$3:$Y$992,2,0),"")</f>
        <v>Specializované návrhářské činnosti</v>
      </c>
    </row>
    <row r="334" spans="13:26" ht="12.75">
      <c r="M334" s="418">
        <f>IF(ISNUMBER(SEARCH(ZAKL_DATA!$B$29,N334)),MAX($M$2:M333)+1,0)</f>
        <v>332</v>
      </c>
      <c r="N334" s="419" t="s">
        <v>2205</v>
      </c>
      <c r="O334" s="436" t="s">
        <v>2206</v>
      </c>
      <c r="P334" s="421"/>
      <c r="Q334" s="422" t="str">
        <f>IFERROR(VLOOKUP(ROWS($Q$3:Q334),$M$3:$N$992,2,0),"")</f>
        <v>Fotografické činnosti</v>
      </c>
      <c r="R334">
        <f>IF(ISNUMBER(SEARCH('1Př1'!$A$35,N334)),MAX($M$2:M333)+1,0)</f>
        <v>332</v>
      </c>
      <c r="S334" s="419" t="s">
        <v>2205</v>
      </c>
      <c r="T334" t="str">
        <f>IFERROR(VLOOKUP(ROWS($T$3:T334),$R$3:$S$992,2,0),"")</f>
        <v>Fotografické činnosti</v>
      </c>
      <c r="U334">
        <f>IF(ISNUMBER(SEARCH('1Př1'!$A$36,N334)),MAX($M$2:M333)+1,0)</f>
        <v>332</v>
      </c>
      <c r="V334" s="419" t="s">
        <v>2205</v>
      </c>
      <c r="W334" t="str">
        <f>IFERROR(VLOOKUP(ROWS($W$3:W334),$U$3:$V$992,2,0),"")</f>
        <v>Fotografické činnosti</v>
      </c>
      <c r="X334">
        <f>IF(ISNUMBER(SEARCH('1Př1'!$A$37,N334)),MAX($M$2:M333)+1,0)</f>
        <v>332</v>
      </c>
      <c r="Y334" s="419" t="s">
        <v>2205</v>
      </c>
      <c r="Z334" t="str">
        <f>IFERROR(VLOOKUP(ROWS($Z$3:Z334),$X$3:$Y$992,2,0),"")</f>
        <v>Fotografické činnosti</v>
      </c>
    </row>
    <row r="335" spans="13:26" ht="12.75">
      <c r="M335" s="418">
        <f>IF(ISNUMBER(SEARCH(ZAKL_DATA!$B$29,N335)),MAX($M$2:M334)+1,0)</f>
        <v>333</v>
      </c>
      <c r="N335" s="419" t="s">
        <v>2207</v>
      </c>
      <c r="O335" s="436" t="s">
        <v>2208</v>
      </c>
      <c r="P335" s="421"/>
      <c r="Q335" s="422" t="str">
        <f>IFERROR(VLOOKUP(ROWS($Q$3:Q335),$M$3:$N$992,2,0),"")</f>
        <v>Překladatelské a tlumočnické činnosti</v>
      </c>
      <c r="R335">
        <f>IF(ISNUMBER(SEARCH('1Př1'!$A$35,N335)),MAX($M$2:M334)+1,0)</f>
        <v>333</v>
      </c>
      <c r="S335" s="419" t="s">
        <v>2207</v>
      </c>
      <c r="T335" t="str">
        <f>IFERROR(VLOOKUP(ROWS($T$3:T335),$R$3:$S$992,2,0),"")</f>
        <v>Překladatelské a tlumočnické činnosti</v>
      </c>
      <c r="U335">
        <f>IF(ISNUMBER(SEARCH('1Př1'!$A$36,N335)),MAX($M$2:M334)+1,0)</f>
        <v>333</v>
      </c>
      <c r="V335" s="419" t="s">
        <v>2207</v>
      </c>
      <c r="W335" t="str">
        <f>IFERROR(VLOOKUP(ROWS($W$3:W335),$U$3:$V$992,2,0),"")</f>
        <v>Překladatelské a tlumočnické činnosti</v>
      </c>
      <c r="X335">
        <f>IF(ISNUMBER(SEARCH('1Př1'!$A$37,N335)),MAX($M$2:M334)+1,0)</f>
        <v>333</v>
      </c>
      <c r="Y335" s="419" t="s">
        <v>2207</v>
      </c>
      <c r="Z335" t="str">
        <f>IFERROR(VLOOKUP(ROWS($Z$3:Z335),$X$3:$Y$992,2,0),"")</f>
        <v>Překladatelské a tlumočnické činnosti</v>
      </c>
    </row>
    <row r="336" spans="13:26" ht="12.75">
      <c r="M336" s="418">
        <f>IF(ISNUMBER(SEARCH(ZAKL_DATA!$B$29,N336)),MAX($M$2:M335)+1,0)</f>
        <v>334</v>
      </c>
      <c r="N336" s="419" t="s">
        <v>2209</v>
      </c>
      <c r="O336" s="436" t="s">
        <v>2210</v>
      </c>
      <c r="P336" s="421"/>
      <c r="Q336" s="422" t="str">
        <f>IFERROR(VLOOKUP(ROWS($Q$3:Q336),$M$3:$N$992,2,0),"")</f>
        <v>Ostatní profesní, vědecké a technické činnosti j. n.</v>
      </c>
      <c r="R336">
        <f>IF(ISNUMBER(SEARCH('1Př1'!$A$35,N336)),MAX($M$2:M335)+1,0)</f>
        <v>334</v>
      </c>
      <c r="S336" s="419" t="s">
        <v>2209</v>
      </c>
      <c r="T336" t="str">
        <f>IFERROR(VLOOKUP(ROWS($T$3:T336),$R$3:$S$992,2,0),"")</f>
        <v>Ostatní profesní, vědecké a technické činnosti j. n.</v>
      </c>
      <c r="U336">
        <f>IF(ISNUMBER(SEARCH('1Př1'!$A$36,N336)),MAX($M$2:M335)+1,0)</f>
        <v>334</v>
      </c>
      <c r="V336" s="419" t="s">
        <v>2209</v>
      </c>
      <c r="W336" t="str">
        <f>IFERROR(VLOOKUP(ROWS($W$3:W336),$U$3:$V$992,2,0),"")</f>
        <v>Ostatní profesní, vědecké a technické činnosti j. n.</v>
      </c>
      <c r="X336">
        <f>IF(ISNUMBER(SEARCH('1Př1'!$A$37,N336)),MAX($M$2:M335)+1,0)</f>
        <v>334</v>
      </c>
      <c r="Y336" s="419" t="s">
        <v>2209</v>
      </c>
      <c r="Z336" t="str">
        <f>IFERROR(VLOOKUP(ROWS($Z$3:Z336),$X$3:$Y$992,2,0),"")</f>
        <v>Ostatní profesní, vědecké a technické činnosti j. n.</v>
      </c>
    </row>
    <row r="337" spans="13:26" ht="12.75">
      <c r="M337" s="418">
        <f>IF(ISNUMBER(SEARCH(ZAKL_DATA!$B$29,N337)),MAX($M$2:M336)+1,0)</f>
        <v>335</v>
      </c>
      <c r="N337" s="419" t="s">
        <v>2211</v>
      </c>
      <c r="O337" s="436" t="s">
        <v>2212</v>
      </c>
      <c r="P337" s="421"/>
      <c r="Q337" s="422" t="str">
        <f>IFERROR(VLOOKUP(ROWS($Q$3:Q337),$M$3:$N$992,2,0),"")</f>
        <v>Pronájem a leasing motorových vozidel, kromě motocyklů</v>
      </c>
      <c r="R337">
        <f>IF(ISNUMBER(SEARCH('1Př1'!$A$35,N337)),MAX($M$2:M336)+1,0)</f>
        <v>335</v>
      </c>
      <c r="S337" s="419" t="s">
        <v>2211</v>
      </c>
      <c r="T337" t="str">
        <f>IFERROR(VLOOKUP(ROWS($T$3:T337),$R$3:$S$992,2,0),"")</f>
        <v>Pronájem a leasing motorových vozidel, kromě motocyklů</v>
      </c>
      <c r="U337">
        <f>IF(ISNUMBER(SEARCH('1Př1'!$A$36,N337)),MAX($M$2:M336)+1,0)</f>
        <v>335</v>
      </c>
      <c r="V337" s="419" t="s">
        <v>2211</v>
      </c>
      <c r="W337" t="str">
        <f>IFERROR(VLOOKUP(ROWS($W$3:W337),$U$3:$V$992,2,0),"")</f>
        <v>Pronájem a leasing motorových vozidel, kromě motocyklů</v>
      </c>
      <c r="X337">
        <f>IF(ISNUMBER(SEARCH('1Př1'!$A$37,N337)),MAX($M$2:M336)+1,0)</f>
        <v>335</v>
      </c>
      <c r="Y337" s="419" t="s">
        <v>2211</v>
      </c>
      <c r="Z337" t="str">
        <f>IFERROR(VLOOKUP(ROWS($Z$3:Z337),$X$3:$Y$992,2,0),"")</f>
        <v>Pronájem a leasing motorových vozidel, kromě motocyklů</v>
      </c>
    </row>
    <row r="338" spans="13:26" ht="12.75">
      <c r="M338" s="418">
        <f>IF(ISNUMBER(SEARCH(ZAKL_DATA!$B$29,N338)),MAX($M$2:M337)+1,0)</f>
        <v>336</v>
      </c>
      <c r="N338" s="419" t="s">
        <v>2213</v>
      </c>
      <c r="O338" s="436" t="s">
        <v>2214</v>
      </c>
      <c r="P338" s="421"/>
      <c r="Q338" s="422" t="str">
        <f>IFERROR(VLOOKUP(ROWS($Q$3:Q338),$M$3:$N$992,2,0),"")</f>
        <v>Pronájem a leasing výrobků pro osobní potřebu a převážně pro domácnost</v>
      </c>
      <c r="R338">
        <f>IF(ISNUMBER(SEARCH('1Př1'!$A$35,N338)),MAX($M$2:M337)+1,0)</f>
        <v>336</v>
      </c>
      <c r="S338" s="419" t="s">
        <v>2213</v>
      </c>
      <c r="T338" t="str">
        <f>IFERROR(VLOOKUP(ROWS($T$3:T338),$R$3:$S$992,2,0),"")</f>
        <v>Pronájem a leasing výrobků pro osobní potřebu a převážně pro domácnost</v>
      </c>
      <c r="U338">
        <f>IF(ISNUMBER(SEARCH('1Př1'!$A$36,N338)),MAX($M$2:M337)+1,0)</f>
        <v>336</v>
      </c>
      <c r="V338" s="419" t="s">
        <v>2213</v>
      </c>
      <c r="W338" t="str">
        <f>IFERROR(VLOOKUP(ROWS($W$3:W338),$U$3:$V$992,2,0),"")</f>
        <v>Pronájem a leasing výrobků pro osobní potřebu a převážně pro domácnost</v>
      </c>
      <c r="X338">
        <f>IF(ISNUMBER(SEARCH('1Př1'!$A$37,N338)),MAX($M$2:M337)+1,0)</f>
        <v>336</v>
      </c>
      <c r="Y338" s="419" t="s">
        <v>2213</v>
      </c>
      <c r="Z338" t="str">
        <f>IFERROR(VLOOKUP(ROWS($Z$3:Z338),$X$3:$Y$992,2,0),"")</f>
        <v>Pronájem a leasing výrobků pro osobní potřebu a převážně pro domácnost</v>
      </c>
    </row>
    <row r="339" spans="13:26" ht="12.75">
      <c r="M339" s="418">
        <f>IF(ISNUMBER(SEARCH(ZAKL_DATA!$B$29,N339)),MAX($M$2:M338)+1,0)</f>
        <v>337</v>
      </c>
      <c r="N339" s="419" t="s">
        <v>2215</v>
      </c>
      <c r="O339" s="436" t="s">
        <v>2216</v>
      </c>
      <c r="P339" s="421"/>
      <c r="Q339" s="422" t="str">
        <f>IFERROR(VLOOKUP(ROWS($Q$3:Q339),$M$3:$N$992,2,0),"")</f>
        <v>Pronájem a leasing ostatních strojů, zařízení a výrobků</v>
      </c>
      <c r="R339">
        <f>IF(ISNUMBER(SEARCH('1Př1'!$A$35,N339)),MAX($M$2:M338)+1,0)</f>
        <v>337</v>
      </c>
      <c r="S339" s="419" t="s">
        <v>2215</v>
      </c>
      <c r="T339" t="str">
        <f>IFERROR(VLOOKUP(ROWS($T$3:T339),$R$3:$S$992,2,0),"")</f>
        <v>Pronájem a leasing ostatních strojů, zařízení a výrobků</v>
      </c>
      <c r="U339">
        <f>IF(ISNUMBER(SEARCH('1Př1'!$A$36,N339)),MAX($M$2:M338)+1,0)</f>
        <v>337</v>
      </c>
      <c r="V339" s="419" t="s">
        <v>2215</v>
      </c>
      <c r="W339" t="str">
        <f>IFERROR(VLOOKUP(ROWS($W$3:W339),$U$3:$V$992,2,0),"")</f>
        <v>Pronájem a leasing ostatních strojů, zařízení a výrobků</v>
      </c>
      <c r="X339">
        <f>IF(ISNUMBER(SEARCH('1Př1'!$A$37,N339)),MAX($M$2:M338)+1,0)</f>
        <v>337</v>
      </c>
      <c r="Y339" s="419" t="s">
        <v>2215</v>
      </c>
      <c r="Z339" t="str">
        <f>IFERROR(VLOOKUP(ROWS($Z$3:Z339),$X$3:$Y$992,2,0),"")</f>
        <v>Pronájem a leasing ostatních strojů, zařízení a výrobků</v>
      </c>
    </row>
    <row r="340" spans="13:26" ht="12.75">
      <c r="M340" s="418">
        <f>IF(ISNUMBER(SEARCH(ZAKL_DATA!$B$29,N340)),MAX($M$2:M339)+1,0)</f>
        <v>338</v>
      </c>
      <c r="N340" s="419" t="s">
        <v>2217</v>
      </c>
      <c r="O340" s="436" t="s">
        <v>2218</v>
      </c>
      <c r="P340" s="421"/>
      <c r="Q340" s="422" t="str">
        <f>IFERROR(VLOOKUP(ROWS($Q$3:Q340),$M$3:$N$992,2,0),"")</f>
        <v>Leasing duševního vlast.a podobných produktů,kromě děl chrán.autor.právem</v>
      </c>
      <c r="R340">
        <f>IF(ISNUMBER(SEARCH('1Př1'!$A$35,N340)),MAX($M$2:M339)+1,0)</f>
        <v>338</v>
      </c>
      <c r="S340" s="419" t="s">
        <v>2217</v>
      </c>
      <c r="T340" t="str">
        <f>IFERROR(VLOOKUP(ROWS($T$3:T340),$R$3:$S$992,2,0),"")</f>
        <v>Leasing duševního vlast.a podobných produktů,kromě děl chrán.autor.právem</v>
      </c>
      <c r="U340">
        <f>IF(ISNUMBER(SEARCH('1Př1'!$A$36,N340)),MAX($M$2:M339)+1,0)</f>
        <v>338</v>
      </c>
      <c r="V340" s="419" t="s">
        <v>2217</v>
      </c>
      <c r="W340" t="str">
        <f>IFERROR(VLOOKUP(ROWS($W$3:W340),$U$3:$V$992,2,0),"")</f>
        <v>Leasing duševního vlast.a podobných produktů,kromě děl chrán.autor.právem</v>
      </c>
      <c r="X340">
        <f>IF(ISNUMBER(SEARCH('1Př1'!$A$37,N340)),MAX($M$2:M339)+1,0)</f>
        <v>338</v>
      </c>
      <c r="Y340" s="419" t="s">
        <v>2217</v>
      </c>
      <c r="Z340" t="str">
        <f>IFERROR(VLOOKUP(ROWS($Z$3:Z340),$X$3:$Y$992,2,0),"")</f>
        <v>Leasing duševního vlast.a podobných produktů,kromě děl chrán.autor.právem</v>
      </c>
    </row>
    <row r="341" spans="13:26" ht="12.75">
      <c r="M341" s="418">
        <f>IF(ISNUMBER(SEARCH(ZAKL_DATA!$B$29,N341)),MAX($M$2:M340)+1,0)</f>
        <v>339</v>
      </c>
      <c r="N341" s="419" t="s">
        <v>2219</v>
      </c>
      <c r="O341" s="436" t="s">
        <v>2220</v>
      </c>
      <c r="P341" s="421"/>
      <c r="Q341" s="422" t="str">
        <f>IFERROR(VLOOKUP(ROWS($Q$3:Q341),$M$3:$N$992,2,0),"")</f>
        <v>Činnosti agentur zprostředkujících zaměstnání</v>
      </c>
      <c r="R341">
        <f>IF(ISNUMBER(SEARCH('1Př1'!$A$35,N341)),MAX($M$2:M340)+1,0)</f>
        <v>339</v>
      </c>
      <c r="S341" s="419" t="s">
        <v>2219</v>
      </c>
      <c r="T341" t="str">
        <f>IFERROR(VLOOKUP(ROWS($T$3:T341),$R$3:$S$992,2,0),"")</f>
        <v>Činnosti agentur zprostředkujících zaměstnání</v>
      </c>
      <c r="U341">
        <f>IF(ISNUMBER(SEARCH('1Př1'!$A$36,N341)),MAX($M$2:M340)+1,0)</f>
        <v>339</v>
      </c>
      <c r="V341" s="419" t="s">
        <v>2219</v>
      </c>
      <c r="W341" t="str">
        <f>IFERROR(VLOOKUP(ROWS($W$3:W341),$U$3:$V$992,2,0),"")</f>
        <v>Činnosti agentur zprostředkujících zaměstnání</v>
      </c>
      <c r="X341">
        <f>IF(ISNUMBER(SEARCH('1Př1'!$A$37,N341)),MAX($M$2:M340)+1,0)</f>
        <v>339</v>
      </c>
      <c r="Y341" s="419" t="s">
        <v>2219</v>
      </c>
      <c r="Z341" t="str">
        <f>IFERROR(VLOOKUP(ROWS($Z$3:Z341),$X$3:$Y$992,2,0),"")</f>
        <v>Činnosti agentur zprostředkujících zaměstnání</v>
      </c>
    </row>
    <row r="342" spans="13:26" ht="12.75">
      <c r="M342" s="418">
        <f>IF(ISNUMBER(SEARCH(ZAKL_DATA!$B$29,N342)),MAX($M$2:M341)+1,0)</f>
        <v>340</v>
      </c>
      <c r="N342" s="419" t="s">
        <v>2221</v>
      </c>
      <c r="O342" s="436" t="s">
        <v>2222</v>
      </c>
      <c r="P342" s="421"/>
      <c r="Q342" s="422" t="str">
        <f>IFERROR(VLOOKUP(ROWS($Q$3:Q342),$M$3:$N$992,2,0),"")</f>
        <v>Činnosti agentur zprostředkujících práci na přechodnou dobu</v>
      </c>
      <c r="R342">
        <f>IF(ISNUMBER(SEARCH('1Př1'!$A$35,N342)),MAX($M$2:M341)+1,0)</f>
        <v>340</v>
      </c>
      <c r="S342" s="419" t="s">
        <v>2221</v>
      </c>
      <c r="T342" t="str">
        <f>IFERROR(VLOOKUP(ROWS($T$3:T342),$R$3:$S$992,2,0),"")</f>
        <v>Činnosti agentur zprostředkujících práci na přechodnou dobu</v>
      </c>
      <c r="U342">
        <f>IF(ISNUMBER(SEARCH('1Př1'!$A$36,N342)),MAX($M$2:M341)+1,0)</f>
        <v>340</v>
      </c>
      <c r="V342" s="419" t="s">
        <v>2221</v>
      </c>
      <c r="W342" t="str">
        <f>IFERROR(VLOOKUP(ROWS($W$3:W342),$U$3:$V$992,2,0),"")</f>
        <v>Činnosti agentur zprostředkujících práci na přechodnou dobu</v>
      </c>
      <c r="X342">
        <f>IF(ISNUMBER(SEARCH('1Př1'!$A$37,N342)),MAX($M$2:M341)+1,0)</f>
        <v>340</v>
      </c>
      <c r="Y342" s="419" t="s">
        <v>2221</v>
      </c>
      <c r="Z342" t="str">
        <f>IFERROR(VLOOKUP(ROWS($Z$3:Z342),$X$3:$Y$992,2,0),"")</f>
        <v>Činnosti agentur zprostředkujících práci na přechodnou dobu</v>
      </c>
    </row>
    <row r="343" spans="13:26" ht="12.75">
      <c r="M343" s="418">
        <f>IF(ISNUMBER(SEARCH(ZAKL_DATA!$B$29,N343)),MAX($M$2:M342)+1,0)</f>
        <v>341</v>
      </c>
      <c r="N343" s="419" t="s">
        <v>2223</v>
      </c>
      <c r="O343" s="436" t="s">
        <v>2224</v>
      </c>
      <c r="P343" s="421"/>
      <c r="Q343" s="422" t="str">
        <f>IFERROR(VLOOKUP(ROWS($Q$3:Q343),$M$3:$N$992,2,0),"")</f>
        <v>Ostatní poskytování lidských zdrojů</v>
      </c>
      <c r="R343">
        <f>IF(ISNUMBER(SEARCH('1Př1'!$A$35,N343)),MAX($M$2:M342)+1,0)</f>
        <v>341</v>
      </c>
      <c r="S343" s="419" t="s">
        <v>2223</v>
      </c>
      <c r="T343" t="str">
        <f>IFERROR(VLOOKUP(ROWS($T$3:T343),$R$3:$S$992,2,0),"")</f>
        <v>Ostatní poskytování lidských zdrojů</v>
      </c>
      <c r="U343">
        <f>IF(ISNUMBER(SEARCH('1Př1'!$A$36,N343)),MAX($M$2:M342)+1,0)</f>
        <v>341</v>
      </c>
      <c r="V343" s="419" t="s">
        <v>2223</v>
      </c>
      <c r="W343" t="str">
        <f>IFERROR(VLOOKUP(ROWS($W$3:W343),$U$3:$V$992,2,0),"")</f>
        <v>Ostatní poskytování lidských zdrojů</v>
      </c>
      <c r="X343">
        <f>IF(ISNUMBER(SEARCH('1Př1'!$A$37,N343)),MAX($M$2:M342)+1,0)</f>
        <v>341</v>
      </c>
      <c r="Y343" s="419" t="s">
        <v>2223</v>
      </c>
      <c r="Z343" t="str">
        <f>IFERROR(VLOOKUP(ROWS($Z$3:Z343),$X$3:$Y$992,2,0),"")</f>
        <v>Ostatní poskytování lidských zdrojů</v>
      </c>
    </row>
    <row r="344" spans="13:26" ht="12.75">
      <c r="M344" s="418">
        <f>IF(ISNUMBER(SEARCH(ZAKL_DATA!$B$29,N344)),MAX($M$2:M343)+1,0)</f>
        <v>342</v>
      </c>
      <c r="N344" s="419" t="s">
        <v>2225</v>
      </c>
      <c r="O344" s="436" t="s">
        <v>2226</v>
      </c>
      <c r="P344" s="421"/>
      <c r="Q344" s="422" t="str">
        <f>IFERROR(VLOOKUP(ROWS($Q$3:Q344),$M$3:$N$992,2,0),"")</f>
        <v>Činnosti cestovních agentur a cestovních kanceláří</v>
      </c>
      <c r="R344">
        <f>IF(ISNUMBER(SEARCH('1Př1'!$A$35,N344)),MAX($M$2:M343)+1,0)</f>
        <v>342</v>
      </c>
      <c r="S344" s="419" t="s">
        <v>2225</v>
      </c>
      <c r="T344" t="str">
        <f>IFERROR(VLOOKUP(ROWS($T$3:T344),$R$3:$S$992,2,0),"")</f>
        <v>Činnosti cestovních agentur a cestovních kanceláří</v>
      </c>
      <c r="U344">
        <f>IF(ISNUMBER(SEARCH('1Př1'!$A$36,N344)),MAX($M$2:M343)+1,0)</f>
        <v>342</v>
      </c>
      <c r="V344" s="419" t="s">
        <v>2225</v>
      </c>
      <c r="W344" t="str">
        <f>IFERROR(VLOOKUP(ROWS($W$3:W344),$U$3:$V$992,2,0),"")</f>
        <v>Činnosti cestovních agentur a cestovních kanceláří</v>
      </c>
      <c r="X344">
        <f>IF(ISNUMBER(SEARCH('1Př1'!$A$37,N344)),MAX($M$2:M343)+1,0)</f>
        <v>342</v>
      </c>
      <c r="Y344" s="419" t="s">
        <v>2225</v>
      </c>
      <c r="Z344" t="str">
        <f>IFERROR(VLOOKUP(ROWS($Z$3:Z344),$X$3:$Y$992,2,0),"")</f>
        <v>Činnosti cestovních agentur a cestovních kanceláří</v>
      </c>
    </row>
    <row r="345" spans="13:26" ht="12.75">
      <c r="M345" s="418">
        <f>IF(ISNUMBER(SEARCH(ZAKL_DATA!$B$29,N345)),MAX($M$2:M344)+1,0)</f>
        <v>343</v>
      </c>
      <c r="N345" s="419" t="s">
        <v>2227</v>
      </c>
      <c r="O345" s="436" t="s">
        <v>2228</v>
      </c>
      <c r="P345" s="421"/>
      <c r="Q345" s="422" t="str">
        <f>IFERROR(VLOOKUP(ROWS($Q$3:Q345),$M$3:$N$992,2,0),"")</f>
        <v>Ostatní rezervační a související činnosti</v>
      </c>
      <c r="R345">
        <f>IF(ISNUMBER(SEARCH('1Př1'!$A$35,N345)),MAX($M$2:M344)+1,0)</f>
        <v>343</v>
      </c>
      <c r="S345" s="419" t="s">
        <v>2227</v>
      </c>
      <c r="T345" t="str">
        <f>IFERROR(VLOOKUP(ROWS($T$3:T345),$R$3:$S$992,2,0),"")</f>
        <v>Ostatní rezervační a související činnosti</v>
      </c>
      <c r="U345">
        <f>IF(ISNUMBER(SEARCH('1Př1'!$A$36,N345)),MAX($M$2:M344)+1,0)</f>
        <v>343</v>
      </c>
      <c r="V345" s="419" t="s">
        <v>2227</v>
      </c>
      <c r="W345" t="str">
        <f>IFERROR(VLOOKUP(ROWS($W$3:W345),$U$3:$V$992,2,0),"")</f>
        <v>Ostatní rezervační a související činnosti</v>
      </c>
      <c r="X345">
        <f>IF(ISNUMBER(SEARCH('1Př1'!$A$37,N345)),MAX($M$2:M344)+1,0)</f>
        <v>343</v>
      </c>
      <c r="Y345" s="419" t="s">
        <v>2227</v>
      </c>
      <c r="Z345" t="str">
        <f>IFERROR(VLOOKUP(ROWS($Z$3:Z345),$X$3:$Y$992,2,0),"")</f>
        <v>Ostatní rezervační a související činnosti</v>
      </c>
    </row>
    <row r="346" spans="13:26" ht="12.75">
      <c r="M346" s="418">
        <f>IF(ISNUMBER(SEARCH(ZAKL_DATA!$B$29,N346)),MAX($M$2:M345)+1,0)</f>
        <v>344</v>
      </c>
      <c r="N346" s="419" t="s">
        <v>2229</v>
      </c>
      <c r="O346" s="436" t="s">
        <v>2230</v>
      </c>
      <c r="P346" s="421"/>
      <c r="Q346" s="422" t="str">
        <f>IFERROR(VLOOKUP(ROWS($Q$3:Q346),$M$3:$N$992,2,0),"")</f>
        <v>Činnosti soukromých bezpečnostních agentur</v>
      </c>
      <c r="R346">
        <f>IF(ISNUMBER(SEARCH('1Př1'!$A$35,N346)),MAX($M$2:M345)+1,0)</f>
        <v>344</v>
      </c>
      <c r="S346" s="419" t="s">
        <v>2229</v>
      </c>
      <c r="T346" t="str">
        <f>IFERROR(VLOOKUP(ROWS($T$3:T346),$R$3:$S$992,2,0),"")</f>
        <v>Činnosti soukromých bezpečnostních agentur</v>
      </c>
      <c r="U346">
        <f>IF(ISNUMBER(SEARCH('1Př1'!$A$36,N346)),MAX($M$2:M345)+1,0)</f>
        <v>344</v>
      </c>
      <c r="V346" s="419" t="s">
        <v>2229</v>
      </c>
      <c r="W346" t="str">
        <f>IFERROR(VLOOKUP(ROWS($W$3:W346),$U$3:$V$992,2,0),"")</f>
        <v>Činnosti soukromých bezpečnostních agentur</v>
      </c>
      <c r="X346">
        <f>IF(ISNUMBER(SEARCH('1Př1'!$A$37,N346)),MAX($M$2:M345)+1,0)</f>
        <v>344</v>
      </c>
      <c r="Y346" s="419" t="s">
        <v>2229</v>
      </c>
      <c r="Z346" t="str">
        <f>IFERROR(VLOOKUP(ROWS($Z$3:Z346),$X$3:$Y$992,2,0),"")</f>
        <v>Činnosti soukromých bezpečnostních agentur</v>
      </c>
    </row>
    <row r="347" spans="13:26" ht="12.75">
      <c r="M347" s="418">
        <f>IF(ISNUMBER(SEARCH(ZAKL_DATA!$B$29,N347)),MAX($M$2:M346)+1,0)</f>
        <v>345</v>
      </c>
      <c r="N347" s="419" t="s">
        <v>2231</v>
      </c>
      <c r="O347" s="436" t="s">
        <v>2232</v>
      </c>
      <c r="P347" s="421"/>
      <c r="Q347" s="422" t="str">
        <f>IFERROR(VLOOKUP(ROWS($Q$3:Q347),$M$3:$N$992,2,0),"")</f>
        <v>Činnosti související s provozem bezpečnostních systémů</v>
      </c>
      <c r="R347">
        <f>IF(ISNUMBER(SEARCH('1Př1'!$A$35,N347)),MAX($M$2:M346)+1,0)</f>
        <v>345</v>
      </c>
      <c r="S347" s="419" t="s">
        <v>2231</v>
      </c>
      <c r="T347" t="str">
        <f>IFERROR(VLOOKUP(ROWS($T$3:T347),$R$3:$S$992,2,0),"")</f>
        <v>Činnosti související s provozem bezpečnostních systémů</v>
      </c>
      <c r="U347">
        <f>IF(ISNUMBER(SEARCH('1Př1'!$A$36,N347)),MAX($M$2:M346)+1,0)</f>
        <v>345</v>
      </c>
      <c r="V347" s="419" t="s">
        <v>2231</v>
      </c>
      <c r="W347" t="str">
        <f>IFERROR(VLOOKUP(ROWS($W$3:W347),$U$3:$V$992,2,0),"")</f>
        <v>Činnosti související s provozem bezpečnostních systémů</v>
      </c>
      <c r="X347">
        <f>IF(ISNUMBER(SEARCH('1Př1'!$A$37,N347)),MAX($M$2:M346)+1,0)</f>
        <v>345</v>
      </c>
      <c r="Y347" s="419" t="s">
        <v>2231</v>
      </c>
      <c r="Z347" t="str">
        <f>IFERROR(VLOOKUP(ROWS($Z$3:Z347),$X$3:$Y$992,2,0),"")</f>
        <v>Činnosti související s provozem bezpečnostních systémů</v>
      </c>
    </row>
    <row r="348" spans="13:26" ht="12.75">
      <c r="M348" s="418">
        <f>IF(ISNUMBER(SEARCH(ZAKL_DATA!$B$29,N348)),MAX($M$2:M347)+1,0)</f>
        <v>346</v>
      </c>
      <c r="N348" s="419" t="s">
        <v>2233</v>
      </c>
      <c r="O348" s="436" t="s">
        <v>2234</v>
      </c>
      <c r="P348" s="421"/>
      <c r="Q348" s="422" t="str">
        <f>IFERROR(VLOOKUP(ROWS($Q$3:Q348),$M$3:$N$992,2,0),"")</f>
        <v>Pátrací činnosti</v>
      </c>
      <c r="R348">
        <f>IF(ISNUMBER(SEARCH('1Př1'!$A$35,N348)),MAX($M$2:M347)+1,0)</f>
        <v>346</v>
      </c>
      <c r="S348" s="419" t="s">
        <v>2233</v>
      </c>
      <c r="T348" t="str">
        <f>IFERROR(VLOOKUP(ROWS($T$3:T348),$R$3:$S$992,2,0),"")</f>
        <v>Pátrací činnosti</v>
      </c>
      <c r="U348">
        <f>IF(ISNUMBER(SEARCH('1Př1'!$A$36,N348)),MAX($M$2:M347)+1,0)</f>
        <v>346</v>
      </c>
      <c r="V348" s="419" t="s">
        <v>2233</v>
      </c>
      <c r="W348" t="str">
        <f>IFERROR(VLOOKUP(ROWS($W$3:W348),$U$3:$V$992,2,0),"")</f>
        <v>Pátrací činnosti</v>
      </c>
      <c r="X348">
        <f>IF(ISNUMBER(SEARCH('1Př1'!$A$37,N348)),MAX($M$2:M347)+1,0)</f>
        <v>346</v>
      </c>
      <c r="Y348" s="419" t="s">
        <v>2233</v>
      </c>
      <c r="Z348" t="str">
        <f>IFERROR(VLOOKUP(ROWS($Z$3:Z348),$X$3:$Y$992,2,0),"")</f>
        <v>Pátrací činnosti</v>
      </c>
    </row>
    <row r="349" spans="13:26" ht="12.75">
      <c r="M349" s="418">
        <f>IF(ISNUMBER(SEARCH(ZAKL_DATA!$B$29,N349)),MAX($M$2:M348)+1,0)</f>
        <v>347</v>
      </c>
      <c r="N349" s="419" t="s">
        <v>2235</v>
      </c>
      <c r="O349" s="436" t="s">
        <v>2236</v>
      </c>
      <c r="P349" s="421"/>
      <c r="Q349" s="422" t="str">
        <f>IFERROR(VLOOKUP(ROWS($Q$3:Q349),$M$3:$N$992,2,0),"")</f>
        <v>Kombinované pomocné činnosti</v>
      </c>
      <c r="R349">
        <f>IF(ISNUMBER(SEARCH('1Př1'!$A$35,N349)),MAX($M$2:M348)+1,0)</f>
        <v>347</v>
      </c>
      <c r="S349" s="419" t="s">
        <v>2235</v>
      </c>
      <c r="T349" t="str">
        <f>IFERROR(VLOOKUP(ROWS($T$3:T349),$R$3:$S$992,2,0),"")</f>
        <v>Kombinované pomocné činnosti</v>
      </c>
      <c r="U349">
        <f>IF(ISNUMBER(SEARCH('1Př1'!$A$36,N349)),MAX($M$2:M348)+1,0)</f>
        <v>347</v>
      </c>
      <c r="V349" s="419" t="s">
        <v>2235</v>
      </c>
      <c r="W349" t="str">
        <f>IFERROR(VLOOKUP(ROWS($W$3:W349),$U$3:$V$992,2,0),"")</f>
        <v>Kombinované pomocné činnosti</v>
      </c>
      <c r="X349">
        <f>IF(ISNUMBER(SEARCH('1Př1'!$A$37,N349)),MAX($M$2:M348)+1,0)</f>
        <v>347</v>
      </c>
      <c r="Y349" s="419" t="s">
        <v>2235</v>
      </c>
      <c r="Z349" t="str">
        <f>IFERROR(VLOOKUP(ROWS($Z$3:Z349),$X$3:$Y$992,2,0),"")</f>
        <v>Kombinované pomocné činnosti</v>
      </c>
    </row>
    <row r="350" spans="13:26" ht="12.75">
      <c r="M350" s="418">
        <f>IF(ISNUMBER(SEARCH(ZAKL_DATA!$B$29,N350)),MAX($M$2:M349)+1,0)</f>
        <v>348</v>
      </c>
      <c r="N350" s="419" t="s">
        <v>2237</v>
      </c>
      <c r="O350" s="436" t="s">
        <v>2238</v>
      </c>
      <c r="P350" s="421"/>
      <c r="Q350" s="422" t="str">
        <f>IFERROR(VLOOKUP(ROWS($Q$3:Q350),$M$3:$N$992,2,0),"")</f>
        <v>Dobývání kamene pro výtv.nebo stav.účely,vápence,sádrovce,křídy,břidl.</v>
      </c>
      <c r="R350">
        <f>IF(ISNUMBER(SEARCH('1Př1'!$A$35,N350)),MAX($M$2:M349)+1,0)</f>
        <v>348</v>
      </c>
      <c r="S350" s="419" t="s">
        <v>2237</v>
      </c>
      <c r="T350" t="str">
        <f>IFERROR(VLOOKUP(ROWS($T$3:T350),$R$3:$S$992,2,0),"")</f>
        <v>Dobývání kamene pro výtv.nebo stav.účely,vápence,sádrovce,křídy,břidl.</v>
      </c>
      <c r="U350">
        <f>IF(ISNUMBER(SEARCH('1Př1'!$A$36,N350)),MAX($M$2:M349)+1,0)</f>
        <v>348</v>
      </c>
      <c r="V350" s="419" t="s">
        <v>2237</v>
      </c>
      <c r="W350" t="str">
        <f>IFERROR(VLOOKUP(ROWS($W$3:W350),$U$3:$V$992,2,0),"")</f>
        <v>Dobývání kamene pro výtv.nebo stav.účely,vápence,sádrovce,křídy,břidl.</v>
      </c>
      <c r="X350">
        <f>IF(ISNUMBER(SEARCH('1Př1'!$A$37,N350)),MAX($M$2:M349)+1,0)</f>
        <v>348</v>
      </c>
      <c r="Y350" s="419" t="s">
        <v>2237</v>
      </c>
      <c r="Z350" t="str">
        <f>IFERROR(VLOOKUP(ROWS($Z$3:Z350),$X$3:$Y$992,2,0),"")</f>
        <v>Dobývání kamene pro výtv.nebo stav.účely,vápence,sádrovce,křídy,břidl.</v>
      </c>
    </row>
    <row r="351" spans="13:26" ht="12.75">
      <c r="M351" s="418">
        <f>IF(ISNUMBER(SEARCH(ZAKL_DATA!$B$29,N351)),MAX($M$2:M350)+1,0)</f>
        <v>349</v>
      </c>
      <c r="N351" s="419" t="s">
        <v>2239</v>
      </c>
      <c r="O351" s="436" t="s">
        <v>2240</v>
      </c>
      <c r="P351" s="421"/>
      <c r="Q351" s="422" t="str">
        <f>IFERROR(VLOOKUP(ROWS($Q$3:Q351),$M$3:$N$992,2,0),"")</f>
        <v>Úklidové činnosti</v>
      </c>
      <c r="R351">
        <f>IF(ISNUMBER(SEARCH('1Př1'!$A$35,N351)),MAX($M$2:M350)+1,0)</f>
        <v>349</v>
      </c>
      <c r="S351" s="419" t="s">
        <v>2239</v>
      </c>
      <c r="T351" t="str">
        <f>IFERROR(VLOOKUP(ROWS($T$3:T351),$R$3:$S$992,2,0),"")</f>
        <v>Úklidové činnosti</v>
      </c>
      <c r="U351">
        <f>IF(ISNUMBER(SEARCH('1Př1'!$A$36,N351)),MAX($M$2:M350)+1,0)</f>
        <v>349</v>
      </c>
      <c r="V351" s="419" t="s">
        <v>2239</v>
      </c>
      <c r="W351" t="str">
        <f>IFERROR(VLOOKUP(ROWS($W$3:W351),$U$3:$V$992,2,0),"")</f>
        <v>Úklidové činnosti</v>
      </c>
      <c r="X351">
        <f>IF(ISNUMBER(SEARCH('1Př1'!$A$37,N351)),MAX($M$2:M350)+1,0)</f>
        <v>349</v>
      </c>
      <c r="Y351" s="419" t="s">
        <v>2239</v>
      </c>
      <c r="Z351" t="str">
        <f>IFERROR(VLOOKUP(ROWS($Z$3:Z351),$X$3:$Y$992,2,0),"")</f>
        <v>Úklidové činnosti</v>
      </c>
    </row>
    <row r="352" spans="13:26" ht="12.75">
      <c r="M352" s="418">
        <f>IF(ISNUMBER(SEARCH(ZAKL_DATA!$B$29,N352)),MAX($M$2:M351)+1,0)</f>
        <v>350</v>
      </c>
      <c r="N352" s="419" t="s">
        <v>2241</v>
      </c>
      <c r="O352" s="436" t="s">
        <v>2242</v>
      </c>
      <c r="P352" s="421"/>
      <c r="Q352" s="422" t="str">
        <f>IFERROR(VLOOKUP(ROWS($Q$3:Q352),$M$3:$N$992,2,0),"")</f>
        <v>Provoz pískoven a štěrkopískoven; těžba jílů a kaolinu</v>
      </c>
      <c r="R352">
        <f>IF(ISNUMBER(SEARCH('1Př1'!$A$35,N352)),MAX($M$2:M351)+1,0)</f>
        <v>350</v>
      </c>
      <c r="S352" s="419" t="s">
        <v>2241</v>
      </c>
      <c r="T352" t="str">
        <f>IFERROR(VLOOKUP(ROWS($T$3:T352),$R$3:$S$992,2,0),"")</f>
        <v>Provoz pískoven a štěrkopískoven; těžba jílů a kaolinu</v>
      </c>
      <c r="U352">
        <f>IF(ISNUMBER(SEARCH('1Př1'!$A$36,N352)),MAX($M$2:M351)+1,0)</f>
        <v>350</v>
      </c>
      <c r="V352" s="419" t="s">
        <v>2241</v>
      </c>
      <c r="W352" t="str">
        <f>IFERROR(VLOOKUP(ROWS($W$3:W352),$U$3:$V$992,2,0),"")</f>
        <v>Provoz pískoven a štěrkopískoven; těžba jílů a kaolinu</v>
      </c>
      <c r="X352">
        <f>IF(ISNUMBER(SEARCH('1Př1'!$A$37,N352)),MAX($M$2:M351)+1,0)</f>
        <v>350</v>
      </c>
      <c r="Y352" s="419" t="s">
        <v>2241</v>
      </c>
      <c r="Z352" t="str">
        <f>IFERROR(VLOOKUP(ROWS($Z$3:Z352),$X$3:$Y$992,2,0),"")</f>
        <v>Provoz pískoven a štěrkopískoven; těžba jílů a kaolinu</v>
      </c>
    </row>
    <row r="353" spans="13:26" ht="12.75">
      <c r="M353" s="418">
        <f>IF(ISNUMBER(SEARCH(ZAKL_DATA!$B$29,N353)),MAX($M$2:M352)+1,0)</f>
        <v>351</v>
      </c>
      <c r="N353" s="419" t="s">
        <v>2243</v>
      </c>
      <c r="O353" s="436" t="s">
        <v>2244</v>
      </c>
      <c r="P353" s="421"/>
      <c r="Q353" s="422" t="str">
        <f>IFERROR(VLOOKUP(ROWS($Q$3:Q353),$M$3:$N$992,2,0),"")</f>
        <v>Činnosti související s úpravou krajiny</v>
      </c>
      <c r="R353">
        <f>IF(ISNUMBER(SEARCH('1Př1'!$A$35,N353)),MAX($M$2:M352)+1,0)</f>
        <v>351</v>
      </c>
      <c r="S353" s="419" t="s">
        <v>2243</v>
      </c>
      <c r="T353" t="str">
        <f>IFERROR(VLOOKUP(ROWS($T$3:T353),$R$3:$S$992,2,0),"")</f>
        <v>Činnosti související s úpravou krajiny</v>
      </c>
      <c r="U353">
        <f>IF(ISNUMBER(SEARCH('1Př1'!$A$36,N353)),MAX($M$2:M352)+1,0)</f>
        <v>351</v>
      </c>
      <c r="V353" s="419" t="s">
        <v>2243</v>
      </c>
      <c r="W353" t="str">
        <f>IFERROR(VLOOKUP(ROWS($W$3:W353),$U$3:$V$992,2,0),"")</f>
        <v>Činnosti související s úpravou krajiny</v>
      </c>
      <c r="X353">
        <f>IF(ISNUMBER(SEARCH('1Př1'!$A$37,N353)),MAX($M$2:M352)+1,0)</f>
        <v>351</v>
      </c>
      <c r="Y353" s="419" t="s">
        <v>2243</v>
      </c>
      <c r="Z353" t="str">
        <f>IFERROR(VLOOKUP(ROWS($Z$3:Z353),$X$3:$Y$992,2,0),"")</f>
        <v>Činnosti související s úpravou krajiny</v>
      </c>
    </row>
    <row r="354" spans="13:26" ht="12.75">
      <c r="M354" s="418">
        <f>IF(ISNUMBER(SEARCH(ZAKL_DATA!$B$29,N354)),MAX($M$2:M353)+1,0)</f>
        <v>352</v>
      </c>
      <c r="N354" s="419" t="s">
        <v>2245</v>
      </c>
      <c r="O354" s="436" t="s">
        <v>2246</v>
      </c>
      <c r="P354" s="421"/>
      <c r="Q354" s="422" t="str">
        <f>IFERROR(VLOOKUP(ROWS($Q$3:Q354),$M$3:$N$992,2,0),"")</f>
        <v>Administrativní a kancelářské činnosti</v>
      </c>
      <c r="R354">
        <f>IF(ISNUMBER(SEARCH('1Př1'!$A$35,N354)),MAX($M$2:M353)+1,0)</f>
        <v>352</v>
      </c>
      <c r="S354" s="419" t="s">
        <v>2245</v>
      </c>
      <c r="T354" t="str">
        <f>IFERROR(VLOOKUP(ROWS($T$3:T354),$R$3:$S$992,2,0),"")</f>
        <v>Administrativní a kancelářské činnosti</v>
      </c>
      <c r="U354">
        <f>IF(ISNUMBER(SEARCH('1Př1'!$A$36,N354)),MAX($M$2:M353)+1,0)</f>
        <v>352</v>
      </c>
      <c r="V354" s="419" t="s">
        <v>2245</v>
      </c>
      <c r="W354" t="str">
        <f>IFERROR(VLOOKUP(ROWS($W$3:W354),$U$3:$V$992,2,0),"")</f>
        <v>Administrativní a kancelářské činnosti</v>
      </c>
      <c r="X354">
        <f>IF(ISNUMBER(SEARCH('1Př1'!$A$37,N354)),MAX($M$2:M353)+1,0)</f>
        <v>352</v>
      </c>
      <c r="Y354" s="419" t="s">
        <v>2245</v>
      </c>
      <c r="Z354" t="str">
        <f>IFERROR(VLOOKUP(ROWS($Z$3:Z354),$X$3:$Y$992,2,0),"")</f>
        <v>Administrativní a kancelářské činnosti</v>
      </c>
    </row>
    <row r="355" spans="13:26" ht="12.75">
      <c r="M355" s="418">
        <f>IF(ISNUMBER(SEARCH(ZAKL_DATA!$B$29,N355)),MAX($M$2:M354)+1,0)</f>
        <v>353</v>
      </c>
      <c r="N355" s="419" t="s">
        <v>2247</v>
      </c>
      <c r="O355" s="436" t="s">
        <v>2248</v>
      </c>
      <c r="P355" s="421"/>
      <c r="Q355" s="422" t="str">
        <f>IFERROR(VLOOKUP(ROWS($Q$3:Q355),$M$3:$N$992,2,0),"")</f>
        <v>Činnosti zprostředkovatelských středisek po telefonu</v>
      </c>
      <c r="R355">
        <f>IF(ISNUMBER(SEARCH('1Př1'!$A$35,N355)),MAX($M$2:M354)+1,0)</f>
        <v>353</v>
      </c>
      <c r="S355" s="419" t="s">
        <v>2247</v>
      </c>
      <c r="T355" t="str">
        <f>IFERROR(VLOOKUP(ROWS($T$3:T355),$R$3:$S$992,2,0),"")</f>
        <v>Činnosti zprostředkovatelských středisek po telefonu</v>
      </c>
      <c r="U355">
        <f>IF(ISNUMBER(SEARCH('1Př1'!$A$36,N355)),MAX($M$2:M354)+1,0)</f>
        <v>353</v>
      </c>
      <c r="V355" s="419" t="s">
        <v>2247</v>
      </c>
      <c r="W355" t="str">
        <f>IFERROR(VLOOKUP(ROWS($W$3:W355),$U$3:$V$992,2,0),"")</f>
        <v>Činnosti zprostředkovatelských středisek po telefonu</v>
      </c>
      <c r="X355">
        <f>IF(ISNUMBER(SEARCH('1Př1'!$A$37,N355)),MAX($M$2:M354)+1,0)</f>
        <v>353</v>
      </c>
      <c r="Y355" s="419" t="s">
        <v>2247</v>
      </c>
      <c r="Z355" t="str">
        <f>IFERROR(VLOOKUP(ROWS($Z$3:Z355),$X$3:$Y$992,2,0),"")</f>
        <v>Činnosti zprostředkovatelských středisek po telefonu</v>
      </c>
    </row>
    <row r="356" spans="13:26" ht="12.75">
      <c r="M356" s="418">
        <f>IF(ISNUMBER(SEARCH(ZAKL_DATA!$B$29,N356)),MAX($M$2:M355)+1,0)</f>
        <v>354</v>
      </c>
      <c r="N356" s="419" t="s">
        <v>2249</v>
      </c>
      <c r="O356" s="436" t="s">
        <v>2250</v>
      </c>
      <c r="P356" s="421"/>
      <c r="Q356" s="422" t="str">
        <f>IFERROR(VLOOKUP(ROWS($Q$3:Q356),$M$3:$N$992,2,0),"")</f>
        <v>Pořádání konferencí a hospodářských výstav</v>
      </c>
      <c r="R356">
        <f>IF(ISNUMBER(SEARCH('1Př1'!$A$35,N356)),MAX($M$2:M355)+1,0)</f>
        <v>354</v>
      </c>
      <c r="S356" s="419" t="s">
        <v>2249</v>
      </c>
      <c r="T356" t="str">
        <f>IFERROR(VLOOKUP(ROWS($T$3:T356),$R$3:$S$992,2,0),"")</f>
        <v>Pořádání konferencí a hospodářských výstav</v>
      </c>
      <c r="U356">
        <f>IF(ISNUMBER(SEARCH('1Př1'!$A$36,N356)),MAX($M$2:M355)+1,0)</f>
        <v>354</v>
      </c>
      <c r="V356" s="419" t="s">
        <v>2249</v>
      </c>
      <c r="W356" t="str">
        <f>IFERROR(VLOOKUP(ROWS($W$3:W356),$U$3:$V$992,2,0),"")</f>
        <v>Pořádání konferencí a hospodářských výstav</v>
      </c>
      <c r="X356">
        <f>IF(ISNUMBER(SEARCH('1Př1'!$A$37,N356)),MAX($M$2:M355)+1,0)</f>
        <v>354</v>
      </c>
      <c r="Y356" s="419" t="s">
        <v>2249</v>
      </c>
      <c r="Z356" t="str">
        <f>IFERROR(VLOOKUP(ROWS($Z$3:Z356),$X$3:$Y$992,2,0),"")</f>
        <v>Pořádání konferencí a hospodářských výstav</v>
      </c>
    </row>
    <row r="357" spans="13:26" ht="12.75">
      <c r="M357" s="418">
        <f>IF(ISNUMBER(SEARCH(ZAKL_DATA!$B$29,N357)),MAX($M$2:M356)+1,0)</f>
        <v>355</v>
      </c>
      <c r="N357" s="419" t="s">
        <v>2251</v>
      </c>
      <c r="O357" s="436" t="s">
        <v>2252</v>
      </c>
      <c r="P357" s="421"/>
      <c r="Q357" s="422" t="str">
        <f>IFERROR(VLOOKUP(ROWS($Q$3:Q357),$M$3:$N$992,2,0),"")</f>
        <v>Podpůrné činnosti pro podnikání j. n.</v>
      </c>
      <c r="R357">
        <f>IF(ISNUMBER(SEARCH('1Př1'!$A$35,N357)),MAX($M$2:M356)+1,0)</f>
        <v>355</v>
      </c>
      <c r="S357" s="419" t="s">
        <v>2251</v>
      </c>
      <c r="T357" t="str">
        <f>IFERROR(VLOOKUP(ROWS($T$3:T357),$R$3:$S$992,2,0),"")</f>
        <v>Podpůrné činnosti pro podnikání j. n.</v>
      </c>
      <c r="U357">
        <f>IF(ISNUMBER(SEARCH('1Př1'!$A$36,N357)),MAX($M$2:M356)+1,0)</f>
        <v>355</v>
      </c>
      <c r="V357" s="419" t="s">
        <v>2251</v>
      </c>
      <c r="W357" t="str">
        <f>IFERROR(VLOOKUP(ROWS($W$3:W357),$U$3:$V$992,2,0),"")</f>
        <v>Podpůrné činnosti pro podnikání j. n.</v>
      </c>
      <c r="X357">
        <f>IF(ISNUMBER(SEARCH('1Př1'!$A$37,N357)),MAX($M$2:M356)+1,0)</f>
        <v>355</v>
      </c>
      <c r="Y357" s="419" t="s">
        <v>2251</v>
      </c>
      <c r="Z357" t="str">
        <f>IFERROR(VLOOKUP(ROWS($Z$3:Z357),$X$3:$Y$992,2,0),"")</f>
        <v>Podpůrné činnosti pro podnikání j. n.</v>
      </c>
    </row>
    <row r="358" spans="13:26" ht="12.75">
      <c r="M358" s="418">
        <f>IF(ISNUMBER(SEARCH(ZAKL_DATA!$B$29,N358)),MAX($M$2:M357)+1,0)</f>
        <v>356</v>
      </c>
      <c r="N358" s="419" t="s">
        <v>2253</v>
      </c>
      <c r="O358" s="436" t="s">
        <v>2254</v>
      </c>
      <c r="P358" s="421"/>
      <c r="Q358" s="422" t="str">
        <f>IFERROR(VLOOKUP(ROWS($Q$3:Q358),$M$3:$N$992,2,0),"")</f>
        <v>Veřejná správa a hospodářská a sociální politika</v>
      </c>
      <c r="R358">
        <f>IF(ISNUMBER(SEARCH('1Př1'!$A$35,N358)),MAX($M$2:M357)+1,0)</f>
        <v>356</v>
      </c>
      <c r="S358" s="419" t="s">
        <v>2253</v>
      </c>
      <c r="T358" t="str">
        <f>IFERROR(VLOOKUP(ROWS($T$3:T358),$R$3:$S$992,2,0),"")</f>
        <v>Veřejná správa a hospodářská a sociální politika</v>
      </c>
      <c r="U358">
        <f>IF(ISNUMBER(SEARCH('1Př1'!$A$36,N358)),MAX($M$2:M357)+1,0)</f>
        <v>356</v>
      </c>
      <c r="V358" s="419" t="s">
        <v>2253</v>
      </c>
      <c r="W358" t="str">
        <f>IFERROR(VLOOKUP(ROWS($W$3:W358),$U$3:$V$992,2,0),"")</f>
        <v>Veřejná správa a hospodářská a sociální politika</v>
      </c>
      <c r="X358">
        <f>IF(ISNUMBER(SEARCH('1Př1'!$A$37,N358)),MAX($M$2:M357)+1,0)</f>
        <v>356</v>
      </c>
      <c r="Y358" s="419" t="s">
        <v>2253</v>
      </c>
      <c r="Z358" t="str">
        <f>IFERROR(VLOOKUP(ROWS($Z$3:Z358),$X$3:$Y$992,2,0),"")</f>
        <v>Veřejná správa a hospodářská a sociální politika</v>
      </c>
    </row>
    <row r="359" spans="13:26" ht="12.75">
      <c r="M359" s="418">
        <f>IF(ISNUMBER(SEARCH(ZAKL_DATA!$B$29,N359)),MAX($M$2:M358)+1,0)</f>
        <v>357</v>
      </c>
      <c r="N359" s="419" t="s">
        <v>2255</v>
      </c>
      <c r="O359" s="436" t="s">
        <v>2256</v>
      </c>
      <c r="P359" s="421"/>
      <c r="Q359" s="422" t="str">
        <f>IFERROR(VLOOKUP(ROWS($Q$3:Q359),$M$3:$N$992,2,0),"")</f>
        <v>Činnosti pro společnost jako celek</v>
      </c>
      <c r="R359">
        <f>IF(ISNUMBER(SEARCH('1Př1'!$A$35,N359)),MAX($M$2:M358)+1,0)</f>
        <v>357</v>
      </c>
      <c r="S359" s="419" t="s">
        <v>2255</v>
      </c>
      <c r="T359" t="str">
        <f>IFERROR(VLOOKUP(ROWS($T$3:T359),$R$3:$S$992,2,0),"")</f>
        <v>Činnosti pro společnost jako celek</v>
      </c>
      <c r="U359">
        <f>IF(ISNUMBER(SEARCH('1Př1'!$A$36,N359)),MAX($M$2:M358)+1,0)</f>
        <v>357</v>
      </c>
      <c r="V359" s="419" t="s">
        <v>2255</v>
      </c>
      <c r="W359" t="str">
        <f>IFERROR(VLOOKUP(ROWS($W$3:W359),$U$3:$V$992,2,0),"")</f>
        <v>Činnosti pro společnost jako celek</v>
      </c>
      <c r="X359">
        <f>IF(ISNUMBER(SEARCH('1Př1'!$A$37,N359)),MAX($M$2:M358)+1,0)</f>
        <v>357</v>
      </c>
      <c r="Y359" s="419" t="s">
        <v>2255</v>
      </c>
      <c r="Z359" t="str">
        <f>IFERROR(VLOOKUP(ROWS($Z$3:Z359),$X$3:$Y$992,2,0),"")</f>
        <v>Činnosti pro společnost jako celek</v>
      </c>
    </row>
    <row r="360" spans="13:26" ht="12.75">
      <c r="M360" s="418">
        <f>IF(ISNUMBER(SEARCH(ZAKL_DATA!$B$29,N360)),MAX($M$2:M359)+1,0)</f>
        <v>358</v>
      </c>
      <c r="N360" s="419" t="s">
        <v>2257</v>
      </c>
      <c r="O360" s="436" t="s">
        <v>2258</v>
      </c>
      <c r="P360" s="421"/>
      <c r="Q360" s="422" t="str">
        <f>IFERROR(VLOOKUP(ROWS($Q$3:Q360),$M$3:$N$992,2,0),"")</f>
        <v>Činnosti v oblasti povinného sociálního zabezpečení</v>
      </c>
      <c r="R360">
        <f>IF(ISNUMBER(SEARCH('1Př1'!$A$35,N360)),MAX($M$2:M359)+1,0)</f>
        <v>358</v>
      </c>
      <c r="S360" s="419" t="s">
        <v>2257</v>
      </c>
      <c r="T360" t="str">
        <f>IFERROR(VLOOKUP(ROWS($T$3:T360),$R$3:$S$992,2,0),"")</f>
        <v>Činnosti v oblasti povinného sociálního zabezpečení</v>
      </c>
      <c r="U360">
        <f>IF(ISNUMBER(SEARCH('1Př1'!$A$36,N360)),MAX($M$2:M359)+1,0)</f>
        <v>358</v>
      </c>
      <c r="V360" s="419" t="s">
        <v>2257</v>
      </c>
      <c r="W360" t="str">
        <f>IFERROR(VLOOKUP(ROWS($W$3:W360),$U$3:$V$992,2,0),"")</f>
        <v>Činnosti v oblasti povinného sociálního zabezpečení</v>
      </c>
      <c r="X360">
        <f>IF(ISNUMBER(SEARCH('1Př1'!$A$37,N360)),MAX($M$2:M359)+1,0)</f>
        <v>358</v>
      </c>
      <c r="Y360" s="419" t="s">
        <v>2257</v>
      </c>
      <c r="Z360" t="str">
        <f>IFERROR(VLOOKUP(ROWS($Z$3:Z360),$X$3:$Y$992,2,0),"")</f>
        <v>Činnosti v oblasti povinného sociálního zabezpečení</v>
      </c>
    </row>
    <row r="361" spans="13:26" ht="12.75">
      <c r="M361" s="418">
        <f>IF(ISNUMBER(SEARCH(ZAKL_DATA!$B$29,N361)),MAX($M$2:M360)+1,0)</f>
        <v>359</v>
      </c>
      <c r="N361" s="419" t="s">
        <v>2259</v>
      </c>
      <c r="O361" s="436" t="s">
        <v>2260</v>
      </c>
      <c r="P361" s="421"/>
      <c r="Q361" s="422" t="str">
        <f>IFERROR(VLOOKUP(ROWS($Q$3:Q361),$M$3:$N$992,2,0),"")</f>
        <v>Předškolní vzdělávání</v>
      </c>
      <c r="R361">
        <f>IF(ISNUMBER(SEARCH('1Př1'!$A$35,N361)),MAX($M$2:M360)+1,0)</f>
        <v>359</v>
      </c>
      <c r="S361" s="419" t="s">
        <v>2259</v>
      </c>
      <c r="T361" t="str">
        <f>IFERROR(VLOOKUP(ROWS($T$3:T361),$R$3:$S$992,2,0),"")</f>
        <v>Předškolní vzdělávání</v>
      </c>
      <c r="U361">
        <f>IF(ISNUMBER(SEARCH('1Př1'!$A$36,N361)),MAX($M$2:M360)+1,0)</f>
        <v>359</v>
      </c>
      <c r="V361" s="419" t="s">
        <v>2259</v>
      </c>
      <c r="W361" t="str">
        <f>IFERROR(VLOOKUP(ROWS($W$3:W361),$U$3:$V$992,2,0),"")</f>
        <v>Předškolní vzdělávání</v>
      </c>
      <c r="X361">
        <f>IF(ISNUMBER(SEARCH('1Př1'!$A$37,N361)),MAX($M$2:M360)+1,0)</f>
        <v>359</v>
      </c>
      <c r="Y361" s="419" t="s">
        <v>2259</v>
      </c>
      <c r="Z361" t="str">
        <f>IFERROR(VLOOKUP(ROWS($Z$3:Z361),$X$3:$Y$992,2,0),"")</f>
        <v>Předškolní vzdělávání</v>
      </c>
    </row>
    <row r="362" spans="13:26" ht="12.75">
      <c r="M362" s="418">
        <f>IF(ISNUMBER(SEARCH(ZAKL_DATA!$B$29,N362)),MAX($M$2:M361)+1,0)</f>
        <v>360</v>
      </c>
      <c r="N362" s="419" t="s">
        <v>2261</v>
      </c>
      <c r="O362" s="436" t="s">
        <v>2262</v>
      </c>
      <c r="P362" s="421"/>
      <c r="Q362" s="422" t="str">
        <f>IFERROR(VLOOKUP(ROWS($Q$3:Q362),$M$3:$N$992,2,0),"")</f>
        <v>Primární vzdělávání</v>
      </c>
      <c r="R362">
        <f>IF(ISNUMBER(SEARCH('1Př1'!$A$35,N362)),MAX($M$2:M361)+1,0)</f>
        <v>360</v>
      </c>
      <c r="S362" s="419" t="s">
        <v>2261</v>
      </c>
      <c r="T362" t="str">
        <f>IFERROR(VLOOKUP(ROWS($T$3:T362),$R$3:$S$992,2,0),"")</f>
        <v>Primární vzdělávání</v>
      </c>
      <c r="U362">
        <f>IF(ISNUMBER(SEARCH('1Př1'!$A$36,N362)),MAX($M$2:M361)+1,0)</f>
        <v>360</v>
      </c>
      <c r="V362" s="419" t="s">
        <v>2261</v>
      </c>
      <c r="W362" t="str">
        <f>IFERROR(VLOOKUP(ROWS($W$3:W362),$U$3:$V$992,2,0),"")</f>
        <v>Primární vzdělávání</v>
      </c>
      <c r="X362">
        <f>IF(ISNUMBER(SEARCH('1Př1'!$A$37,N362)),MAX($M$2:M361)+1,0)</f>
        <v>360</v>
      </c>
      <c r="Y362" s="419" t="s">
        <v>2261</v>
      </c>
      <c r="Z362" t="str">
        <f>IFERROR(VLOOKUP(ROWS($Z$3:Z362),$X$3:$Y$992,2,0),"")</f>
        <v>Primární vzdělávání</v>
      </c>
    </row>
    <row r="363" spans="13:26" ht="12.75">
      <c r="M363" s="418">
        <f>IF(ISNUMBER(SEARCH(ZAKL_DATA!$B$29,N363)),MAX($M$2:M362)+1,0)</f>
        <v>361</v>
      </c>
      <c r="N363" s="419" t="s">
        <v>2263</v>
      </c>
      <c r="O363" s="436" t="s">
        <v>2264</v>
      </c>
      <c r="P363" s="421"/>
      <c r="Q363" s="422" t="str">
        <f>IFERROR(VLOOKUP(ROWS($Q$3:Q363),$M$3:$N$992,2,0),"")</f>
        <v>Sekundární vzdělávání</v>
      </c>
      <c r="R363">
        <f>IF(ISNUMBER(SEARCH('1Př1'!$A$35,N363)),MAX($M$2:M362)+1,0)</f>
        <v>361</v>
      </c>
      <c r="S363" s="419" t="s">
        <v>2263</v>
      </c>
      <c r="T363" t="str">
        <f>IFERROR(VLOOKUP(ROWS($T$3:T363),$R$3:$S$992,2,0),"")</f>
        <v>Sekundární vzdělávání</v>
      </c>
      <c r="U363">
        <f>IF(ISNUMBER(SEARCH('1Př1'!$A$36,N363)),MAX($M$2:M362)+1,0)</f>
        <v>361</v>
      </c>
      <c r="V363" s="419" t="s">
        <v>2263</v>
      </c>
      <c r="W363" t="str">
        <f>IFERROR(VLOOKUP(ROWS($W$3:W363),$U$3:$V$992,2,0),"")</f>
        <v>Sekundární vzdělávání</v>
      </c>
      <c r="X363">
        <f>IF(ISNUMBER(SEARCH('1Př1'!$A$37,N363)),MAX($M$2:M362)+1,0)</f>
        <v>361</v>
      </c>
      <c r="Y363" s="419" t="s">
        <v>2263</v>
      </c>
      <c r="Z363" t="str">
        <f>IFERROR(VLOOKUP(ROWS($Z$3:Z363),$X$3:$Y$992,2,0),"")</f>
        <v>Sekundární vzdělávání</v>
      </c>
    </row>
    <row r="364" spans="13:26" ht="12.75">
      <c r="M364" s="418">
        <f>IF(ISNUMBER(SEARCH(ZAKL_DATA!$B$29,N364)),MAX($M$2:M363)+1,0)</f>
        <v>362</v>
      </c>
      <c r="N364" s="419" t="s">
        <v>2265</v>
      </c>
      <c r="O364" s="436" t="s">
        <v>2266</v>
      </c>
      <c r="P364" s="421"/>
      <c r="Q364" s="422" t="str">
        <f>IFERROR(VLOOKUP(ROWS($Q$3:Q364),$M$3:$N$992,2,0),"")</f>
        <v>Postsekundární vzdělávání</v>
      </c>
      <c r="R364">
        <f>IF(ISNUMBER(SEARCH('1Př1'!$A$35,N364)),MAX($M$2:M363)+1,0)</f>
        <v>362</v>
      </c>
      <c r="S364" s="419" t="s">
        <v>2265</v>
      </c>
      <c r="T364" t="str">
        <f>IFERROR(VLOOKUP(ROWS($T$3:T364),$R$3:$S$992,2,0),"")</f>
        <v>Postsekundární vzdělávání</v>
      </c>
      <c r="U364">
        <f>IF(ISNUMBER(SEARCH('1Př1'!$A$36,N364)),MAX($M$2:M363)+1,0)</f>
        <v>362</v>
      </c>
      <c r="V364" s="419" t="s">
        <v>2265</v>
      </c>
      <c r="W364" t="str">
        <f>IFERROR(VLOOKUP(ROWS($W$3:W364),$U$3:$V$992,2,0),"")</f>
        <v>Postsekundární vzdělávání</v>
      </c>
      <c r="X364">
        <f>IF(ISNUMBER(SEARCH('1Př1'!$A$37,N364)),MAX($M$2:M363)+1,0)</f>
        <v>362</v>
      </c>
      <c r="Y364" s="419" t="s">
        <v>2265</v>
      </c>
      <c r="Z364" t="str">
        <f>IFERROR(VLOOKUP(ROWS($Z$3:Z364),$X$3:$Y$992,2,0),"")</f>
        <v>Postsekundární vzdělávání</v>
      </c>
    </row>
    <row r="365" spans="13:26" ht="12.75">
      <c r="M365" s="418">
        <f>IF(ISNUMBER(SEARCH(ZAKL_DATA!$B$29,N365)),MAX($M$2:M364)+1,0)</f>
        <v>363</v>
      </c>
      <c r="N365" s="419" t="s">
        <v>2267</v>
      </c>
      <c r="O365" s="436" t="s">
        <v>2268</v>
      </c>
      <c r="P365" s="421"/>
      <c r="Q365" s="422" t="str">
        <f>IFERROR(VLOOKUP(ROWS($Q$3:Q365),$M$3:$N$992,2,0),"")</f>
        <v>Ostatní vzdělávání</v>
      </c>
      <c r="R365">
        <f>IF(ISNUMBER(SEARCH('1Př1'!$A$35,N365)),MAX($M$2:M364)+1,0)</f>
        <v>363</v>
      </c>
      <c r="S365" s="419" t="s">
        <v>2267</v>
      </c>
      <c r="T365" t="str">
        <f>IFERROR(VLOOKUP(ROWS($T$3:T365),$R$3:$S$992,2,0),"")</f>
        <v>Ostatní vzdělávání</v>
      </c>
      <c r="U365">
        <f>IF(ISNUMBER(SEARCH('1Př1'!$A$36,N365)),MAX($M$2:M364)+1,0)</f>
        <v>363</v>
      </c>
      <c r="V365" s="419" t="s">
        <v>2267</v>
      </c>
      <c r="W365" t="str">
        <f>IFERROR(VLOOKUP(ROWS($W$3:W365),$U$3:$V$992,2,0),"")</f>
        <v>Ostatní vzdělávání</v>
      </c>
      <c r="X365">
        <f>IF(ISNUMBER(SEARCH('1Př1'!$A$37,N365)),MAX($M$2:M364)+1,0)</f>
        <v>363</v>
      </c>
      <c r="Y365" s="419" t="s">
        <v>2267</v>
      </c>
      <c r="Z365" t="str">
        <f>IFERROR(VLOOKUP(ROWS($Z$3:Z365),$X$3:$Y$992,2,0),"")</f>
        <v>Ostatní vzdělávání</v>
      </c>
    </row>
    <row r="366" spans="13:26" ht="12.75">
      <c r="M366" s="418">
        <f>IF(ISNUMBER(SEARCH(ZAKL_DATA!$B$29,N366)),MAX($M$2:M365)+1,0)</f>
        <v>364</v>
      </c>
      <c r="N366" s="419" t="s">
        <v>2269</v>
      </c>
      <c r="O366" s="436" t="s">
        <v>2270</v>
      </c>
      <c r="P366" s="421"/>
      <c r="Q366" s="422" t="str">
        <f>IFERROR(VLOOKUP(ROWS($Q$3:Q366),$M$3:$N$992,2,0),"")</f>
        <v>Podpůrné činnosti ve vzdělávání</v>
      </c>
      <c r="R366">
        <f>IF(ISNUMBER(SEARCH('1Př1'!$A$35,N366)),MAX($M$2:M365)+1,0)</f>
        <v>364</v>
      </c>
      <c r="S366" s="419" t="s">
        <v>2269</v>
      </c>
      <c r="T366" t="str">
        <f>IFERROR(VLOOKUP(ROWS($T$3:T366),$R$3:$S$992,2,0),"")</f>
        <v>Podpůrné činnosti ve vzdělávání</v>
      </c>
      <c r="U366">
        <f>IF(ISNUMBER(SEARCH('1Př1'!$A$36,N366)),MAX($M$2:M365)+1,0)</f>
        <v>364</v>
      </c>
      <c r="V366" s="419" t="s">
        <v>2269</v>
      </c>
      <c r="W366" t="str">
        <f>IFERROR(VLOOKUP(ROWS($W$3:W366),$U$3:$V$992,2,0),"")</f>
        <v>Podpůrné činnosti ve vzdělávání</v>
      </c>
      <c r="X366">
        <f>IF(ISNUMBER(SEARCH('1Př1'!$A$37,N366)),MAX($M$2:M365)+1,0)</f>
        <v>364</v>
      </c>
      <c r="Y366" s="419" t="s">
        <v>2269</v>
      </c>
      <c r="Z366" t="str">
        <f>IFERROR(VLOOKUP(ROWS($Z$3:Z366),$X$3:$Y$992,2,0),"")</f>
        <v>Podpůrné činnosti ve vzdělávání</v>
      </c>
    </row>
    <row r="367" spans="13:26" ht="12.75">
      <c r="M367" s="418">
        <f>IF(ISNUMBER(SEARCH(ZAKL_DATA!$B$29,N367)),MAX($M$2:M366)+1,0)</f>
        <v>365</v>
      </c>
      <c r="N367" s="419" t="s">
        <v>2271</v>
      </c>
      <c r="O367" s="436" t="s">
        <v>2272</v>
      </c>
      <c r="P367" s="421"/>
      <c r="Q367" s="422" t="str">
        <f>IFERROR(VLOOKUP(ROWS($Q$3:Q367),$M$3:$N$992,2,0),"")</f>
        <v>Ústavní zdravotní péče</v>
      </c>
      <c r="R367">
        <f>IF(ISNUMBER(SEARCH('1Př1'!$A$35,N367)),MAX($M$2:M366)+1,0)</f>
        <v>365</v>
      </c>
      <c r="S367" s="419" t="s">
        <v>2271</v>
      </c>
      <c r="T367" t="str">
        <f>IFERROR(VLOOKUP(ROWS($T$3:T367),$R$3:$S$992,2,0),"")</f>
        <v>Ústavní zdravotní péče</v>
      </c>
      <c r="U367">
        <f>IF(ISNUMBER(SEARCH('1Př1'!$A$36,N367)),MAX($M$2:M366)+1,0)</f>
        <v>365</v>
      </c>
      <c r="V367" s="419" t="s">
        <v>2271</v>
      </c>
      <c r="W367" t="str">
        <f>IFERROR(VLOOKUP(ROWS($W$3:W367),$U$3:$V$992,2,0),"")</f>
        <v>Ústavní zdravotní péče</v>
      </c>
      <c r="X367">
        <f>IF(ISNUMBER(SEARCH('1Př1'!$A$37,N367)),MAX($M$2:M366)+1,0)</f>
        <v>365</v>
      </c>
      <c r="Y367" s="419" t="s">
        <v>2271</v>
      </c>
      <c r="Z367" t="str">
        <f>IFERROR(VLOOKUP(ROWS($Z$3:Z367),$X$3:$Y$992,2,0),"")</f>
        <v>Ústavní zdravotní péče</v>
      </c>
    </row>
    <row r="368" spans="13:26" ht="12.75">
      <c r="M368" s="418">
        <f>IF(ISNUMBER(SEARCH(ZAKL_DATA!$B$29,N368)),MAX($M$2:M367)+1,0)</f>
        <v>366</v>
      </c>
      <c r="N368" s="419" t="s">
        <v>2273</v>
      </c>
      <c r="O368" s="436" t="s">
        <v>2274</v>
      </c>
      <c r="P368" s="421"/>
      <c r="Q368" s="422" t="str">
        <f>IFERROR(VLOOKUP(ROWS($Q$3:Q368),$M$3:$N$992,2,0),"")</f>
        <v>Ambulantní a zubní zdravotní péče</v>
      </c>
      <c r="R368">
        <f>IF(ISNUMBER(SEARCH('1Př1'!$A$35,N368)),MAX($M$2:M367)+1,0)</f>
        <v>366</v>
      </c>
      <c r="S368" s="419" t="s">
        <v>2273</v>
      </c>
      <c r="T368" t="str">
        <f>IFERROR(VLOOKUP(ROWS($T$3:T368),$R$3:$S$992,2,0),"")</f>
        <v>Ambulantní a zubní zdravotní péče</v>
      </c>
      <c r="U368">
        <f>IF(ISNUMBER(SEARCH('1Př1'!$A$36,N368)),MAX($M$2:M367)+1,0)</f>
        <v>366</v>
      </c>
      <c r="V368" s="419" t="s">
        <v>2273</v>
      </c>
      <c r="W368" t="str">
        <f>IFERROR(VLOOKUP(ROWS($W$3:W368),$U$3:$V$992,2,0),"")</f>
        <v>Ambulantní a zubní zdravotní péče</v>
      </c>
      <c r="X368">
        <f>IF(ISNUMBER(SEARCH('1Př1'!$A$37,N368)),MAX($M$2:M367)+1,0)</f>
        <v>366</v>
      </c>
      <c r="Y368" s="419" t="s">
        <v>2273</v>
      </c>
      <c r="Z368" t="str">
        <f>IFERROR(VLOOKUP(ROWS($Z$3:Z368),$X$3:$Y$992,2,0),"")</f>
        <v>Ambulantní a zubní zdravotní péče</v>
      </c>
    </row>
    <row r="369" spans="13:26" ht="12.75">
      <c r="M369" s="418">
        <f>IF(ISNUMBER(SEARCH(ZAKL_DATA!$B$29,N369)),MAX($M$2:M368)+1,0)</f>
        <v>367</v>
      </c>
      <c r="N369" s="419" t="s">
        <v>2275</v>
      </c>
      <c r="O369" s="436" t="s">
        <v>2276</v>
      </c>
      <c r="P369" s="421"/>
      <c r="Q369" s="422" t="str">
        <f>IFERROR(VLOOKUP(ROWS($Q$3:Q369),$M$3:$N$992,2,0),"")</f>
        <v>Ostatní činnosti související se zdravotní péčí</v>
      </c>
      <c r="R369">
        <f>IF(ISNUMBER(SEARCH('1Př1'!$A$35,N369)),MAX($M$2:M368)+1,0)</f>
        <v>367</v>
      </c>
      <c r="S369" s="419" t="s">
        <v>2275</v>
      </c>
      <c r="T369" t="str">
        <f>IFERROR(VLOOKUP(ROWS($T$3:T369),$R$3:$S$992,2,0),"")</f>
        <v>Ostatní činnosti související se zdravotní péčí</v>
      </c>
      <c r="U369">
        <f>IF(ISNUMBER(SEARCH('1Př1'!$A$36,N369)),MAX($M$2:M368)+1,0)</f>
        <v>367</v>
      </c>
      <c r="V369" s="419" t="s">
        <v>2275</v>
      </c>
      <c r="W369" t="str">
        <f>IFERROR(VLOOKUP(ROWS($W$3:W369),$U$3:$V$992,2,0),"")</f>
        <v>Ostatní činnosti související se zdravotní péčí</v>
      </c>
      <c r="X369">
        <f>IF(ISNUMBER(SEARCH('1Př1'!$A$37,N369)),MAX($M$2:M368)+1,0)</f>
        <v>367</v>
      </c>
      <c r="Y369" s="419" t="s">
        <v>2275</v>
      </c>
      <c r="Z369" t="str">
        <f>IFERROR(VLOOKUP(ROWS($Z$3:Z369),$X$3:$Y$992,2,0),"")</f>
        <v>Ostatní činnosti související se zdravotní péčí</v>
      </c>
    </row>
    <row r="370" spans="13:26" ht="12.75">
      <c r="M370" s="418">
        <f>IF(ISNUMBER(SEARCH(ZAKL_DATA!$B$29,N370)),MAX($M$2:M369)+1,0)</f>
        <v>368</v>
      </c>
      <c r="N370" s="419" t="s">
        <v>2277</v>
      </c>
      <c r="O370" s="436" t="s">
        <v>1326</v>
      </c>
      <c r="P370" s="421"/>
      <c r="Q370" s="422" t="str">
        <f>IFERROR(VLOOKUP(ROWS($Q$3:Q370),$M$3:$N$992,2,0),"")</f>
        <v>Ústavní sociální péče</v>
      </c>
      <c r="R370">
        <f>IF(ISNUMBER(SEARCH('1Př1'!$A$35,N370)),MAX($M$2:M369)+1,0)</f>
        <v>368</v>
      </c>
      <c r="S370" s="419" t="s">
        <v>2277</v>
      </c>
      <c r="T370" t="str">
        <f>IFERROR(VLOOKUP(ROWS($T$3:T370),$R$3:$S$992,2,0),"")</f>
        <v>Ústavní sociální péče</v>
      </c>
      <c r="U370">
        <f>IF(ISNUMBER(SEARCH('1Př1'!$A$36,N370)),MAX($M$2:M369)+1,0)</f>
        <v>368</v>
      </c>
      <c r="V370" s="419" t="s">
        <v>2277</v>
      </c>
      <c r="W370" t="str">
        <f>IFERROR(VLOOKUP(ROWS($W$3:W370),$U$3:$V$992,2,0),"")</f>
        <v>Ústavní sociální péče</v>
      </c>
      <c r="X370">
        <f>IF(ISNUMBER(SEARCH('1Př1'!$A$37,N370)),MAX($M$2:M369)+1,0)</f>
        <v>368</v>
      </c>
      <c r="Y370" s="419" t="s">
        <v>2277</v>
      </c>
      <c r="Z370" t="str">
        <f>IFERROR(VLOOKUP(ROWS($Z$3:Z370),$X$3:$Y$992,2,0),"")</f>
        <v>Ústavní sociální péče</v>
      </c>
    </row>
    <row r="371" spans="13:26" ht="12.75">
      <c r="M371" s="418">
        <f>IF(ISNUMBER(SEARCH(ZAKL_DATA!$B$29,N371)),MAX($M$2:M370)+1,0)</f>
        <v>369</v>
      </c>
      <c r="N371" s="419" t="s">
        <v>2278</v>
      </c>
      <c r="O371" s="436" t="s">
        <v>2279</v>
      </c>
      <c r="P371" s="421"/>
      <c r="Q371" s="422" t="str">
        <f>IFERROR(VLOOKUP(ROWS($Q$3:Q371),$M$3:$N$992,2,0),"")</f>
        <v>Sociální péče ve zdravotnických zařízeních ústavní péče</v>
      </c>
      <c r="R371">
        <f>IF(ISNUMBER(SEARCH('1Př1'!$A$35,N371)),MAX($M$2:M370)+1,0)</f>
        <v>369</v>
      </c>
      <c r="S371" s="419" t="s">
        <v>2278</v>
      </c>
      <c r="T371" t="str">
        <f>IFERROR(VLOOKUP(ROWS($T$3:T371),$R$3:$S$992,2,0),"")</f>
        <v>Sociální péče ve zdravotnických zařízeních ústavní péče</v>
      </c>
      <c r="U371">
        <f>IF(ISNUMBER(SEARCH('1Př1'!$A$36,N371)),MAX($M$2:M370)+1,0)</f>
        <v>369</v>
      </c>
      <c r="V371" s="419" t="s">
        <v>2278</v>
      </c>
      <c r="W371" t="str">
        <f>IFERROR(VLOOKUP(ROWS($W$3:W371),$U$3:$V$992,2,0),"")</f>
        <v>Sociální péče ve zdravotnických zařízeních ústavní péče</v>
      </c>
      <c r="X371">
        <f>IF(ISNUMBER(SEARCH('1Př1'!$A$37,N371)),MAX($M$2:M370)+1,0)</f>
        <v>369</v>
      </c>
      <c r="Y371" s="419" t="s">
        <v>2278</v>
      </c>
      <c r="Z371" t="str">
        <f>IFERROR(VLOOKUP(ROWS($Z$3:Z371),$X$3:$Y$992,2,0),"")</f>
        <v>Sociální péče ve zdravotnických zařízeních ústavní péče</v>
      </c>
    </row>
    <row r="372" spans="13:26" ht="12.75">
      <c r="M372" s="418">
        <f>IF(ISNUMBER(SEARCH(ZAKL_DATA!$B$29,N372)),MAX($M$2:M371)+1,0)</f>
        <v>370</v>
      </c>
      <c r="N372" s="419" t="s">
        <v>2280</v>
      </c>
      <c r="O372" s="436" t="s">
        <v>2281</v>
      </c>
      <c r="P372" s="421"/>
      <c r="Q372" s="422" t="str">
        <f>IFERROR(VLOOKUP(ROWS($Q$3:Q372),$M$3:$N$992,2,0),"")</f>
        <v>Soc.péče v zaříz.pro osoby s chron.duš.onemoc.a osoby závislé na návyk.l.</v>
      </c>
      <c r="R372">
        <f>IF(ISNUMBER(SEARCH('1Př1'!$A$35,N372)),MAX($M$2:M371)+1,0)</f>
        <v>370</v>
      </c>
      <c r="S372" s="419" t="s">
        <v>2280</v>
      </c>
      <c r="T372" t="str">
        <f>IFERROR(VLOOKUP(ROWS($T$3:T372),$R$3:$S$992,2,0),"")</f>
        <v>Soc.péče v zaříz.pro osoby s chron.duš.onemoc.a osoby závislé na návyk.l.</v>
      </c>
      <c r="U372">
        <f>IF(ISNUMBER(SEARCH('1Př1'!$A$36,N372)),MAX($M$2:M371)+1,0)</f>
        <v>370</v>
      </c>
      <c r="V372" s="419" t="s">
        <v>2280</v>
      </c>
      <c r="W372" t="str">
        <f>IFERROR(VLOOKUP(ROWS($W$3:W372),$U$3:$V$992,2,0),"")</f>
        <v>Soc.péče v zaříz.pro osoby s chron.duš.onemoc.a osoby závislé na návyk.l.</v>
      </c>
      <c r="X372">
        <f>IF(ISNUMBER(SEARCH('1Př1'!$A$37,N372)),MAX($M$2:M371)+1,0)</f>
        <v>370</v>
      </c>
      <c r="Y372" s="419" t="s">
        <v>2280</v>
      </c>
      <c r="Z372" t="str">
        <f>IFERROR(VLOOKUP(ROWS($Z$3:Z372),$X$3:$Y$992,2,0),"")</f>
        <v>Soc.péče v zaříz.pro osoby s chron.duš.onemoc.a osoby závislé na návyk.l.</v>
      </c>
    </row>
    <row r="373" spans="13:26" ht="12.75">
      <c r="M373" s="418">
        <f>IF(ISNUMBER(SEARCH(ZAKL_DATA!$B$29,N373)),MAX($M$2:M372)+1,0)</f>
        <v>371</v>
      </c>
      <c r="N373" s="419" t="s">
        <v>2282</v>
      </c>
      <c r="O373" s="436" t="s">
        <v>2283</v>
      </c>
      <c r="P373" s="421"/>
      <c r="Q373" s="422" t="str">
        <f>IFERROR(VLOOKUP(ROWS($Q$3:Q373),$M$3:$N$992,2,0),"")</f>
        <v>Sociální péče v domovech pro seniory a osoby se zdravotním postižením</v>
      </c>
      <c r="R373">
        <f>IF(ISNUMBER(SEARCH('1Př1'!$A$35,N373)),MAX($M$2:M372)+1,0)</f>
        <v>371</v>
      </c>
      <c r="S373" s="419" t="s">
        <v>2282</v>
      </c>
      <c r="T373" t="str">
        <f>IFERROR(VLOOKUP(ROWS($T$3:T373),$R$3:$S$992,2,0),"")</f>
        <v>Sociální péče v domovech pro seniory a osoby se zdravotním postižením</v>
      </c>
      <c r="U373">
        <f>IF(ISNUMBER(SEARCH('1Př1'!$A$36,N373)),MAX($M$2:M372)+1,0)</f>
        <v>371</v>
      </c>
      <c r="V373" s="419" t="s">
        <v>2282</v>
      </c>
      <c r="W373" t="str">
        <f>IFERROR(VLOOKUP(ROWS($W$3:W373),$U$3:$V$992,2,0),"")</f>
        <v>Sociální péče v domovech pro seniory a osoby se zdravotním postižením</v>
      </c>
      <c r="X373">
        <f>IF(ISNUMBER(SEARCH('1Př1'!$A$37,N373)),MAX($M$2:M372)+1,0)</f>
        <v>371</v>
      </c>
      <c r="Y373" s="419" t="s">
        <v>2282</v>
      </c>
      <c r="Z373" t="str">
        <f>IFERROR(VLOOKUP(ROWS($Z$3:Z373),$X$3:$Y$992,2,0),"")</f>
        <v>Sociální péče v domovech pro seniory a osoby se zdravotním postižením</v>
      </c>
    </row>
    <row r="374" spans="13:26" ht="12.75">
      <c r="M374" s="418">
        <f>IF(ISNUMBER(SEARCH(ZAKL_DATA!$B$29,N374)),MAX($M$2:M373)+1,0)</f>
        <v>372</v>
      </c>
      <c r="N374" s="419" t="s">
        <v>2284</v>
      </c>
      <c r="O374" s="436" t="s">
        <v>2285</v>
      </c>
      <c r="P374" s="421"/>
      <c r="Q374" s="422" t="str">
        <f>IFERROR(VLOOKUP(ROWS($Q$3:Q374),$M$3:$N$992,2,0),"")</f>
        <v>Ostatní pobytové služby sociální péče</v>
      </c>
      <c r="R374">
        <f>IF(ISNUMBER(SEARCH('1Př1'!$A$35,N374)),MAX($M$2:M373)+1,0)</f>
        <v>372</v>
      </c>
      <c r="S374" s="419" t="s">
        <v>2284</v>
      </c>
      <c r="T374" t="str">
        <f>IFERROR(VLOOKUP(ROWS($T$3:T374),$R$3:$S$992,2,0),"")</f>
        <v>Ostatní pobytové služby sociální péče</v>
      </c>
      <c r="U374">
        <f>IF(ISNUMBER(SEARCH('1Př1'!$A$36,N374)),MAX($M$2:M373)+1,0)</f>
        <v>372</v>
      </c>
      <c r="V374" s="419" t="s">
        <v>2284</v>
      </c>
      <c r="W374" t="str">
        <f>IFERROR(VLOOKUP(ROWS($W$3:W374),$U$3:$V$992,2,0),"")</f>
        <v>Ostatní pobytové služby sociální péče</v>
      </c>
      <c r="X374">
        <f>IF(ISNUMBER(SEARCH('1Př1'!$A$37,N374)),MAX($M$2:M373)+1,0)</f>
        <v>372</v>
      </c>
      <c r="Y374" s="419" t="s">
        <v>2284</v>
      </c>
      <c r="Z374" t="str">
        <f>IFERROR(VLOOKUP(ROWS($Z$3:Z374),$X$3:$Y$992,2,0),"")</f>
        <v>Ostatní pobytové služby sociální péče</v>
      </c>
    </row>
    <row r="375" spans="13:26" ht="12.75">
      <c r="M375" s="418">
        <f>IF(ISNUMBER(SEARCH(ZAKL_DATA!$B$29,N375)),MAX($M$2:M374)+1,0)</f>
        <v>373</v>
      </c>
      <c r="N375" s="419" t="s">
        <v>2286</v>
      </c>
      <c r="O375" s="436" t="s">
        <v>2287</v>
      </c>
      <c r="P375" s="421"/>
      <c r="Q375" s="422" t="str">
        <f>IFERROR(VLOOKUP(ROWS($Q$3:Q375),$M$3:$N$992,2,0),"")</f>
        <v>Ambulantní nebo terénní soc.služby pro seniory a osoby se zdrav.postižením</v>
      </c>
      <c r="R375">
        <f>IF(ISNUMBER(SEARCH('1Př1'!$A$35,N375)),MAX($M$2:M374)+1,0)</f>
        <v>373</v>
      </c>
      <c r="S375" s="419" t="s">
        <v>2286</v>
      </c>
      <c r="T375" t="str">
        <f>IFERROR(VLOOKUP(ROWS($T$3:T375),$R$3:$S$992,2,0),"")</f>
        <v>Ambulantní nebo terénní soc.služby pro seniory a osoby se zdrav.postižením</v>
      </c>
      <c r="U375">
        <f>IF(ISNUMBER(SEARCH('1Př1'!$A$36,N375)),MAX($M$2:M374)+1,0)</f>
        <v>373</v>
      </c>
      <c r="V375" s="419" t="s">
        <v>2286</v>
      </c>
      <c r="W375" t="str">
        <f>IFERROR(VLOOKUP(ROWS($W$3:W375),$U$3:$V$992,2,0),"")</f>
        <v>Ambulantní nebo terénní soc.služby pro seniory a osoby se zdrav.postižením</v>
      </c>
      <c r="X375">
        <f>IF(ISNUMBER(SEARCH('1Př1'!$A$37,N375)),MAX($M$2:M374)+1,0)</f>
        <v>373</v>
      </c>
      <c r="Y375" s="419" t="s">
        <v>2286</v>
      </c>
      <c r="Z375" t="str">
        <f>IFERROR(VLOOKUP(ROWS($Z$3:Z375),$X$3:$Y$992,2,0),"")</f>
        <v>Ambulantní nebo terénní soc.služby pro seniory a osoby se zdrav.postižením</v>
      </c>
    </row>
    <row r="376" spans="13:26" ht="12.75">
      <c r="M376" s="418">
        <f>IF(ISNUMBER(SEARCH(ZAKL_DATA!$B$29,N376)),MAX($M$2:M375)+1,0)</f>
        <v>374</v>
      </c>
      <c r="N376" s="419" t="s">
        <v>2288</v>
      </c>
      <c r="O376" s="436" t="s">
        <v>2289</v>
      </c>
      <c r="P376" s="421"/>
      <c r="Q376" s="422" t="str">
        <f>IFERROR(VLOOKUP(ROWS($Q$3:Q376),$M$3:$N$992,2,0),"")</f>
        <v>Ostatní ambulantní nebo terénní sociální služby</v>
      </c>
      <c r="R376">
        <f>IF(ISNUMBER(SEARCH('1Př1'!$A$35,N376)),MAX($M$2:M375)+1,0)</f>
        <v>374</v>
      </c>
      <c r="S376" s="419" t="s">
        <v>2288</v>
      </c>
      <c r="T376" t="str">
        <f>IFERROR(VLOOKUP(ROWS($T$3:T376),$R$3:$S$992,2,0),"")</f>
        <v>Ostatní ambulantní nebo terénní sociální služby</v>
      </c>
      <c r="U376">
        <f>IF(ISNUMBER(SEARCH('1Př1'!$A$36,N376)),MAX($M$2:M375)+1,0)</f>
        <v>374</v>
      </c>
      <c r="V376" s="419" t="s">
        <v>2288</v>
      </c>
      <c r="W376" t="str">
        <f>IFERROR(VLOOKUP(ROWS($W$3:W376),$U$3:$V$992,2,0),"")</f>
        <v>Ostatní ambulantní nebo terénní sociální služby</v>
      </c>
      <c r="X376">
        <f>IF(ISNUMBER(SEARCH('1Př1'!$A$37,N376)),MAX($M$2:M375)+1,0)</f>
        <v>374</v>
      </c>
      <c r="Y376" s="419" t="s">
        <v>2288</v>
      </c>
      <c r="Z376" t="str">
        <f>IFERROR(VLOOKUP(ROWS($Z$3:Z376),$X$3:$Y$992,2,0),"")</f>
        <v>Ostatní ambulantní nebo terénní sociální služby</v>
      </c>
    </row>
    <row r="377" spans="13:26" ht="12.75">
      <c r="M377" s="418">
        <f>IF(ISNUMBER(SEARCH(ZAKL_DATA!$B$29,N377)),MAX($M$2:M376)+1,0)</f>
        <v>375</v>
      </c>
      <c r="N377" s="419" t="s">
        <v>2290</v>
      </c>
      <c r="O377" s="436" t="s">
        <v>2291</v>
      </c>
      <c r="P377" s="421"/>
      <c r="Q377" s="422" t="str">
        <f>IFERROR(VLOOKUP(ROWS($Q$3:Q377),$M$3:$N$992,2,0),"")</f>
        <v>Těžba chemických minerálů a minerálů pro výrobu hnojiv</v>
      </c>
      <c r="R377">
        <f>IF(ISNUMBER(SEARCH('1Př1'!$A$35,N377)),MAX($M$2:M376)+1,0)</f>
        <v>375</v>
      </c>
      <c r="S377" s="419" t="s">
        <v>2290</v>
      </c>
      <c r="T377" t="str">
        <f>IFERROR(VLOOKUP(ROWS($T$3:T377),$R$3:$S$992,2,0),"")</f>
        <v>Těžba chemických minerálů a minerálů pro výrobu hnojiv</v>
      </c>
      <c r="U377">
        <f>IF(ISNUMBER(SEARCH('1Př1'!$A$36,N377)),MAX($M$2:M376)+1,0)</f>
        <v>375</v>
      </c>
      <c r="V377" s="419" t="s">
        <v>2290</v>
      </c>
      <c r="W377" t="str">
        <f>IFERROR(VLOOKUP(ROWS($W$3:W377),$U$3:$V$992,2,0),"")</f>
        <v>Těžba chemických minerálů a minerálů pro výrobu hnojiv</v>
      </c>
      <c r="X377">
        <f>IF(ISNUMBER(SEARCH('1Př1'!$A$37,N377)),MAX($M$2:M376)+1,0)</f>
        <v>375</v>
      </c>
      <c r="Y377" s="419" t="s">
        <v>2290</v>
      </c>
      <c r="Z377" t="str">
        <f>IFERROR(VLOOKUP(ROWS($Z$3:Z377),$X$3:$Y$992,2,0),"")</f>
        <v>Těžba chemických minerálů a minerálů pro výrobu hnojiv</v>
      </c>
    </row>
    <row r="378" spans="13:26" ht="12.75">
      <c r="M378" s="418">
        <f>IF(ISNUMBER(SEARCH(ZAKL_DATA!$B$29,N378)),MAX($M$2:M377)+1,0)</f>
        <v>376</v>
      </c>
      <c r="N378" s="419" t="s">
        <v>2292</v>
      </c>
      <c r="O378" s="436" t="s">
        <v>2293</v>
      </c>
      <c r="P378" s="421"/>
      <c r="Q378" s="422" t="str">
        <f>IFERROR(VLOOKUP(ROWS($Q$3:Q378),$M$3:$N$992,2,0),"")</f>
        <v>Těžba rašeliny</v>
      </c>
      <c r="R378">
        <f>IF(ISNUMBER(SEARCH('1Př1'!$A$35,N378)),MAX($M$2:M377)+1,0)</f>
        <v>376</v>
      </c>
      <c r="S378" s="419" t="s">
        <v>2292</v>
      </c>
      <c r="T378" t="str">
        <f>IFERROR(VLOOKUP(ROWS($T$3:T378),$R$3:$S$992,2,0),"")</f>
        <v>Těžba rašeliny</v>
      </c>
      <c r="U378">
        <f>IF(ISNUMBER(SEARCH('1Př1'!$A$36,N378)),MAX($M$2:M377)+1,0)</f>
        <v>376</v>
      </c>
      <c r="V378" s="419" t="s">
        <v>2292</v>
      </c>
      <c r="W378" t="str">
        <f>IFERROR(VLOOKUP(ROWS($W$3:W378),$U$3:$V$992,2,0),"")</f>
        <v>Těžba rašeliny</v>
      </c>
      <c r="X378">
        <f>IF(ISNUMBER(SEARCH('1Př1'!$A$37,N378)),MAX($M$2:M377)+1,0)</f>
        <v>376</v>
      </c>
      <c r="Y378" s="419" t="s">
        <v>2292</v>
      </c>
      <c r="Z378" t="str">
        <f>IFERROR(VLOOKUP(ROWS($Z$3:Z378),$X$3:$Y$992,2,0),"")</f>
        <v>Těžba rašeliny</v>
      </c>
    </row>
    <row r="379" spans="13:26" ht="12.75">
      <c r="M379" s="418">
        <f>IF(ISNUMBER(SEARCH(ZAKL_DATA!$B$29,N379)),MAX($M$2:M378)+1,0)</f>
        <v>377</v>
      </c>
      <c r="N379" s="419" t="s">
        <v>2294</v>
      </c>
      <c r="O379" s="436" t="s">
        <v>2295</v>
      </c>
      <c r="P379" s="421"/>
      <c r="Q379" s="422" t="str">
        <f>IFERROR(VLOOKUP(ROWS($Q$3:Q379),$M$3:$N$992,2,0),"")</f>
        <v>Těžba soli</v>
      </c>
      <c r="R379">
        <f>IF(ISNUMBER(SEARCH('1Př1'!$A$35,N379)),MAX($M$2:M378)+1,0)</f>
        <v>377</v>
      </c>
      <c r="S379" s="419" t="s">
        <v>2294</v>
      </c>
      <c r="T379" t="str">
        <f>IFERROR(VLOOKUP(ROWS($T$3:T379),$R$3:$S$992,2,0),"")</f>
        <v>Těžba soli</v>
      </c>
      <c r="U379">
        <f>IF(ISNUMBER(SEARCH('1Př1'!$A$36,N379)),MAX($M$2:M378)+1,0)</f>
        <v>377</v>
      </c>
      <c r="V379" s="419" t="s">
        <v>2294</v>
      </c>
      <c r="W379" t="str">
        <f>IFERROR(VLOOKUP(ROWS($W$3:W379),$U$3:$V$992,2,0),"")</f>
        <v>Těžba soli</v>
      </c>
      <c r="X379">
        <f>IF(ISNUMBER(SEARCH('1Př1'!$A$37,N379)),MAX($M$2:M378)+1,0)</f>
        <v>377</v>
      </c>
      <c r="Y379" s="419" t="s">
        <v>2294</v>
      </c>
      <c r="Z379" t="str">
        <f>IFERROR(VLOOKUP(ROWS($Z$3:Z379),$X$3:$Y$992,2,0),"")</f>
        <v>Těžba soli</v>
      </c>
    </row>
    <row r="380" spans="13:26" ht="12.75">
      <c r="M380" s="418">
        <f>IF(ISNUMBER(SEARCH(ZAKL_DATA!$B$29,N380)),MAX($M$2:M379)+1,0)</f>
        <v>378</v>
      </c>
      <c r="N380" s="419" t="s">
        <v>2296</v>
      </c>
      <c r="O380" s="436" t="s">
        <v>2297</v>
      </c>
      <c r="P380" s="421"/>
      <c r="Q380" s="422" t="str">
        <f>IFERROR(VLOOKUP(ROWS($Q$3:Q380),$M$3:$N$992,2,0),"")</f>
        <v>Ostatní těžba a dobývání j. n.</v>
      </c>
      <c r="R380">
        <f>IF(ISNUMBER(SEARCH('1Př1'!$A$35,N380)),MAX($M$2:M379)+1,0)</f>
        <v>378</v>
      </c>
      <c r="S380" s="419" t="s">
        <v>2296</v>
      </c>
      <c r="T380" t="str">
        <f>IFERROR(VLOOKUP(ROWS($T$3:T380),$R$3:$S$992,2,0),"")</f>
        <v>Ostatní těžba a dobývání j. n.</v>
      </c>
      <c r="U380">
        <f>IF(ISNUMBER(SEARCH('1Př1'!$A$36,N380)),MAX($M$2:M379)+1,0)</f>
        <v>378</v>
      </c>
      <c r="V380" s="419" t="s">
        <v>2296</v>
      </c>
      <c r="W380" t="str">
        <f>IFERROR(VLOOKUP(ROWS($W$3:W380),$U$3:$V$992,2,0),"")</f>
        <v>Ostatní těžba a dobývání j. n.</v>
      </c>
      <c r="X380">
        <f>IF(ISNUMBER(SEARCH('1Př1'!$A$37,N380)),MAX($M$2:M379)+1,0)</f>
        <v>378</v>
      </c>
      <c r="Y380" s="419" t="s">
        <v>2296</v>
      </c>
      <c r="Z380" t="str">
        <f>IFERROR(VLOOKUP(ROWS($Z$3:Z380),$X$3:$Y$992,2,0),"")</f>
        <v>Ostatní těžba a dobývání j. n.</v>
      </c>
    </row>
    <row r="381" spans="13:26" ht="12.75">
      <c r="M381" s="418">
        <f>IF(ISNUMBER(SEARCH(ZAKL_DATA!$B$29,N381)),MAX($M$2:M380)+1,0)</f>
        <v>379</v>
      </c>
      <c r="N381" s="419" t="s">
        <v>2298</v>
      </c>
      <c r="O381" s="436" t="s">
        <v>2299</v>
      </c>
      <c r="P381" s="421"/>
      <c r="Q381" s="422" t="str">
        <f>IFERROR(VLOOKUP(ROWS($Q$3:Q381),$M$3:$N$992,2,0),"")</f>
        <v>Sportovní činnosti</v>
      </c>
      <c r="R381">
        <f>IF(ISNUMBER(SEARCH('1Př1'!$A$35,N381)),MAX($M$2:M380)+1,0)</f>
        <v>379</v>
      </c>
      <c r="S381" s="419" t="s">
        <v>2298</v>
      </c>
      <c r="T381" t="str">
        <f>IFERROR(VLOOKUP(ROWS($T$3:T381),$R$3:$S$992,2,0),"")</f>
        <v>Sportovní činnosti</v>
      </c>
      <c r="U381">
        <f>IF(ISNUMBER(SEARCH('1Př1'!$A$36,N381)),MAX($M$2:M380)+1,0)</f>
        <v>379</v>
      </c>
      <c r="V381" s="419" t="s">
        <v>2298</v>
      </c>
      <c r="W381" t="str">
        <f>IFERROR(VLOOKUP(ROWS($W$3:W381),$U$3:$V$992,2,0),"")</f>
        <v>Sportovní činnosti</v>
      </c>
      <c r="X381">
        <f>IF(ISNUMBER(SEARCH('1Př1'!$A$37,N381)),MAX($M$2:M380)+1,0)</f>
        <v>379</v>
      </c>
      <c r="Y381" s="419" t="s">
        <v>2298</v>
      </c>
      <c r="Z381" t="str">
        <f>IFERROR(VLOOKUP(ROWS($Z$3:Z381),$X$3:$Y$992,2,0),"")</f>
        <v>Sportovní činnosti</v>
      </c>
    </row>
    <row r="382" spans="13:26" ht="12.75">
      <c r="M382" s="418">
        <f>IF(ISNUMBER(SEARCH(ZAKL_DATA!$B$29,N382)),MAX($M$2:M381)+1,0)</f>
        <v>380</v>
      </c>
      <c r="N382" s="419" t="s">
        <v>2300</v>
      </c>
      <c r="O382" s="436" t="s">
        <v>2301</v>
      </c>
      <c r="P382" s="421"/>
      <c r="Q382" s="422" t="str">
        <f>IFERROR(VLOOKUP(ROWS($Q$3:Q382),$M$3:$N$992,2,0),"")</f>
        <v>Ostatní zábavní a rekreační činnosti</v>
      </c>
      <c r="R382">
        <f>IF(ISNUMBER(SEARCH('1Př1'!$A$35,N382)),MAX($M$2:M381)+1,0)</f>
        <v>380</v>
      </c>
      <c r="S382" s="419" t="s">
        <v>2300</v>
      </c>
      <c r="T382" t="str">
        <f>IFERROR(VLOOKUP(ROWS($T$3:T382),$R$3:$S$992,2,0),"")</f>
        <v>Ostatní zábavní a rekreační činnosti</v>
      </c>
      <c r="U382">
        <f>IF(ISNUMBER(SEARCH('1Př1'!$A$36,N382)),MAX($M$2:M381)+1,0)</f>
        <v>380</v>
      </c>
      <c r="V382" s="419" t="s">
        <v>2300</v>
      </c>
      <c r="W382" t="str">
        <f>IFERROR(VLOOKUP(ROWS($W$3:W382),$U$3:$V$992,2,0),"")</f>
        <v>Ostatní zábavní a rekreační činnosti</v>
      </c>
      <c r="X382">
        <f>IF(ISNUMBER(SEARCH('1Př1'!$A$37,N382)),MAX($M$2:M381)+1,0)</f>
        <v>380</v>
      </c>
      <c r="Y382" s="419" t="s">
        <v>2300</v>
      </c>
      <c r="Z382" t="str">
        <f>IFERROR(VLOOKUP(ROWS($Z$3:Z382),$X$3:$Y$992,2,0),"")</f>
        <v>Ostatní zábavní a rekreační činnosti</v>
      </c>
    </row>
    <row r="383" spans="13:26" ht="12.75">
      <c r="M383" s="418">
        <f>IF(ISNUMBER(SEARCH(ZAKL_DATA!$B$29,N383)),MAX($M$2:M382)+1,0)</f>
        <v>381</v>
      </c>
      <c r="N383" s="419" t="s">
        <v>2302</v>
      </c>
      <c r="O383" s="436" t="s">
        <v>2303</v>
      </c>
      <c r="P383" s="421"/>
      <c r="Q383" s="422" t="str">
        <f>IFERROR(VLOOKUP(ROWS($Q$3:Q383),$M$3:$N$992,2,0),"")</f>
        <v>Činnosti podnikatelských, zaměstnavatelských a profesních organizací</v>
      </c>
      <c r="R383">
        <f>IF(ISNUMBER(SEARCH('1Př1'!$A$35,N383)),MAX($M$2:M382)+1,0)</f>
        <v>381</v>
      </c>
      <c r="S383" s="419" t="s">
        <v>2302</v>
      </c>
      <c r="T383" t="str">
        <f>IFERROR(VLOOKUP(ROWS($T$3:T383),$R$3:$S$992,2,0),"")</f>
        <v>Činnosti podnikatelských, zaměstnavatelských a profesních organizací</v>
      </c>
      <c r="U383">
        <f>IF(ISNUMBER(SEARCH('1Př1'!$A$36,N383)),MAX($M$2:M382)+1,0)</f>
        <v>381</v>
      </c>
      <c r="V383" s="419" t="s">
        <v>2302</v>
      </c>
      <c r="W383" t="str">
        <f>IFERROR(VLOOKUP(ROWS($W$3:W383),$U$3:$V$992,2,0),"")</f>
        <v>Činnosti podnikatelských, zaměstnavatelských a profesních organizací</v>
      </c>
      <c r="X383">
        <f>IF(ISNUMBER(SEARCH('1Př1'!$A$37,N383)),MAX($M$2:M382)+1,0)</f>
        <v>381</v>
      </c>
      <c r="Y383" s="419" t="s">
        <v>2302</v>
      </c>
      <c r="Z383" t="str">
        <f>IFERROR(VLOOKUP(ROWS($Z$3:Z383),$X$3:$Y$992,2,0),"")</f>
        <v>Činnosti podnikatelských, zaměstnavatelských a profesních organizací</v>
      </c>
    </row>
    <row r="384" spans="13:26" ht="12.75">
      <c r="M384" s="418">
        <f>IF(ISNUMBER(SEARCH(ZAKL_DATA!$B$29,N384)),MAX($M$2:M383)+1,0)</f>
        <v>382</v>
      </c>
      <c r="N384" s="419" t="s">
        <v>2304</v>
      </c>
      <c r="O384" s="436" t="s">
        <v>2305</v>
      </c>
      <c r="P384" s="421"/>
      <c r="Q384" s="422" t="str">
        <f>IFERROR(VLOOKUP(ROWS($Q$3:Q384),$M$3:$N$992,2,0),"")</f>
        <v>Činnosti odborových svazů</v>
      </c>
      <c r="R384">
        <f>IF(ISNUMBER(SEARCH('1Př1'!$A$35,N384)),MAX($M$2:M383)+1,0)</f>
        <v>382</v>
      </c>
      <c r="S384" s="419" t="s">
        <v>2304</v>
      </c>
      <c r="T384" t="str">
        <f>IFERROR(VLOOKUP(ROWS($T$3:T384),$R$3:$S$992,2,0),"")</f>
        <v>Činnosti odborových svazů</v>
      </c>
      <c r="U384">
        <f>IF(ISNUMBER(SEARCH('1Př1'!$A$36,N384)),MAX($M$2:M383)+1,0)</f>
        <v>382</v>
      </c>
      <c r="V384" s="419" t="s">
        <v>2304</v>
      </c>
      <c r="W384" t="str">
        <f>IFERROR(VLOOKUP(ROWS($W$3:W384),$U$3:$V$992,2,0),"")</f>
        <v>Činnosti odborových svazů</v>
      </c>
      <c r="X384">
        <f>IF(ISNUMBER(SEARCH('1Př1'!$A$37,N384)),MAX($M$2:M383)+1,0)</f>
        <v>382</v>
      </c>
      <c r="Y384" s="419" t="s">
        <v>2304</v>
      </c>
      <c r="Z384" t="str">
        <f>IFERROR(VLOOKUP(ROWS($Z$3:Z384),$X$3:$Y$992,2,0),"")</f>
        <v>Činnosti odborových svazů</v>
      </c>
    </row>
    <row r="385" spans="13:26" ht="12.75">
      <c r="M385" s="418">
        <f>IF(ISNUMBER(SEARCH(ZAKL_DATA!$B$29,N385)),MAX($M$2:M384)+1,0)</f>
        <v>383</v>
      </c>
      <c r="N385" s="419" t="s">
        <v>2306</v>
      </c>
      <c r="O385" s="436" t="s">
        <v>2307</v>
      </c>
      <c r="P385" s="421"/>
      <c r="Q385" s="422" t="str">
        <f>IFERROR(VLOOKUP(ROWS($Q$3:Q385),$M$3:$N$992,2,0),"")</f>
        <v>Činnosti ost.org.sdružujících osoby za účelem prosazování společných zájmů</v>
      </c>
      <c r="R385">
        <f>IF(ISNUMBER(SEARCH('1Př1'!$A$35,N385)),MAX($M$2:M384)+1,0)</f>
        <v>383</v>
      </c>
      <c r="S385" s="419" t="s">
        <v>2306</v>
      </c>
      <c r="T385" t="str">
        <f>IFERROR(VLOOKUP(ROWS($T$3:T385),$R$3:$S$992,2,0),"")</f>
        <v>Činnosti ost.org.sdružujících osoby za účelem prosazování společných zájmů</v>
      </c>
      <c r="U385">
        <f>IF(ISNUMBER(SEARCH('1Př1'!$A$36,N385)),MAX($M$2:M384)+1,0)</f>
        <v>383</v>
      </c>
      <c r="V385" s="419" t="s">
        <v>2306</v>
      </c>
      <c r="W385" t="str">
        <f>IFERROR(VLOOKUP(ROWS($W$3:W385),$U$3:$V$992,2,0),"")</f>
        <v>Činnosti ost.org.sdružujících osoby za účelem prosazování společných zájmů</v>
      </c>
      <c r="X385">
        <f>IF(ISNUMBER(SEARCH('1Př1'!$A$37,N385)),MAX($M$2:M384)+1,0)</f>
        <v>383</v>
      </c>
      <c r="Y385" s="419" t="s">
        <v>2306</v>
      </c>
      <c r="Z385" t="str">
        <f>IFERROR(VLOOKUP(ROWS($Z$3:Z385),$X$3:$Y$992,2,0),"")</f>
        <v>Činnosti ost.org.sdružujících osoby za účelem prosazování společných zájmů</v>
      </c>
    </row>
    <row r="386" spans="13:26" ht="12.75">
      <c r="M386" s="418">
        <f>IF(ISNUMBER(SEARCH(ZAKL_DATA!$B$29,N386)),MAX($M$2:M385)+1,0)</f>
        <v>384</v>
      </c>
      <c r="N386" s="419" t="s">
        <v>2308</v>
      </c>
      <c r="O386" s="436" t="s">
        <v>2309</v>
      </c>
      <c r="P386" s="421"/>
      <c r="Q386" s="422" t="str">
        <f>IFERROR(VLOOKUP(ROWS($Q$3:Q386),$M$3:$N$992,2,0),"")</f>
        <v>Opravy počítačů a komunikačních zařízení</v>
      </c>
      <c r="R386">
        <f>IF(ISNUMBER(SEARCH('1Př1'!$A$35,N386)),MAX($M$2:M385)+1,0)</f>
        <v>384</v>
      </c>
      <c r="S386" s="419" t="s">
        <v>2308</v>
      </c>
      <c r="T386" t="str">
        <f>IFERROR(VLOOKUP(ROWS($T$3:T386),$R$3:$S$992,2,0),"")</f>
        <v>Opravy počítačů a komunikačních zařízení</v>
      </c>
      <c r="U386">
        <f>IF(ISNUMBER(SEARCH('1Př1'!$A$36,N386)),MAX($M$2:M385)+1,0)</f>
        <v>384</v>
      </c>
      <c r="V386" s="419" t="s">
        <v>2308</v>
      </c>
      <c r="W386" t="str">
        <f>IFERROR(VLOOKUP(ROWS($W$3:W386),$U$3:$V$992,2,0),"")</f>
        <v>Opravy počítačů a komunikačních zařízení</v>
      </c>
      <c r="X386">
        <f>IF(ISNUMBER(SEARCH('1Př1'!$A$37,N386)),MAX($M$2:M385)+1,0)</f>
        <v>384</v>
      </c>
      <c r="Y386" s="419" t="s">
        <v>2308</v>
      </c>
      <c r="Z386" t="str">
        <f>IFERROR(VLOOKUP(ROWS($Z$3:Z386),$X$3:$Y$992,2,0),"")</f>
        <v>Opravy počítačů a komunikačních zařízení</v>
      </c>
    </row>
    <row r="387" spans="13:26" ht="12.75">
      <c r="M387" s="418">
        <f>IF(ISNUMBER(SEARCH(ZAKL_DATA!$B$29,N387)),MAX($M$2:M386)+1,0)</f>
        <v>385</v>
      </c>
      <c r="N387" s="419" t="s">
        <v>2310</v>
      </c>
      <c r="O387" s="436" t="s">
        <v>2311</v>
      </c>
      <c r="P387" s="421"/>
      <c r="Q387" s="422" t="str">
        <f>IFERROR(VLOOKUP(ROWS($Q$3:Q387),$M$3:$N$992,2,0),"")</f>
        <v>Opravy výrobků pro osobní potřebu a převážně pro domácnost</v>
      </c>
      <c r="R387">
        <f>IF(ISNUMBER(SEARCH('1Př1'!$A$35,N387)),MAX($M$2:M386)+1,0)</f>
        <v>385</v>
      </c>
      <c r="S387" s="419" t="s">
        <v>2310</v>
      </c>
      <c r="T387" t="str">
        <f>IFERROR(VLOOKUP(ROWS($T$3:T387),$R$3:$S$992,2,0),"")</f>
        <v>Opravy výrobků pro osobní potřebu a převážně pro domácnost</v>
      </c>
      <c r="U387">
        <f>IF(ISNUMBER(SEARCH('1Př1'!$A$36,N387)),MAX($M$2:M386)+1,0)</f>
        <v>385</v>
      </c>
      <c r="V387" s="419" t="s">
        <v>2310</v>
      </c>
      <c r="W387" t="str">
        <f>IFERROR(VLOOKUP(ROWS($W$3:W387),$U$3:$V$992,2,0),"")</f>
        <v>Opravy výrobků pro osobní potřebu a převážně pro domácnost</v>
      </c>
      <c r="X387">
        <f>IF(ISNUMBER(SEARCH('1Př1'!$A$37,N387)),MAX($M$2:M386)+1,0)</f>
        <v>385</v>
      </c>
      <c r="Y387" s="419" t="s">
        <v>2310</v>
      </c>
      <c r="Z387" t="str">
        <f>IFERROR(VLOOKUP(ROWS($Z$3:Z387),$X$3:$Y$992,2,0),"")</f>
        <v>Opravy výrobků pro osobní potřebu a převážně pro domácnost</v>
      </c>
    </row>
    <row r="388" spans="13:26" ht="12.75">
      <c r="M388" s="418">
        <f>IF(ISNUMBER(SEARCH(ZAKL_DATA!$B$29,N388)),MAX($M$2:M387)+1,0)</f>
        <v>386</v>
      </c>
      <c r="N388" s="419" t="s">
        <v>2312</v>
      </c>
      <c r="O388" s="436" t="s">
        <v>2313</v>
      </c>
      <c r="P388" s="421"/>
      <c r="Q388" s="422" t="str">
        <f>IFERROR(VLOOKUP(ROWS($Q$3:Q388),$M$3:$N$992,2,0),"")</f>
        <v>Činnosti domác.produk.blíže neurčené výrobky pro vlastní potřebu</v>
      </c>
      <c r="R388">
        <f>IF(ISNUMBER(SEARCH('1Př1'!$A$35,N388)),MAX($M$2:M387)+1,0)</f>
        <v>386</v>
      </c>
      <c r="S388" s="419" t="s">
        <v>2312</v>
      </c>
      <c r="T388" t="str">
        <f>IFERROR(VLOOKUP(ROWS($T$3:T388),$R$3:$S$992,2,0),"")</f>
        <v>Činnosti domác.produk.blíže neurčené výrobky pro vlastní potřebu</v>
      </c>
      <c r="U388">
        <f>IF(ISNUMBER(SEARCH('1Př1'!$A$36,N388)),MAX($M$2:M387)+1,0)</f>
        <v>386</v>
      </c>
      <c r="V388" s="419" t="s">
        <v>2312</v>
      </c>
      <c r="W388" t="str">
        <f>IFERROR(VLOOKUP(ROWS($W$3:W388),$U$3:$V$992,2,0),"")</f>
        <v>Činnosti domác.produk.blíže neurčené výrobky pro vlastní potřebu</v>
      </c>
      <c r="X388">
        <f>IF(ISNUMBER(SEARCH('1Př1'!$A$37,N388)),MAX($M$2:M387)+1,0)</f>
        <v>386</v>
      </c>
      <c r="Y388" s="419" t="s">
        <v>2312</v>
      </c>
      <c r="Z388" t="str">
        <f>IFERROR(VLOOKUP(ROWS($Z$3:Z388),$X$3:$Y$992,2,0),"")</f>
        <v>Činnosti domác.produk.blíže neurčené výrobky pro vlastní potřebu</v>
      </c>
    </row>
    <row r="389" spans="13:26" ht="12.75">
      <c r="M389" s="418">
        <f>IF(ISNUMBER(SEARCH(ZAKL_DATA!$B$29,N389)),MAX($M$2:M388)+1,0)</f>
        <v>387</v>
      </c>
      <c r="N389" s="419" t="s">
        <v>2314</v>
      </c>
      <c r="O389" s="436" t="s">
        <v>2315</v>
      </c>
      <c r="P389" s="421"/>
      <c r="Q389" s="422" t="str">
        <f>IFERROR(VLOOKUP(ROWS($Q$3:Q389),$M$3:$N$992,2,0),"")</f>
        <v>Činnosti domácností poskyt.blíže neurčené služby pro vlastní potřebu</v>
      </c>
      <c r="R389">
        <f>IF(ISNUMBER(SEARCH('1Př1'!$A$35,N389)),MAX($M$2:M388)+1,0)</f>
        <v>387</v>
      </c>
      <c r="S389" s="419" t="s">
        <v>2314</v>
      </c>
      <c r="T389" t="str">
        <f>IFERROR(VLOOKUP(ROWS($T$3:T389),$R$3:$S$992,2,0),"")</f>
        <v>Činnosti domácností poskyt.blíže neurčené služby pro vlastní potřebu</v>
      </c>
      <c r="U389">
        <f>IF(ISNUMBER(SEARCH('1Př1'!$A$36,N389)),MAX($M$2:M388)+1,0)</f>
        <v>387</v>
      </c>
      <c r="V389" s="419" t="s">
        <v>2314</v>
      </c>
      <c r="W389" t="str">
        <f>IFERROR(VLOOKUP(ROWS($W$3:W389),$U$3:$V$992,2,0),"")</f>
        <v>Činnosti domácností poskyt.blíže neurčené služby pro vlastní potřebu</v>
      </c>
      <c r="X389">
        <f>IF(ISNUMBER(SEARCH('1Př1'!$A$37,N389)),MAX($M$2:M388)+1,0)</f>
        <v>387</v>
      </c>
      <c r="Y389" s="419" t="s">
        <v>2314</v>
      </c>
      <c r="Z389" t="str">
        <f>IFERROR(VLOOKUP(ROWS($Z$3:Z389),$X$3:$Y$992,2,0),"")</f>
        <v>Činnosti domácností poskyt.blíže neurčené služby pro vlastní potřebu</v>
      </c>
    </row>
    <row r="390" spans="13:26" ht="12.75">
      <c r="M390" s="418">
        <f>IF(ISNUMBER(SEARCH(ZAKL_DATA!$B$29,N390)),MAX($M$2:M389)+1,0)</f>
        <v>388</v>
      </c>
      <c r="N390" s="419" t="s">
        <v>2316</v>
      </c>
      <c r="O390" s="436" t="s">
        <v>2317</v>
      </c>
      <c r="P390" s="421"/>
      <c r="Q390" s="422" t="str">
        <f>IFERROR(VLOOKUP(ROWS($Q$3:Q390),$M$3:$N$992,2,0),"")</f>
        <v>Zpracování a konzervování masa, kromě drůbežího</v>
      </c>
      <c r="R390">
        <f>IF(ISNUMBER(SEARCH('1Př1'!$A$35,N390)),MAX($M$2:M389)+1,0)</f>
        <v>388</v>
      </c>
      <c r="S390" s="419" t="s">
        <v>2316</v>
      </c>
      <c r="T390" t="str">
        <f>IFERROR(VLOOKUP(ROWS($T$3:T390),$R$3:$S$992,2,0),"")</f>
        <v>Zpracování a konzervování masa, kromě drůbežího</v>
      </c>
      <c r="U390">
        <f>IF(ISNUMBER(SEARCH('1Př1'!$A$36,N390)),MAX($M$2:M389)+1,0)</f>
        <v>388</v>
      </c>
      <c r="V390" s="419" t="s">
        <v>2316</v>
      </c>
      <c r="W390" t="str">
        <f>IFERROR(VLOOKUP(ROWS($W$3:W390),$U$3:$V$992,2,0),"")</f>
        <v>Zpracování a konzervování masa, kromě drůbežího</v>
      </c>
      <c r="X390">
        <f>IF(ISNUMBER(SEARCH('1Př1'!$A$37,N390)),MAX($M$2:M389)+1,0)</f>
        <v>388</v>
      </c>
      <c r="Y390" s="419" t="s">
        <v>2316</v>
      </c>
      <c r="Z390" t="str">
        <f>IFERROR(VLOOKUP(ROWS($Z$3:Z390),$X$3:$Y$992,2,0),"")</f>
        <v>Zpracování a konzervování masa, kromě drůbežího</v>
      </c>
    </row>
    <row r="391" spans="13:26" ht="12.75">
      <c r="M391" s="418">
        <f>IF(ISNUMBER(SEARCH(ZAKL_DATA!$B$29,N391)),MAX($M$2:M390)+1,0)</f>
        <v>389</v>
      </c>
      <c r="N391" s="419" t="s">
        <v>2318</v>
      </c>
      <c r="O391" s="436" t="s">
        <v>2319</v>
      </c>
      <c r="P391" s="421"/>
      <c r="Q391" s="422" t="str">
        <f>IFERROR(VLOOKUP(ROWS($Q$3:Q391),$M$3:$N$992,2,0),"")</f>
        <v>Zpracování a konzervování drůbežího masa</v>
      </c>
      <c r="R391">
        <f>IF(ISNUMBER(SEARCH('1Př1'!$A$35,N391)),MAX($M$2:M390)+1,0)</f>
        <v>389</v>
      </c>
      <c r="S391" s="419" t="s">
        <v>2318</v>
      </c>
      <c r="T391" t="str">
        <f>IFERROR(VLOOKUP(ROWS($T$3:T391),$R$3:$S$992,2,0),"")</f>
        <v>Zpracování a konzervování drůbežího masa</v>
      </c>
      <c r="U391">
        <f>IF(ISNUMBER(SEARCH('1Př1'!$A$36,N391)),MAX($M$2:M390)+1,0)</f>
        <v>389</v>
      </c>
      <c r="V391" s="419" t="s">
        <v>2318</v>
      </c>
      <c r="W391" t="str">
        <f>IFERROR(VLOOKUP(ROWS($W$3:W391),$U$3:$V$992,2,0),"")</f>
        <v>Zpracování a konzervování drůbežího masa</v>
      </c>
      <c r="X391">
        <f>IF(ISNUMBER(SEARCH('1Př1'!$A$37,N391)),MAX($M$2:M390)+1,0)</f>
        <v>389</v>
      </c>
      <c r="Y391" s="419" t="s">
        <v>2318</v>
      </c>
      <c r="Z391" t="str">
        <f>IFERROR(VLOOKUP(ROWS($Z$3:Z391),$X$3:$Y$992,2,0),"")</f>
        <v>Zpracování a konzervování drůbežího masa</v>
      </c>
    </row>
    <row r="392" spans="13:26" ht="12.75">
      <c r="M392" s="418">
        <f>IF(ISNUMBER(SEARCH(ZAKL_DATA!$B$29,N392)),MAX($M$2:M391)+1,0)</f>
        <v>390</v>
      </c>
      <c r="N392" s="419" t="s">
        <v>2320</v>
      </c>
      <c r="O392" s="436" t="s">
        <v>2321</v>
      </c>
      <c r="P392" s="421"/>
      <c r="Q392" s="422" t="str">
        <f>IFERROR(VLOOKUP(ROWS($Q$3:Q392),$M$3:$N$992,2,0),"")</f>
        <v>Výroba masných výrobků a výrobků z drůbežího masa</v>
      </c>
      <c r="R392">
        <f>IF(ISNUMBER(SEARCH('1Př1'!$A$35,N392)),MAX($M$2:M391)+1,0)</f>
        <v>390</v>
      </c>
      <c r="S392" s="419" t="s">
        <v>2320</v>
      </c>
      <c r="T392" t="str">
        <f>IFERROR(VLOOKUP(ROWS($T$3:T392),$R$3:$S$992,2,0),"")</f>
        <v>Výroba masných výrobků a výrobků z drůbežího masa</v>
      </c>
      <c r="U392">
        <f>IF(ISNUMBER(SEARCH('1Př1'!$A$36,N392)),MAX($M$2:M391)+1,0)</f>
        <v>390</v>
      </c>
      <c r="V392" s="419" t="s">
        <v>2320</v>
      </c>
      <c r="W392" t="str">
        <f>IFERROR(VLOOKUP(ROWS($W$3:W392),$U$3:$V$992,2,0),"")</f>
        <v>Výroba masných výrobků a výrobků z drůbežího masa</v>
      </c>
      <c r="X392">
        <f>IF(ISNUMBER(SEARCH('1Př1'!$A$37,N392)),MAX($M$2:M391)+1,0)</f>
        <v>390</v>
      </c>
      <c r="Y392" s="419" t="s">
        <v>2320</v>
      </c>
      <c r="Z392" t="str">
        <f>IFERROR(VLOOKUP(ROWS($Z$3:Z392),$X$3:$Y$992,2,0),"")</f>
        <v>Výroba masných výrobků a výrobků z drůbežího masa</v>
      </c>
    </row>
    <row r="393" spans="13:26" ht="12.75">
      <c r="M393" s="418">
        <f>IF(ISNUMBER(SEARCH(ZAKL_DATA!$B$29,N393)),MAX($M$2:M392)+1,0)</f>
        <v>391</v>
      </c>
      <c r="N393" s="419" t="s">
        <v>2322</v>
      </c>
      <c r="O393" s="436" t="s">
        <v>2323</v>
      </c>
      <c r="P393" s="421"/>
      <c r="Q393" s="422" t="str">
        <f>IFERROR(VLOOKUP(ROWS($Q$3:Q393),$M$3:$N$992,2,0),"")</f>
        <v>Zpracování a konzervování brambor</v>
      </c>
      <c r="R393">
        <f>IF(ISNUMBER(SEARCH('1Př1'!$A$35,N393)),MAX($M$2:M392)+1,0)</f>
        <v>391</v>
      </c>
      <c r="S393" s="419" t="s">
        <v>2322</v>
      </c>
      <c r="T393" t="str">
        <f>IFERROR(VLOOKUP(ROWS($T$3:T393),$R$3:$S$992,2,0),"")</f>
        <v>Zpracování a konzervování brambor</v>
      </c>
      <c r="U393">
        <f>IF(ISNUMBER(SEARCH('1Př1'!$A$36,N393)),MAX($M$2:M392)+1,0)</f>
        <v>391</v>
      </c>
      <c r="V393" s="419" t="s">
        <v>2322</v>
      </c>
      <c r="W393" t="str">
        <f>IFERROR(VLOOKUP(ROWS($W$3:W393),$U$3:$V$992,2,0),"")</f>
        <v>Zpracování a konzervování brambor</v>
      </c>
      <c r="X393">
        <f>IF(ISNUMBER(SEARCH('1Př1'!$A$37,N393)),MAX($M$2:M392)+1,0)</f>
        <v>391</v>
      </c>
      <c r="Y393" s="419" t="s">
        <v>2322</v>
      </c>
      <c r="Z393" t="str">
        <f>IFERROR(VLOOKUP(ROWS($Z$3:Z393),$X$3:$Y$992,2,0),"")</f>
        <v>Zpracování a konzervování brambor</v>
      </c>
    </row>
    <row r="394" spans="13:26" ht="12.75">
      <c r="M394" s="418">
        <f>IF(ISNUMBER(SEARCH(ZAKL_DATA!$B$29,N394)),MAX($M$2:M393)+1,0)</f>
        <v>392</v>
      </c>
      <c r="N394" s="419" t="s">
        <v>2324</v>
      </c>
      <c r="O394" s="436" t="s">
        <v>2325</v>
      </c>
      <c r="P394" s="421"/>
      <c r="Q394" s="422" t="str">
        <f>IFERROR(VLOOKUP(ROWS($Q$3:Q394),$M$3:$N$992,2,0),"")</f>
        <v>Výroba ovocných a zeleninových šťáv</v>
      </c>
      <c r="R394">
        <f>IF(ISNUMBER(SEARCH('1Př1'!$A$35,N394)),MAX($M$2:M393)+1,0)</f>
        <v>392</v>
      </c>
      <c r="S394" s="419" t="s">
        <v>2324</v>
      </c>
      <c r="T394" t="str">
        <f>IFERROR(VLOOKUP(ROWS($T$3:T394),$R$3:$S$992,2,0),"")</f>
        <v>Výroba ovocných a zeleninových šťáv</v>
      </c>
      <c r="U394">
        <f>IF(ISNUMBER(SEARCH('1Př1'!$A$36,N394)),MAX($M$2:M393)+1,0)</f>
        <v>392</v>
      </c>
      <c r="V394" s="419" t="s">
        <v>2324</v>
      </c>
      <c r="W394" t="str">
        <f>IFERROR(VLOOKUP(ROWS($W$3:W394),$U$3:$V$992,2,0),"")</f>
        <v>Výroba ovocných a zeleninových šťáv</v>
      </c>
      <c r="X394">
        <f>IF(ISNUMBER(SEARCH('1Př1'!$A$37,N394)),MAX($M$2:M393)+1,0)</f>
        <v>392</v>
      </c>
      <c r="Y394" s="419" t="s">
        <v>2324</v>
      </c>
      <c r="Z394" t="str">
        <f>IFERROR(VLOOKUP(ROWS($Z$3:Z394),$X$3:$Y$992,2,0),"")</f>
        <v>Výroba ovocných a zeleninových šťáv</v>
      </c>
    </row>
    <row r="395" spans="13:26" ht="12.75">
      <c r="M395" s="418">
        <f>IF(ISNUMBER(SEARCH(ZAKL_DATA!$B$29,N395)),MAX($M$2:M394)+1,0)</f>
        <v>393</v>
      </c>
      <c r="N395" s="419" t="s">
        <v>2326</v>
      </c>
      <c r="O395" s="436" t="s">
        <v>2327</v>
      </c>
      <c r="P395" s="421"/>
      <c r="Q395" s="422" t="str">
        <f>IFERROR(VLOOKUP(ROWS($Q$3:Q395),$M$3:$N$992,2,0),"")</f>
        <v>Ostatní zpracování a konzervování ovoce a zeleniny</v>
      </c>
      <c r="R395">
        <f>IF(ISNUMBER(SEARCH('1Př1'!$A$35,N395)),MAX($M$2:M394)+1,0)</f>
        <v>393</v>
      </c>
      <c r="S395" s="419" t="s">
        <v>2326</v>
      </c>
      <c r="T395" t="str">
        <f>IFERROR(VLOOKUP(ROWS($T$3:T395),$R$3:$S$992,2,0),"")</f>
        <v>Ostatní zpracování a konzervování ovoce a zeleniny</v>
      </c>
      <c r="U395">
        <f>IF(ISNUMBER(SEARCH('1Př1'!$A$36,N395)),MAX($M$2:M394)+1,0)</f>
        <v>393</v>
      </c>
      <c r="V395" s="419" t="s">
        <v>2326</v>
      </c>
      <c r="W395" t="str">
        <f>IFERROR(VLOOKUP(ROWS($W$3:W395),$U$3:$V$992,2,0),"")</f>
        <v>Ostatní zpracování a konzervování ovoce a zeleniny</v>
      </c>
      <c r="X395">
        <f>IF(ISNUMBER(SEARCH('1Př1'!$A$37,N395)),MAX($M$2:M394)+1,0)</f>
        <v>393</v>
      </c>
      <c r="Y395" s="419" t="s">
        <v>2326</v>
      </c>
      <c r="Z395" t="str">
        <f>IFERROR(VLOOKUP(ROWS($Z$3:Z395),$X$3:$Y$992,2,0),"")</f>
        <v>Ostatní zpracování a konzervování ovoce a zeleniny</v>
      </c>
    </row>
    <row r="396" spans="13:26" ht="12.75">
      <c r="M396" s="418">
        <f>IF(ISNUMBER(SEARCH(ZAKL_DATA!$B$29,N396)),MAX($M$2:M395)+1,0)</f>
        <v>394</v>
      </c>
      <c r="N396" s="419" t="s">
        <v>2328</v>
      </c>
      <c r="O396" s="436" t="s">
        <v>2329</v>
      </c>
      <c r="P396" s="421"/>
      <c r="Q396" s="422" t="str">
        <f>IFERROR(VLOOKUP(ROWS($Q$3:Q396),$M$3:$N$992,2,0),"")</f>
        <v>Výroba olejů a tuků</v>
      </c>
      <c r="R396">
        <f>IF(ISNUMBER(SEARCH('1Př1'!$A$35,N396)),MAX($M$2:M395)+1,0)</f>
        <v>394</v>
      </c>
      <c r="S396" s="419" t="s">
        <v>2328</v>
      </c>
      <c r="T396" t="str">
        <f>IFERROR(VLOOKUP(ROWS($T$3:T396),$R$3:$S$992,2,0),"")</f>
        <v>Výroba olejů a tuků</v>
      </c>
      <c r="U396">
        <f>IF(ISNUMBER(SEARCH('1Př1'!$A$36,N396)),MAX($M$2:M395)+1,0)</f>
        <v>394</v>
      </c>
      <c r="V396" s="419" t="s">
        <v>2328</v>
      </c>
      <c r="W396" t="str">
        <f>IFERROR(VLOOKUP(ROWS($W$3:W396),$U$3:$V$992,2,0),"")</f>
        <v>Výroba olejů a tuků</v>
      </c>
      <c r="X396">
        <f>IF(ISNUMBER(SEARCH('1Př1'!$A$37,N396)),MAX($M$2:M395)+1,0)</f>
        <v>394</v>
      </c>
      <c r="Y396" s="419" t="s">
        <v>2328</v>
      </c>
      <c r="Z396" t="str">
        <f>IFERROR(VLOOKUP(ROWS($Z$3:Z396),$X$3:$Y$992,2,0),"")</f>
        <v>Výroba olejů a tuků</v>
      </c>
    </row>
    <row r="397" spans="13:26" ht="12.75">
      <c r="M397" s="418">
        <f>IF(ISNUMBER(SEARCH(ZAKL_DATA!$B$29,N397)),MAX($M$2:M396)+1,0)</f>
        <v>395</v>
      </c>
      <c r="N397" s="419" t="s">
        <v>2330</v>
      </c>
      <c r="O397" s="436" t="s">
        <v>2331</v>
      </c>
      <c r="P397" s="421"/>
      <c r="Q397" s="422" t="str">
        <f>IFERROR(VLOOKUP(ROWS($Q$3:Q397),$M$3:$N$992,2,0),"")</f>
        <v>Výroba margarínu a podobných jedlých tuků</v>
      </c>
      <c r="R397">
        <f>IF(ISNUMBER(SEARCH('1Př1'!$A$35,N397)),MAX($M$2:M396)+1,0)</f>
        <v>395</v>
      </c>
      <c r="S397" s="419" t="s">
        <v>2330</v>
      </c>
      <c r="T397" t="str">
        <f>IFERROR(VLOOKUP(ROWS($T$3:T397),$R$3:$S$992,2,0),"")</f>
        <v>Výroba margarínu a podobných jedlých tuků</v>
      </c>
      <c r="U397">
        <f>IF(ISNUMBER(SEARCH('1Př1'!$A$36,N397)),MAX($M$2:M396)+1,0)</f>
        <v>395</v>
      </c>
      <c r="V397" s="419" t="s">
        <v>2330</v>
      </c>
      <c r="W397" t="str">
        <f>IFERROR(VLOOKUP(ROWS($W$3:W397),$U$3:$V$992,2,0),"")</f>
        <v>Výroba margarínu a podobných jedlých tuků</v>
      </c>
      <c r="X397">
        <f>IF(ISNUMBER(SEARCH('1Př1'!$A$37,N397)),MAX($M$2:M396)+1,0)</f>
        <v>395</v>
      </c>
      <c r="Y397" s="419" t="s">
        <v>2330</v>
      </c>
      <c r="Z397" t="str">
        <f>IFERROR(VLOOKUP(ROWS($Z$3:Z397),$X$3:$Y$992,2,0),"")</f>
        <v>Výroba margarínu a podobných jedlých tuků</v>
      </c>
    </row>
    <row r="398" spans="13:26" ht="12.75">
      <c r="M398" s="418">
        <f>IF(ISNUMBER(SEARCH(ZAKL_DATA!$B$29,N398)),MAX($M$2:M397)+1,0)</f>
        <v>396</v>
      </c>
      <c r="N398" s="419" t="s">
        <v>2332</v>
      </c>
      <c r="O398" s="436" t="s">
        <v>2333</v>
      </c>
      <c r="P398" s="421"/>
      <c r="Q398" s="422" t="str">
        <f>IFERROR(VLOOKUP(ROWS($Q$3:Q398),$M$3:$N$992,2,0),"")</f>
        <v>Zpracování mléka, výroba mléčných výrobků a sýrů</v>
      </c>
      <c r="R398">
        <f>IF(ISNUMBER(SEARCH('1Př1'!$A$35,N398)),MAX($M$2:M397)+1,0)</f>
        <v>396</v>
      </c>
      <c r="S398" s="419" t="s">
        <v>2332</v>
      </c>
      <c r="T398" t="str">
        <f>IFERROR(VLOOKUP(ROWS($T$3:T398),$R$3:$S$992,2,0),"")</f>
        <v>Zpracování mléka, výroba mléčných výrobků a sýrů</v>
      </c>
      <c r="U398">
        <f>IF(ISNUMBER(SEARCH('1Př1'!$A$36,N398)),MAX($M$2:M397)+1,0)</f>
        <v>396</v>
      </c>
      <c r="V398" s="419" t="s">
        <v>2332</v>
      </c>
      <c r="W398" t="str">
        <f>IFERROR(VLOOKUP(ROWS($W$3:W398),$U$3:$V$992,2,0),"")</f>
        <v>Zpracování mléka, výroba mléčných výrobků a sýrů</v>
      </c>
      <c r="X398">
        <f>IF(ISNUMBER(SEARCH('1Př1'!$A$37,N398)),MAX($M$2:M397)+1,0)</f>
        <v>396</v>
      </c>
      <c r="Y398" s="419" t="s">
        <v>2332</v>
      </c>
      <c r="Z398" t="str">
        <f>IFERROR(VLOOKUP(ROWS($Z$3:Z398),$X$3:$Y$992,2,0),"")</f>
        <v>Zpracování mléka, výroba mléčných výrobků a sýrů</v>
      </c>
    </row>
    <row r="399" spans="13:26" ht="12.75">
      <c r="M399" s="418">
        <f>IF(ISNUMBER(SEARCH(ZAKL_DATA!$B$29,N399)),MAX($M$2:M398)+1,0)</f>
        <v>397</v>
      </c>
      <c r="N399" s="419" t="s">
        <v>2334</v>
      </c>
      <c r="O399" s="436" t="s">
        <v>2335</v>
      </c>
      <c r="P399" s="421"/>
      <c r="Q399" s="422" t="str">
        <f>IFERROR(VLOOKUP(ROWS($Q$3:Q399),$M$3:$N$992,2,0),"")</f>
        <v>Výroba zmrzliny</v>
      </c>
      <c r="R399">
        <f>IF(ISNUMBER(SEARCH('1Př1'!$A$35,N399)),MAX($M$2:M398)+1,0)</f>
        <v>397</v>
      </c>
      <c r="S399" s="419" t="s">
        <v>2334</v>
      </c>
      <c r="T399" t="str">
        <f>IFERROR(VLOOKUP(ROWS($T$3:T399),$R$3:$S$992,2,0),"")</f>
        <v>Výroba zmrzliny</v>
      </c>
      <c r="U399">
        <f>IF(ISNUMBER(SEARCH('1Př1'!$A$36,N399)),MAX($M$2:M398)+1,0)</f>
        <v>397</v>
      </c>
      <c r="V399" s="419" t="s">
        <v>2334</v>
      </c>
      <c r="W399" t="str">
        <f>IFERROR(VLOOKUP(ROWS($W$3:W399),$U$3:$V$992,2,0),"")</f>
        <v>Výroba zmrzliny</v>
      </c>
      <c r="X399">
        <f>IF(ISNUMBER(SEARCH('1Př1'!$A$37,N399)),MAX($M$2:M398)+1,0)</f>
        <v>397</v>
      </c>
      <c r="Y399" s="419" t="s">
        <v>2334</v>
      </c>
      <c r="Z399" t="str">
        <f>IFERROR(VLOOKUP(ROWS($Z$3:Z399),$X$3:$Y$992,2,0),"")</f>
        <v>Výroba zmrzliny</v>
      </c>
    </row>
    <row r="400" spans="13:26" ht="12.75">
      <c r="M400" s="418">
        <f>IF(ISNUMBER(SEARCH(ZAKL_DATA!$B$29,N400)),MAX($M$2:M399)+1,0)</f>
        <v>398</v>
      </c>
      <c r="N400" s="419" t="s">
        <v>2336</v>
      </c>
      <c r="O400" s="436" t="s">
        <v>2337</v>
      </c>
      <c r="P400" s="421"/>
      <c r="Q400" s="422" t="str">
        <f>IFERROR(VLOOKUP(ROWS($Q$3:Q400),$M$3:$N$992,2,0),"")</f>
        <v>Výroba mlýnských výrobků</v>
      </c>
      <c r="R400">
        <f>IF(ISNUMBER(SEARCH('1Př1'!$A$35,N400)),MAX($M$2:M399)+1,0)</f>
        <v>398</v>
      </c>
      <c r="S400" s="419" t="s">
        <v>2336</v>
      </c>
      <c r="T400" t="str">
        <f>IFERROR(VLOOKUP(ROWS($T$3:T400),$R$3:$S$992,2,0),"")</f>
        <v>Výroba mlýnských výrobků</v>
      </c>
      <c r="U400">
        <f>IF(ISNUMBER(SEARCH('1Př1'!$A$36,N400)),MAX($M$2:M399)+1,0)</f>
        <v>398</v>
      </c>
      <c r="V400" s="419" t="s">
        <v>2336</v>
      </c>
      <c r="W400" t="str">
        <f>IFERROR(VLOOKUP(ROWS($W$3:W400),$U$3:$V$992,2,0),"")</f>
        <v>Výroba mlýnských výrobků</v>
      </c>
      <c r="X400">
        <f>IF(ISNUMBER(SEARCH('1Př1'!$A$37,N400)),MAX($M$2:M399)+1,0)</f>
        <v>398</v>
      </c>
      <c r="Y400" s="419" t="s">
        <v>2336</v>
      </c>
      <c r="Z400" t="str">
        <f>IFERROR(VLOOKUP(ROWS($Z$3:Z400),$X$3:$Y$992,2,0),"")</f>
        <v>Výroba mlýnských výrobků</v>
      </c>
    </row>
    <row r="401" spans="13:26" ht="12.75">
      <c r="M401" s="418">
        <f>IF(ISNUMBER(SEARCH(ZAKL_DATA!$B$29,N401)),MAX($M$2:M400)+1,0)</f>
        <v>399</v>
      </c>
      <c r="N401" s="419" t="s">
        <v>2338</v>
      </c>
      <c r="O401" s="436" t="s">
        <v>2339</v>
      </c>
      <c r="P401" s="421"/>
      <c r="Q401" s="422" t="str">
        <f>IFERROR(VLOOKUP(ROWS($Q$3:Q401),$M$3:$N$992,2,0),"")</f>
        <v>Výroba škrobárenských výrobků</v>
      </c>
      <c r="R401">
        <f>IF(ISNUMBER(SEARCH('1Př1'!$A$35,N401)),MAX($M$2:M400)+1,0)</f>
        <v>399</v>
      </c>
      <c r="S401" s="419" t="s">
        <v>2338</v>
      </c>
      <c r="T401" t="str">
        <f>IFERROR(VLOOKUP(ROWS($T$3:T401),$R$3:$S$992,2,0),"")</f>
        <v>Výroba škrobárenských výrobků</v>
      </c>
      <c r="U401">
        <f>IF(ISNUMBER(SEARCH('1Př1'!$A$36,N401)),MAX($M$2:M400)+1,0)</f>
        <v>399</v>
      </c>
      <c r="V401" s="419" t="s">
        <v>2338</v>
      </c>
      <c r="W401" t="str">
        <f>IFERROR(VLOOKUP(ROWS($W$3:W401),$U$3:$V$992,2,0),"")</f>
        <v>Výroba škrobárenských výrobků</v>
      </c>
      <c r="X401">
        <f>IF(ISNUMBER(SEARCH('1Př1'!$A$37,N401)),MAX($M$2:M400)+1,0)</f>
        <v>399</v>
      </c>
      <c r="Y401" s="419" t="s">
        <v>2338</v>
      </c>
      <c r="Z401" t="str">
        <f>IFERROR(VLOOKUP(ROWS($Z$3:Z401),$X$3:$Y$992,2,0),"")</f>
        <v>Výroba škrobárenských výrobků</v>
      </c>
    </row>
    <row r="402" spans="13:26" ht="12.75">
      <c r="M402" s="418">
        <f>IF(ISNUMBER(SEARCH(ZAKL_DATA!$B$29,N402)),MAX($M$2:M401)+1,0)</f>
        <v>400</v>
      </c>
      <c r="N402" s="419" t="s">
        <v>2340</v>
      </c>
      <c r="O402" s="436" t="s">
        <v>2341</v>
      </c>
      <c r="P402" s="421"/>
      <c r="Q402" s="422" t="str">
        <f>IFERROR(VLOOKUP(ROWS($Q$3:Q402),$M$3:$N$992,2,0),"")</f>
        <v>Výroba pekařských a cukrářských výrobků, kromě trvanlivých</v>
      </c>
      <c r="R402">
        <f>IF(ISNUMBER(SEARCH('1Př1'!$A$35,N402)),MAX($M$2:M401)+1,0)</f>
        <v>400</v>
      </c>
      <c r="S402" s="419" t="s">
        <v>2340</v>
      </c>
      <c r="T402" t="str">
        <f>IFERROR(VLOOKUP(ROWS($T$3:T402),$R$3:$S$992,2,0),"")</f>
        <v>Výroba pekařských a cukrářských výrobků, kromě trvanlivých</v>
      </c>
      <c r="U402">
        <f>IF(ISNUMBER(SEARCH('1Př1'!$A$36,N402)),MAX($M$2:M401)+1,0)</f>
        <v>400</v>
      </c>
      <c r="V402" s="419" t="s">
        <v>2340</v>
      </c>
      <c r="W402" t="str">
        <f>IFERROR(VLOOKUP(ROWS($W$3:W402),$U$3:$V$992,2,0),"")</f>
        <v>Výroba pekařských a cukrářských výrobků, kromě trvanlivých</v>
      </c>
      <c r="X402">
        <f>IF(ISNUMBER(SEARCH('1Př1'!$A$37,N402)),MAX($M$2:M401)+1,0)</f>
        <v>400</v>
      </c>
      <c r="Y402" s="419" t="s">
        <v>2340</v>
      </c>
      <c r="Z402" t="str">
        <f>IFERROR(VLOOKUP(ROWS($Z$3:Z402),$X$3:$Y$992,2,0),"")</f>
        <v>Výroba pekařských a cukrářských výrobků, kromě trvanlivých</v>
      </c>
    </row>
    <row r="403" spans="13:26" ht="12.75">
      <c r="M403" s="418">
        <f>IF(ISNUMBER(SEARCH(ZAKL_DATA!$B$29,N403)),MAX($M$2:M402)+1,0)</f>
        <v>401</v>
      </c>
      <c r="N403" s="419" t="s">
        <v>2342</v>
      </c>
      <c r="O403" s="436" t="s">
        <v>2343</v>
      </c>
      <c r="P403" s="421"/>
      <c r="Q403" s="422" t="str">
        <f>IFERROR(VLOOKUP(ROWS($Q$3:Q403),$M$3:$N$992,2,0),"")</f>
        <v>Výroba sucharů a sušenek; výroba trvanlivých cukrářských výrobků</v>
      </c>
      <c r="R403">
        <f>IF(ISNUMBER(SEARCH('1Př1'!$A$35,N403)),MAX($M$2:M402)+1,0)</f>
        <v>401</v>
      </c>
      <c r="S403" s="419" t="s">
        <v>2342</v>
      </c>
      <c r="T403" t="str">
        <f>IFERROR(VLOOKUP(ROWS($T$3:T403),$R$3:$S$992,2,0),"")</f>
        <v>Výroba sucharů a sušenek; výroba trvanlivých cukrářských výrobků</v>
      </c>
      <c r="U403">
        <f>IF(ISNUMBER(SEARCH('1Př1'!$A$36,N403)),MAX($M$2:M402)+1,0)</f>
        <v>401</v>
      </c>
      <c r="V403" s="419" t="s">
        <v>2342</v>
      </c>
      <c r="W403" t="str">
        <f>IFERROR(VLOOKUP(ROWS($W$3:W403),$U$3:$V$992,2,0),"")</f>
        <v>Výroba sucharů a sušenek; výroba trvanlivých cukrářských výrobků</v>
      </c>
      <c r="X403">
        <f>IF(ISNUMBER(SEARCH('1Př1'!$A$37,N403)),MAX($M$2:M402)+1,0)</f>
        <v>401</v>
      </c>
      <c r="Y403" s="419" t="s">
        <v>2342</v>
      </c>
      <c r="Z403" t="str">
        <f>IFERROR(VLOOKUP(ROWS($Z$3:Z403),$X$3:$Y$992,2,0),"")</f>
        <v>Výroba sucharů a sušenek; výroba trvanlivých cukrářských výrobků</v>
      </c>
    </row>
    <row r="404" spans="13:26" ht="12.75">
      <c r="M404" s="418">
        <f>IF(ISNUMBER(SEARCH(ZAKL_DATA!$B$29,N404)),MAX($M$2:M403)+1,0)</f>
        <v>402</v>
      </c>
      <c r="N404" s="419" t="s">
        <v>2344</v>
      </c>
      <c r="O404" s="436" t="s">
        <v>2345</v>
      </c>
      <c r="P404" s="421"/>
      <c r="Q404" s="422" t="str">
        <f>IFERROR(VLOOKUP(ROWS($Q$3:Q404),$M$3:$N$992,2,0),"")</f>
        <v>Výroba makaronů, nudlí, kuskusu a podobných moučných výrobků</v>
      </c>
      <c r="R404">
        <f>IF(ISNUMBER(SEARCH('1Př1'!$A$35,N404)),MAX($M$2:M403)+1,0)</f>
        <v>402</v>
      </c>
      <c r="S404" s="419" t="s">
        <v>2344</v>
      </c>
      <c r="T404" t="str">
        <f>IFERROR(VLOOKUP(ROWS($T$3:T404),$R$3:$S$992,2,0),"")</f>
        <v>Výroba makaronů, nudlí, kuskusu a podobných moučných výrobků</v>
      </c>
      <c r="U404">
        <f>IF(ISNUMBER(SEARCH('1Př1'!$A$36,N404)),MAX($M$2:M403)+1,0)</f>
        <v>402</v>
      </c>
      <c r="V404" s="419" t="s">
        <v>2344</v>
      </c>
      <c r="W404" t="str">
        <f>IFERROR(VLOOKUP(ROWS($W$3:W404),$U$3:$V$992,2,0),"")</f>
        <v>Výroba makaronů, nudlí, kuskusu a podobných moučných výrobků</v>
      </c>
      <c r="X404">
        <f>IF(ISNUMBER(SEARCH('1Př1'!$A$37,N404)),MAX($M$2:M403)+1,0)</f>
        <v>402</v>
      </c>
      <c r="Y404" s="419" t="s">
        <v>2344</v>
      </c>
      <c r="Z404" t="str">
        <f>IFERROR(VLOOKUP(ROWS($Z$3:Z404),$X$3:$Y$992,2,0),"")</f>
        <v>Výroba makaronů, nudlí, kuskusu a podobných moučných výrobků</v>
      </c>
    </row>
    <row r="405" spans="13:26" ht="12.75">
      <c r="M405" s="418">
        <f>IF(ISNUMBER(SEARCH(ZAKL_DATA!$B$29,N405)),MAX($M$2:M404)+1,0)</f>
        <v>403</v>
      </c>
      <c r="N405" s="419" t="s">
        <v>2346</v>
      </c>
      <c r="O405" s="436" t="s">
        <v>2347</v>
      </c>
      <c r="P405" s="421"/>
      <c r="Q405" s="422" t="str">
        <f>IFERROR(VLOOKUP(ROWS($Q$3:Q405),$M$3:$N$992,2,0),"")</f>
        <v>Výroba cukru</v>
      </c>
      <c r="R405">
        <f>IF(ISNUMBER(SEARCH('1Př1'!$A$35,N405)),MAX($M$2:M404)+1,0)</f>
        <v>403</v>
      </c>
      <c r="S405" s="419" t="s">
        <v>2346</v>
      </c>
      <c r="T405" t="str">
        <f>IFERROR(VLOOKUP(ROWS($T$3:T405),$R$3:$S$992,2,0),"")</f>
        <v>Výroba cukru</v>
      </c>
      <c r="U405">
        <f>IF(ISNUMBER(SEARCH('1Př1'!$A$36,N405)),MAX($M$2:M404)+1,0)</f>
        <v>403</v>
      </c>
      <c r="V405" s="419" t="s">
        <v>2346</v>
      </c>
      <c r="W405" t="str">
        <f>IFERROR(VLOOKUP(ROWS($W$3:W405),$U$3:$V$992,2,0),"")</f>
        <v>Výroba cukru</v>
      </c>
      <c r="X405">
        <f>IF(ISNUMBER(SEARCH('1Př1'!$A$37,N405)),MAX($M$2:M404)+1,0)</f>
        <v>403</v>
      </c>
      <c r="Y405" s="419" t="s">
        <v>2346</v>
      </c>
      <c r="Z405" t="str">
        <f>IFERROR(VLOOKUP(ROWS($Z$3:Z405),$X$3:$Y$992,2,0),"")</f>
        <v>Výroba cukru</v>
      </c>
    </row>
    <row r="406" spans="13:26" ht="12.75">
      <c r="M406" s="418">
        <f>IF(ISNUMBER(SEARCH(ZAKL_DATA!$B$29,N406)),MAX($M$2:M405)+1,0)</f>
        <v>404</v>
      </c>
      <c r="N406" s="419" t="s">
        <v>2348</v>
      </c>
      <c r="O406" s="436" t="s">
        <v>2349</v>
      </c>
      <c r="P406" s="421"/>
      <c r="Q406" s="422" t="str">
        <f>IFERROR(VLOOKUP(ROWS($Q$3:Q406),$M$3:$N$992,2,0),"")</f>
        <v>Výroba kakaa, čokolády a cukrovinek</v>
      </c>
      <c r="R406">
        <f>IF(ISNUMBER(SEARCH('1Př1'!$A$35,N406)),MAX($M$2:M405)+1,0)</f>
        <v>404</v>
      </c>
      <c r="S406" s="419" t="s">
        <v>2348</v>
      </c>
      <c r="T406" t="str">
        <f>IFERROR(VLOOKUP(ROWS($T$3:T406),$R$3:$S$992,2,0),"")</f>
        <v>Výroba kakaa, čokolády a cukrovinek</v>
      </c>
      <c r="U406">
        <f>IF(ISNUMBER(SEARCH('1Př1'!$A$36,N406)),MAX($M$2:M405)+1,0)</f>
        <v>404</v>
      </c>
      <c r="V406" s="419" t="s">
        <v>2348</v>
      </c>
      <c r="W406" t="str">
        <f>IFERROR(VLOOKUP(ROWS($W$3:W406),$U$3:$V$992,2,0),"")</f>
        <v>Výroba kakaa, čokolády a cukrovinek</v>
      </c>
      <c r="X406">
        <f>IF(ISNUMBER(SEARCH('1Př1'!$A$37,N406)),MAX($M$2:M405)+1,0)</f>
        <v>404</v>
      </c>
      <c r="Y406" s="419" t="s">
        <v>2348</v>
      </c>
      <c r="Z406" t="str">
        <f>IFERROR(VLOOKUP(ROWS($Z$3:Z406),$X$3:$Y$992,2,0),"")</f>
        <v>Výroba kakaa, čokolády a cukrovinek</v>
      </c>
    </row>
    <row r="407" spans="13:26" ht="12.75">
      <c r="M407" s="418">
        <f>IF(ISNUMBER(SEARCH(ZAKL_DATA!$B$29,N407)),MAX($M$2:M406)+1,0)</f>
        <v>405</v>
      </c>
      <c r="N407" s="419" t="s">
        <v>2350</v>
      </c>
      <c r="O407" s="436" t="s">
        <v>2351</v>
      </c>
      <c r="P407" s="421"/>
      <c r="Q407" s="422" t="str">
        <f>IFERROR(VLOOKUP(ROWS($Q$3:Q407),$M$3:$N$992,2,0),"")</f>
        <v>Zpracování čaje a kávy</v>
      </c>
      <c r="R407">
        <f>IF(ISNUMBER(SEARCH('1Př1'!$A$35,N407)),MAX($M$2:M406)+1,0)</f>
        <v>405</v>
      </c>
      <c r="S407" s="419" t="s">
        <v>2350</v>
      </c>
      <c r="T407" t="str">
        <f>IFERROR(VLOOKUP(ROWS($T$3:T407),$R$3:$S$992,2,0),"")</f>
        <v>Zpracování čaje a kávy</v>
      </c>
      <c r="U407">
        <f>IF(ISNUMBER(SEARCH('1Př1'!$A$36,N407)),MAX($M$2:M406)+1,0)</f>
        <v>405</v>
      </c>
      <c r="V407" s="419" t="s">
        <v>2350</v>
      </c>
      <c r="W407" t="str">
        <f>IFERROR(VLOOKUP(ROWS($W$3:W407),$U$3:$V$992,2,0),"")</f>
        <v>Zpracování čaje a kávy</v>
      </c>
      <c r="X407">
        <f>IF(ISNUMBER(SEARCH('1Př1'!$A$37,N407)),MAX($M$2:M406)+1,0)</f>
        <v>405</v>
      </c>
      <c r="Y407" s="419" t="s">
        <v>2350</v>
      </c>
      <c r="Z407" t="str">
        <f>IFERROR(VLOOKUP(ROWS($Z$3:Z407),$X$3:$Y$992,2,0),"")</f>
        <v>Zpracování čaje a kávy</v>
      </c>
    </row>
    <row r="408" spans="13:26" ht="12.75">
      <c r="M408" s="418">
        <f>IF(ISNUMBER(SEARCH(ZAKL_DATA!$B$29,N408)),MAX($M$2:M407)+1,0)</f>
        <v>406</v>
      </c>
      <c r="N408" s="419" t="s">
        <v>2352</v>
      </c>
      <c r="O408" s="436" t="s">
        <v>2353</v>
      </c>
      <c r="P408" s="421"/>
      <c r="Q408" s="422" t="str">
        <f>IFERROR(VLOOKUP(ROWS($Q$3:Q408),$M$3:$N$992,2,0),"")</f>
        <v>Výroba koření a aromatických výtažků</v>
      </c>
      <c r="R408">
        <f>IF(ISNUMBER(SEARCH('1Př1'!$A$35,N408)),MAX($M$2:M407)+1,0)</f>
        <v>406</v>
      </c>
      <c r="S408" s="419" t="s">
        <v>2352</v>
      </c>
      <c r="T408" t="str">
        <f>IFERROR(VLOOKUP(ROWS($T$3:T408),$R$3:$S$992,2,0),"")</f>
        <v>Výroba koření a aromatických výtažků</v>
      </c>
      <c r="U408">
        <f>IF(ISNUMBER(SEARCH('1Př1'!$A$36,N408)),MAX($M$2:M407)+1,0)</f>
        <v>406</v>
      </c>
      <c r="V408" s="419" t="s">
        <v>2352</v>
      </c>
      <c r="W408" t="str">
        <f>IFERROR(VLOOKUP(ROWS($W$3:W408),$U$3:$V$992,2,0),"")</f>
        <v>Výroba koření a aromatických výtažků</v>
      </c>
      <c r="X408">
        <f>IF(ISNUMBER(SEARCH('1Př1'!$A$37,N408)),MAX($M$2:M407)+1,0)</f>
        <v>406</v>
      </c>
      <c r="Y408" s="419" t="s">
        <v>2352</v>
      </c>
      <c r="Z408" t="str">
        <f>IFERROR(VLOOKUP(ROWS($Z$3:Z408),$X$3:$Y$992,2,0),"")</f>
        <v>Výroba koření a aromatických výtažků</v>
      </c>
    </row>
    <row r="409" spans="13:26" ht="12.75">
      <c r="M409" s="418">
        <f>IF(ISNUMBER(SEARCH(ZAKL_DATA!$B$29,N409)),MAX($M$2:M408)+1,0)</f>
        <v>407</v>
      </c>
      <c r="N409" s="419" t="s">
        <v>2354</v>
      </c>
      <c r="O409" s="436" t="s">
        <v>2355</v>
      </c>
      <c r="P409" s="421"/>
      <c r="Q409" s="422" t="str">
        <f>IFERROR(VLOOKUP(ROWS($Q$3:Q409),$M$3:$N$992,2,0),"")</f>
        <v>Výroba hotových pokrmů</v>
      </c>
      <c r="R409">
        <f>IF(ISNUMBER(SEARCH('1Př1'!$A$35,N409)),MAX($M$2:M408)+1,0)</f>
        <v>407</v>
      </c>
      <c r="S409" s="419" t="s">
        <v>2354</v>
      </c>
      <c r="T409" t="str">
        <f>IFERROR(VLOOKUP(ROWS($T$3:T409),$R$3:$S$992,2,0),"")</f>
        <v>Výroba hotových pokrmů</v>
      </c>
      <c r="U409">
        <f>IF(ISNUMBER(SEARCH('1Př1'!$A$36,N409)),MAX($M$2:M408)+1,0)</f>
        <v>407</v>
      </c>
      <c r="V409" s="419" t="s">
        <v>2354</v>
      </c>
      <c r="W409" t="str">
        <f>IFERROR(VLOOKUP(ROWS($W$3:W409),$U$3:$V$992,2,0),"")</f>
        <v>Výroba hotových pokrmů</v>
      </c>
      <c r="X409">
        <f>IF(ISNUMBER(SEARCH('1Př1'!$A$37,N409)),MAX($M$2:M408)+1,0)</f>
        <v>407</v>
      </c>
      <c r="Y409" s="419" t="s">
        <v>2354</v>
      </c>
      <c r="Z409" t="str">
        <f>IFERROR(VLOOKUP(ROWS($Z$3:Z409),$X$3:$Y$992,2,0),"")</f>
        <v>Výroba hotových pokrmů</v>
      </c>
    </row>
    <row r="410" spans="13:26" ht="12.75">
      <c r="M410" s="418">
        <f>IF(ISNUMBER(SEARCH(ZAKL_DATA!$B$29,N410)),MAX($M$2:M409)+1,0)</f>
        <v>408</v>
      </c>
      <c r="N410" s="419" t="s">
        <v>2356</v>
      </c>
      <c r="O410" s="436" t="s">
        <v>2357</v>
      </c>
      <c r="P410" s="421"/>
      <c r="Q410" s="422" t="str">
        <f>IFERROR(VLOOKUP(ROWS($Q$3:Q410),$M$3:$N$992,2,0),"")</f>
        <v>Výroba homogenizovaných potravinářských přípravků a dietních potravin</v>
      </c>
      <c r="R410">
        <f>IF(ISNUMBER(SEARCH('1Př1'!$A$35,N410)),MAX($M$2:M409)+1,0)</f>
        <v>408</v>
      </c>
      <c r="S410" s="419" t="s">
        <v>2356</v>
      </c>
      <c r="T410" t="str">
        <f>IFERROR(VLOOKUP(ROWS($T$3:T410),$R$3:$S$992,2,0),"")</f>
        <v>Výroba homogenizovaných potravinářských přípravků a dietních potravin</v>
      </c>
      <c r="U410">
        <f>IF(ISNUMBER(SEARCH('1Př1'!$A$36,N410)),MAX($M$2:M409)+1,0)</f>
        <v>408</v>
      </c>
      <c r="V410" s="419" t="s">
        <v>2356</v>
      </c>
      <c r="W410" t="str">
        <f>IFERROR(VLOOKUP(ROWS($W$3:W410),$U$3:$V$992,2,0),"")</f>
        <v>Výroba homogenizovaných potravinářských přípravků a dietních potravin</v>
      </c>
      <c r="X410">
        <f>IF(ISNUMBER(SEARCH('1Př1'!$A$37,N410)),MAX($M$2:M409)+1,0)</f>
        <v>408</v>
      </c>
      <c r="Y410" s="419" t="s">
        <v>2356</v>
      </c>
      <c r="Z410" t="str">
        <f>IFERROR(VLOOKUP(ROWS($Z$3:Z410),$X$3:$Y$992,2,0),"")</f>
        <v>Výroba homogenizovaných potravinářských přípravků a dietních potravin</v>
      </c>
    </row>
    <row r="411" spans="13:26" ht="12.75">
      <c r="M411" s="418">
        <f>IF(ISNUMBER(SEARCH(ZAKL_DATA!$B$29,N411)),MAX($M$2:M410)+1,0)</f>
        <v>409</v>
      </c>
      <c r="N411" s="419" t="s">
        <v>2358</v>
      </c>
      <c r="O411" s="436" t="s">
        <v>2359</v>
      </c>
      <c r="P411" s="421"/>
      <c r="Q411" s="422" t="str">
        <f>IFERROR(VLOOKUP(ROWS($Q$3:Q411),$M$3:$N$992,2,0),"")</f>
        <v>Výroba ostatních potravinářských výrobků j. n.</v>
      </c>
      <c r="R411">
        <f>IF(ISNUMBER(SEARCH('1Př1'!$A$35,N411)),MAX($M$2:M410)+1,0)</f>
        <v>409</v>
      </c>
      <c r="S411" s="419" t="s">
        <v>2358</v>
      </c>
      <c r="T411" t="str">
        <f>IFERROR(VLOOKUP(ROWS($T$3:T411),$R$3:$S$992,2,0),"")</f>
        <v>Výroba ostatních potravinářských výrobků j. n.</v>
      </c>
      <c r="U411">
        <f>IF(ISNUMBER(SEARCH('1Př1'!$A$36,N411)),MAX($M$2:M410)+1,0)</f>
        <v>409</v>
      </c>
      <c r="V411" s="419" t="s">
        <v>2358</v>
      </c>
      <c r="W411" t="str">
        <f>IFERROR(VLOOKUP(ROWS($W$3:W411),$U$3:$V$992,2,0),"")</f>
        <v>Výroba ostatních potravinářských výrobků j. n.</v>
      </c>
      <c r="X411">
        <f>IF(ISNUMBER(SEARCH('1Př1'!$A$37,N411)),MAX($M$2:M410)+1,0)</f>
        <v>409</v>
      </c>
      <c r="Y411" s="419" t="s">
        <v>2358</v>
      </c>
      <c r="Z411" t="str">
        <f>IFERROR(VLOOKUP(ROWS($Z$3:Z411),$X$3:$Y$992,2,0),"")</f>
        <v>Výroba ostatních potravinářských výrobků j. n.</v>
      </c>
    </row>
    <row r="412" spans="13:26" ht="12.75">
      <c r="M412" s="418">
        <f>IF(ISNUMBER(SEARCH(ZAKL_DATA!$B$29,N412)),MAX($M$2:M411)+1,0)</f>
        <v>410</v>
      </c>
      <c r="N412" s="419" t="s">
        <v>2360</v>
      </c>
      <c r="O412" s="436" t="s">
        <v>2361</v>
      </c>
      <c r="P412" s="421"/>
      <c r="Q412" s="422" t="str">
        <f>IFERROR(VLOOKUP(ROWS($Q$3:Q412),$M$3:$N$992,2,0),"")</f>
        <v>Výroba průmyslových krmiv pro hospodářská zvířata</v>
      </c>
      <c r="R412">
        <f>IF(ISNUMBER(SEARCH('1Př1'!$A$35,N412)),MAX($M$2:M411)+1,0)</f>
        <v>410</v>
      </c>
      <c r="S412" s="419" t="s">
        <v>2360</v>
      </c>
      <c r="T412" t="str">
        <f>IFERROR(VLOOKUP(ROWS($T$3:T412),$R$3:$S$992,2,0),"")</f>
        <v>Výroba průmyslových krmiv pro hospodářská zvířata</v>
      </c>
      <c r="U412">
        <f>IF(ISNUMBER(SEARCH('1Př1'!$A$36,N412)),MAX($M$2:M411)+1,0)</f>
        <v>410</v>
      </c>
      <c r="V412" s="419" t="s">
        <v>2360</v>
      </c>
      <c r="W412" t="str">
        <f>IFERROR(VLOOKUP(ROWS($W$3:W412),$U$3:$V$992,2,0),"")</f>
        <v>Výroba průmyslových krmiv pro hospodářská zvířata</v>
      </c>
      <c r="X412">
        <f>IF(ISNUMBER(SEARCH('1Př1'!$A$37,N412)),MAX($M$2:M411)+1,0)</f>
        <v>410</v>
      </c>
      <c r="Y412" s="419" t="s">
        <v>2360</v>
      </c>
      <c r="Z412" t="str">
        <f>IFERROR(VLOOKUP(ROWS($Z$3:Z412),$X$3:$Y$992,2,0),"")</f>
        <v>Výroba průmyslových krmiv pro hospodářská zvířata</v>
      </c>
    </row>
    <row r="413" spans="13:26" ht="12.75">
      <c r="M413" s="418">
        <f>IF(ISNUMBER(SEARCH(ZAKL_DATA!$B$29,N413)),MAX($M$2:M412)+1,0)</f>
        <v>411</v>
      </c>
      <c r="N413" s="419" t="s">
        <v>2362</v>
      </c>
      <c r="O413" s="436" t="s">
        <v>2363</v>
      </c>
      <c r="P413" s="421"/>
      <c r="Q413" s="422" t="str">
        <f>IFERROR(VLOOKUP(ROWS($Q$3:Q413),$M$3:$N$992,2,0),"")</f>
        <v>Výroba průmyslových krmiv pro zvířata v zájmovém chovu</v>
      </c>
      <c r="R413">
        <f>IF(ISNUMBER(SEARCH('1Př1'!$A$35,N413)),MAX($M$2:M412)+1,0)</f>
        <v>411</v>
      </c>
      <c r="S413" s="419" t="s">
        <v>2362</v>
      </c>
      <c r="T413" t="str">
        <f>IFERROR(VLOOKUP(ROWS($T$3:T413),$R$3:$S$992,2,0),"")</f>
        <v>Výroba průmyslových krmiv pro zvířata v zájmovém chovu</v>
      </c>
      <c r="U413">
        <f>IF(ISNUMBER(SEARCH('1Př1'!$A$36,N413)),MAX($M$2:M412)+1,0)</f>
        <v>411</v>
      </c>
      <c r="V413" s="419" t="s">
        <v>2362</v>
      </c>
      <c r="W413" t="str">
        <f>IFERROR(VLOOKUP(ROWS($W$3:W413),$U$3:$V$992,2,0),"")</f>
        <v>Výroba průmyslových krmiv pro zvířata v zájmovém chovu</v>
      </c>
      <c r="X413">
        <f>IF(ISNUMBER(SEARCH('1Př1'!$A$37,N413)),MAX($M$2:M412)+1,0)</f>
        <v>411</v>
      </c>
      <c r="Y413" s="419" t="s">
        <v>2362</v>
      </c>
      <c r="Z413" t="str">
        <f>IFERROR(VLOOKUP(ROWS($Z$3:Z413),$X$3:$Y$992,2,0),"")</f>
        <v>Výroba průmyslových krmiv pro zvířata v zájmovém chovu</v>
      </c>
    </row>
    <row r="414" spans="13:26" ht="12.75">
      <c r="M414" s="418">
        <f>IF(ISNUMBER(SEARCH(ZAKL_DATA!$B$29,N414)),MAX($M$2:M413)+1,0)</f>
        <v>412</v>
      </c>
      <c r="N414" s="419" t="s">
        <v>2364</v>
      </c>
      <c r="O414" s="436" t="s">
        <v>2365</v>
      </c>
      <c r="P414" s="421"/>
      <c r="Q414" s="422" t="str">
        <f>IFERROR(VLOOKUP(ROWS($Q$3:Q414),$M$3:$N$992,2,0),"")</f>
        <v>Destilace, rektifikace a míchání lihovin</v>
      </c>
      <c r="R414">
        <f>IF(ISNUMBER(SEARCH('1Př1'!$A$35,N414)),MAX($M$2:M413)+1,0)</f>
        <v>412</v>
      </c>
      <c r="S414" s="419" t="s">
        <v>2364</v>
      </c>
      <c r="T414" t="str">
        <f>IFERROR(VLOOKUP(ROWS($T$3:T414),$R$3:$S$992,2,0),"")</f>
        <v>Destilace, rektifikace a míchání lihovin</v>
      </c>
      <c r="U414">
        <f>IF(ISNUMBER(SEARCH('1Př1'!$A$36,N414)),MAX($M$2:M413)+1,0)</f>
        <v>412</v>
      </c>
      <c r="V414" s="419" t="s">
        <v>2364</v>
      </c>
      <c r="W414" t="str">
        <f>IFERROR(VLOOKUP(ROWS($W$3:W414),$U$3:$V$992,2,0),"")</f>
        <v>Destilace, rektifikace a míchání lihovin</v>
      </c>
      <c r="X414">
        <f>IF(ISNUMBER(SEARCH('1Př1'!$A$37,N414)),MAX($M$2:M413)+1,0)</f>
        <v>412</v>
      </c>
      <c r="Y414" s="419" t="s">
        <v>2364</v>
      </c>
      <c r="Z414" t="str">
        <f>IFERROR(VLOOKUP(ROWS($Z$3:Z414),$X$3:$Y$992,2,0),"")</f>
        <v>Destilace, rektifikace a míchání lihovin</v>
      </c>
    </row>
    <row r="415" spans="13:26" ht="12.75">
      <c r="M415" s="418">
        <f>IF(ISNUMBER(SEARCH(ZAKL_DATA!$B$29,N415)),MAX($M$2:M414)+1,0)</f>
        <v>413</v>
      </c>
      <c r="N415" s="419" t="s">
        <v>2366</v>
      </c>
      <c r="O415" s="436" t="s">
        <v>2367</v>
      </c>
      <c r="P415" s="421"/>
      <c r="Q415" s="422" t="str">
        <f>IFERROR(VLOOKUP(ROWS($Q$3:Q415),$M$3:$N$992,2,0),"")</f>
        <v>Výroba vína z vinných hroznů</v>
      </c>
      <c r="R415">
        <f>IF(ISNUMBER(SEARCH('1Př1'!$A$35,N415)),MAX($M$2:M414)+1,0)</f>
        <v>413</v>
      </c>
      <c r="S415" s="419" t="s">
        <v>2366</v>
      </c>
      <c r="T415" t="str">
        <f>IFERROR(VLOOKUP(ROWS($T$3:T415),$R$3:$S$992,2,0),"")</f>
        <v>Výroba vína z vinných hroznů</v>
      </c>
      <c r="U415">
        <f>IF(ISNUMBER(SEARCH('1Př1'!$A$36,N415)),MAX($M$2:M414)+1,0)</f>
        <v>413</v>
      </c>
      <c r="V415" s="419" t="s">
        <v>2366</v>
      </c>
      <c r="W415" t="str">
        <f>IFERROR(VLOOKUP(ROWS($W$3:W415),$U$3:$V$992,2,0),"")</f>
        <v>Výroba vína z vinných hroznů</v>
      </c>
      <c r="X415">
        <f>IF(ISNUMBER(SEARCH('1Př1'!$A$37,N415)),MAX($M$2:M414)+1,0)</f>
        <v>413</v>
      </c>
      <c r="Y415" s="419" t="s">
        <v>2366</v>
      </c>
      <c r="Z415" t="str">
        <f>IFERROR(VLOOKUP(ROWS($Z$3:Z415),$X$3:$Y$992,2,0),"")</f>
        <v>Výroba vína z vinných hroznů</v>
      </c>
    </row>
    <row r="416" spans="13:26" ht="12.75">
      <c r="M416" s="418">
        <f>IF(ISNUMBER(SEARCH(ZAKL_DATA!$B$29,N416)),MAX($M$2:M415)+1,0)</f>
        <v>414</v>
      </c>
      <c r="N416" s="419" t="s">
        <v>2368</v>
      </c>
      <c r="O416" s="436" t="s">
        <v>2369</v>
      </c>
      <c r="P416" s="421"/>
      <c r="Q416" s="422" t="str">
        <f>IFERROR(VLOOKUP(ROWS($Q$3:Q416),$M$3:$N$992,2,0),"")</f>
        <v>Výroba jablečného vína a jiných ovocných vín</v>
      </c>
      <c r="R416">
        <f>IF(ISNUMBER(SEARCH('1Př1'!$A$35,N416)),MAX($M$2:M415)+1,0)</f>
        <v>414</v>
      </c>
      <c r="S416" s="419" t="s">
        <v>2368</v>
      </c>
      <c r="T416" t="str">
        <f>IFERROR(VLOOKUP(ROWS($T$3:T416),$R$3:$S$992,2,0),"")</f>
        <v>Výroba jablečného vína a jiných ovocných vín</v>
      </c>
      <c r="U416">
        <f>IF(ISNUMBER(SEARCH('1Př1'!$A$36,N416)),MAX($M$2:M415)+1,0)</f>
        <v>414</v>
      </c>
      <c r="V416" s="419" t="s">
        <v>2368</v>
      </c>
      <c r="W416" t="str">
        <f>IFERROR(VLOOKUP(ROWS($W$3:W416),$U$3:$V$992,2,0),"")</f>
        <v>Výroba jablečného vína a jiných ovocných vín</v>
      </c>
      <c r="X416">
        <f>IF(ISNUMBER(SEARCH('1Př1'!$A$37,N416)),MAX($M$2:M415)+1,0)</f>
        <v>414</v>
      </c>
      <c r="Y416" s="419" t="s">
        <v>2368</v>
      </c>
      <c r="Z416" t="str">
        <f>IFERROR(VLOOKUP(ROWS($Z$3:Z416),$X$3:$Y$992,2,0),"")</f>
        <v>Výroba jablečného vína a jiných ovocných vín</v>
      </c>
    </row>
    <row r="417" spans="13:26" ht="12.75">
      <c r="M417" s="418">
        <f>IF(ISNUMBER(SEARCH(ZAKL_DATA!$B$29,N417)),MAX($M$2:M416)+1,0)</f>
        <v>415</v>
      </c>
      <c r="N417" s="419" t="s">
        <v>2370</v>
      </c>
      <c r="O417" s="436" t="s">
        <v>2371</v>
      </c>
      <c r="P417" s="421"/>
      <c r="Q417" s="422" t="str">
        <f>IFERROR(VLOOKUP(ROWS($Q$3:Q417),$M$3:$N$992,2,0),"")</f>
        <v>Výroba ostatních nedestilovaných kvašených nápojů</v>
      </c>
      <c r="R417">
        <f>IF(ISNUMBER(SEARCH('1Př1'!$A$35,N417)),MAX($M$2:M416)+1,0)</f>
        <v>415</v>
      </c>
      <c r="S417" s="419" t="s">
        <v>2370</v>
      </c>
      <c r="T417" t="str">
        <f>IFERROR(VLOOKUP(ROWS($T$3:T417),$R$3:$S$992,2,0),"")</f>
        <v>Výroba ostatních nedestilovaných kvašených nápojů</v>
      </c>
      <c r="U417">
        <f>IF(ISNUMBER(SEARCH('1Př1'!$A$36,N417)),MAX($M$2:M416)+1,0)</f>
        <v>415</v>
      </c>
      <c r="V417" s="419" t="s">
        <v>2370</v>
      </c>
      <c r="W417" t="str">
        <f>IFERROR(VLOOKUP(ROWS($W$3:W417),$U$3:$V$992,2,0),"")</f>
        <v>Výroba ostatních nedestilovaných kvašených nápojů</v>
      </c>
      <c r="X417">
        <f>IF(ISNUMBER(SEARCH('1Př1'!$A$37,N417)),MAX($M$2:M416)+1,0)</f>
        <v>415</v>
      </c>
      <c r="Y417" s="419" t="s">
        <v>2370</v>
      </c>
      <c r="Z417" t="str">
        <f>IFERROR(VLOOKUP(ROWS($Z$3:Z417),$X$3:$Y$992,2,0),"")</f>
        <v>Výroba ostatních nedestilovaných kvašených nápojů</v>
      </c>
    </row>
    <row r="418" spans="13:26" ht="12.75">
      <c r="M418" s="418">
        <f>IF(ISNUMBER(SEARCH(ZAKL_DATA!$B$29,N418)),MAX($M$2:M417)+1,0)</f>
        <v>416</v>
      </c>
      <c r="N418" s="419" t="s">
        <v>2372</v>
      </c>
      <c r="O418" s="436" t="s">
        <v>2373</v>
      </c>
      <c r="P418" s="421"/>
      <c r="Q418" s="422" t="str">
        <f>IFERROR(VLOOKUP(ROWS($Q$3:Q418),$M$3:$N$992,2,0),"")</f>
        <v>Výroba piva</v>
      </c>
      <c r="R418">
        <f>IF(ISNUMBER(SEARCH('1Př1'!$A$35,N418)),MAX($M$2:M417)+1,0)</f>
        <v>416</v>
      </c>
      <c r="S418" s="419" t="s">
        <v>2372</v>
      </c>
      <c r="T418" t="str">
        <f>IFERROR(VLOOKUP(ROWS($T$3:T418),$R$3:$S$992,2,0),"")</f>
        <v>Výroba piva</v>
      </c>
      <c r="U418">
        <f>IF(ISNUMBER(SEARCH('1Př1'!$A$36,N418)),MAX($M$2:M417)+1,0)</f>
        <v>416</v>
      </c>
      <c r="V418" s="419" t="s">
        <v>2372</v>
      </c>
      <c r="W418" t="str">
        <f>IFERROR(VLOOKUP(ROWS($W$3:W418),$U$3:$V$992,2,0),"")</f>
        <v>Výroba piva</v>
      </c>
      <c r="X418">
        <f>IF(ISNUMBER(SEARCH('1Př1'!$A$37,N418)),MAX($M$2:M417)+1,0)</f>
        <v>416</v>
      </c>
      <c r="Y418" s="419" t="s">
        <v>2372</v>
      </c>
      <c r="Z418" t="str">
        <f>IFERROR(VLOOKUP(ROWS($Z$3:Z418),$X$3:$Y$992,2,0),"")</f>
        <v>Výroba piva</v>
      </c>
    </row>
    <row r="419" spans="13:26" ht="12.75">
      <c r="M419" s="418">
        <f>IF(ISNUMBER(SEARCH(ZAKL_DATA!$B$29,N419)),MAX($M$2:M418)+1,0)</f>
        <v>417</v>
      </c>
      <c r="N419" s="419" t="s">
        <v>2374</v>
      </c>
      <c r="O419" s="436" t="s">
        <v>2375</v>
      </c>
      <c r="P419" s="421"/>
      <c r="Q419" s="422" t="str">
        <f>IFERROR(VLOOKUP(ROWS($Q$3:Q419),$M$3:$N$992,2,0),"")</f>
        <v>Výroba sladu</v>
      </c>
      <c r="R419">
        <f>IF(ISNUMBER(SEARCH('1Př1'!$A$35,N419)),MAX($M$2:M418)+1,0)</f>
        <v>417</v>
      </c>
      <c r="S419" s="419" t="s">
        <v>2374</v>
      </c>
      <c r="T419" t="str">
        <f>IFERROR(VLOOKUP(ROWS($T$3:T419),$R$3:$S$992,2,0),"")</f>
        <v>Výroba sladu</v>
      </c>
      <c r="U419">
        <f>IF(ISNUMBER(SEARCH('1Př1'!$A$36,N419)),MAX($M$2:M418)+1,0)</f>
        <v>417</v>
      </c>
      <c r="V419" s="419" t="s">
        <v>2374</v>
      </c>
      <c r="W419" t="str">
        <f>IFERROR(VLOOKUP(ROWS($W$3:W419),$U$3:$V$992,2,0),"")</f>
        <v>Výroba sladu</v>
      </c>
      <c r="X419">
        <f>IF(ISNUMBER(SEARCH('1Př1'!$A$37,N419)),MAX($M$2:M418)+1,0)</f>
        <v>417</v>
      </c>
      <c r="Y419" s="419" t="s">
        <v>2374</v>
      </c>
      <c r="Z419" t="str">
        <f>IFERROR(VLOOKUP(ROWS($Z$3:Z419),$X$3:$Y$992,2,0),"")</f>
        <v>Výroba sladu</v>
      </c>
    </row>
    <row r="420" spans="13:26" ht="12.75">
      <c r="M420" s="418">
        <f>IF(ISNUMBER(SEARCH(ZAKL_DATA!$B$29,N420)),MAX($M$2:M419)+1,0)</f>
        <v>418</v>
      </c>
      <c r="N420" s="419" t="s">
        <v>2376</v>
      </c>
      <c r="O420" s="436" t="s">
        <v>2377</v>
      </c>
      <c r="P420" s="421"/>
      <c r="Q420" s="422" t="str">
        <f>IFERROR(VLOOKUP(ROWS($Q$3:Q420),$M$3:$N$992,2,0),"")</f>
        <v>Výroba nealkohol.nápojů;stáčení minerálních a ostatních vod do lahví</v>
      </c>
      <c r="R420">
        <f>IF(ISNUMBER(SEARCH('1Př1'!$A$35,N420)),MAX($M$2:M419)+1,0)</f>
        <v>418</v>
      </c>
      <c r="S420" s="419" t="s">
        <v>2376</v>
      </c>
      <c r="T420" t="str">
        <f>IFERROR(VLOOKUP(ROWS($T$3:T420),$R$3:$S$992,2,0),"")</f>
        <v>Výroba nealkohol.nápojů;stáčení minerálních a ostatních vod do lahví</v>
      </c>
      <c r="U420">
        <f>IF(ISNUMBER(SEARCH('1Př1'!$A$36,N420)),MAX($M$2:M419)+1,0)</f>
        <v>418</v>
      </c>
      <c r="V420" s="419" t="s">
        <v>2376</v>
      </c>
      <c r="W420" t="str">
        <f>IFERROR(VLOOKUP(ROWS($W$3:W420),$U$3:$V$992,2,0),"")</f>
        <v>Výroba nealkohol.nápojů;stáčení minerálních a ostatních vod do lahví</v>
      </c>
      <c r="X420">
        <f>IF(ISNUMBER(SEARCH('1Př1'!$A$37,N420)),MAX($M$2:M419)+1,0)</f>
        <v>418</v>
      </c>
      <c r="Y420" s="419" t="s">
        <v>2376</v>
      </c>
      <c r="Z420" t="str">
        <f>IFERROR(VLOOKUP(ROWS($Z$3:Z420),$X$3:$Y$992,2,0),"")</f>
        <v>Výroba nealkohol.nápojů;stáčení minerálních a ostatních vod do lahví</v>
      </c>
    </row>
    <row r="421" spans="13:26" ht="12.75">
      <c r="M421" s="418">
        <f>IF(ISNUMBER(SEARCH(ZAKL_DATA!$B$29,N421)),MAX($M$2:M420)+1,0)</f>
        <v>419</v>
      </c>
      <c r="N421" s="419" t="s">
        <v>2378</v>
      </c>
      <c r="O421" s="436" t="s">
        <v>2379</v>
      </c>
      <c r="P421" s="421"/>
      <c r="Q421" s="422" t="str">
        <f>IFERROR(VLOOKUP(ROWS($Q$3:Q421),$M$3:$N$992,2,0),"")</f>
        <v>Výroba pletených a háčkovaných materiálů</v>
      </c>
      <c r="R421">
        <f>IF(ISNUMBER(SEARCH('1Př1'!$A$35,N421)),MAX($M$2:M420)+1,0)</f>
        <v>419</v>
      </c>
      <c r="S421" s="419" t="s">
        <v>2378</v>
      </c>
      <c r="T421" t="str">
        <f>IFERROR(VLOOKUP(ROWS($T$3:T421),$R$3:$S$992,2,0),"")</f>
        <v>Výroba pletených a háčkovaných materiálů</v>
      </c>
      <c r="U421">
        <f>IF(ISNUMBER(SEARCH('1Př1'!$A$36,N421)),MAX($M$2:M420)+1,0)</f>
        <v>419</v>
      </c>
      <c r="V421" s="419" t="s">
        <v>2378</v>
      </c>
      <c r="W421" t="str">
        <f>IFERROR(VLOOKUP(ROWS($W$3:W421),$U$3:$V$992,2,0),"")</f>
        <v>Výroba pletených a háčkovaných materiálů</v>
      </c>
      <c r="X421">
        <f>IF(ISNUMBER(SEARCH('1Př1'!$A$37,N421)),MAX($M$2:M420)+1,0)</f>
        <v>419</v>
      </c>
      <c r="Y421" s="419" t="s">
        <v>2378</v>
      </c>
      <c r="Z421" t="str">
        <f>IFERROR(VLOOKUP(ROWS($Z$3:Z421),$X$3:$Y$992,2,0),"")</f>
        <v>Výroba pletených a háčkovaných materiálů</v>
      </c>
    </row>
    <row r="422" spans="13:26" ht="12.75">
      <c r="M422" s="418">
        <f>IF(ISNUMBER(SEARCH(ZAKL_DATA!$B$29,N422)),MAX($M$2:M421)+1,0)</f>
        <v>420</v>
      </c>
      <c r="N422" s="419" t="s">
        <v>2380</v>
      </c>
      <c r="O422" s="436" t="s">
        <v>2381</v>
      </c>
      <c r="P422" s="421"/>
      <c r="Q422" s="422" t="str">
        <f>IFERROR(VLOOKUP(ROWS($Q$3:Q422),$M$3:$N$992,2,0),"")</f>
        <v>Výroba konfekčních textilních výrobků, kromě oděvů</v>
      </c>
      <c r="R422">
        <f>IF(ISNUMBER(SEARCH('1Př1'!$A$35,N422)),MAX($M$2:M421)+1,0)</f>
        <v>420</v>
      </c>
      <c r="S422" s="419" t="s">
        <v>2380</v>
      </c>
      <c r="T422" t="str">
        <f>IFERROR(VLOOKUP(ROWS($T$3:T422),$R$3:$S$992,2,0),"")</f>
        <v>Výroba konfekčních textilních výrobků, kromě oděvů</v>
      </c>
      <c r="U422">
        <f>IF(ISNUMBER(SEARCH('1Př1'!$A$36,N422)),MAX($M$2:M421)+1,0)</f>
        <v>420</v>
      </c>
      <c r="V422" s="419" t="s">
        <v>2380</v>
      </c>
      <c r="W422" t="str">
        <f>IFERROR(VLOOKUP(ROWS($W$3:W422),$U$3:$V$992,2,0),"")</f>
        <v>Výroba konfekčních textilních výrobků, kromě oděvů</v>
      </c>
      <c r="X422">
        <f>IF(ISNUMBER(SEARCH('1Př1'!$A$37,N422)),MAX($M$2:M421)+1,0)</f>
        <v>420</v>
      </c>
      <c r="Y422" s="419" t="s">
        <v>2380</v>
      </c>
      <c r="Z422" t="str">
        <f>IFERROR(VLOOKUP(ROWS($Z$3:Z422),$X$3:$Y$992,2,0),"")</f>
        <v>Výroba konfekčních textilních výrobků, kromě oděvů</v>
      </c>
    </row>
    <row r="423" spans="13:26" ht="12.75">
      <c r="M423" s="418">
        <f>IF(ISNUMBER(SEARCH(ZAKL_DATA!$B$29,N423)),MAX($M$2:M422)+1,0)</f>
        <v>421</v>
      </c>
      <c r="N423" s="419" t="s">
        <v>2382</v>
      </c>
      <c r="O423" s="436" t="s">
        <v>2383</v>
      </c>
      <c r="P423" s="421"/>
      <c r="Q423" s="422" t="str">
        <f>IFERROR(VLOOKUP(ROWS($Q$3:Q423),$M$3:$N$992,2,0),"")</f>
        <v>Výroba koberců a kobercových předložek</v>
      </c>
      <c r="R423">
        <f>IF(ISNUMBER(SEARCH('1Př1'!$A$35,N423)),MAX($M$2:M422)+1,0)</f>
        <v>421</v>
      </c>
      <c r="S423" s="419" t="s">
        <v>2382</v>
      </c>
      <c r="T423" t="str">
        <f>IFERROR(VLOOKUP(ROWS($T$3:T423),$R$3:$S$992,2,0),"")</f>
        <v>Výroba koberců a kobercových předložek</v>
      </c>
      <c r="U423">
        <f>IF(ISNUMBER(SEARCH('1Př1'!$A$36,N423)),MAX($M$2:M422)+1,0)</f>
        <v>421</v>
      </c>
      <c r="V423" s="419" t="s">
        <v>2382</v>
      </c>
      <c r="W423" t="str">
        <f>IFERROR(VLOOKUP(ROWS($W$3:W423),$U$3:$V$992,2,0),"")</f>
        <v>Výroba koberců a kobercových předložek</v>
      </c>
      <c r="X423">
        <f>IF(ISNUMBER(SEARCH('1Př1'!$A$37,N423)),MAX($M$2:M422)+1,0)</f>
        <v>421</v>
      </c>
      <c r="Y423" s="419" t="s">
        <v>2382</v>
      </c>
      <c r="Z423" t="str">
        <f>IFERROR(VLOOKUP(ROWS($Z$3:Z423),$X$3:$Y$992,2,0),"")</f>
        <v>Výroba koberců a kobercových předložek</v>
      </c>
    </row>
    <row r="424" spans="13:26" ht="12.75">
      <c r="M424" s="418">
        <f>IF(ISNUMBER(SEARCH(ZAKL_DATA!$B$29,N424)),MAX($M$2:M423)+1,0)</f>
        <v>422</v>
      </c>
      <c r="N424" s="419" t="s">
        <v>2384</v>
      </c>
      <c r="O424" s="436" t="s">
        <v>2385</v>
      </c>
      <c r="P424" s="421"/>
      <c r="Q424" s="422" t="str">
        <f>IFERROR(VLOOKUP(ROWS($Q$3:Q424),$M$3:$N$992,2,0),"")</f>
        <v>Výroba lan, provazů a síťovaných výrobků</v>
      </c>
      <c r="R424">
        <f>IF(ISNUMBER(SEARCH('1Př1'!$A$35,N424)),MAX($M$2:M423)+1,0)</f>
        <v>422</v>
      </c>
      <c r="S424" s="419" t="s">
        <v>2384</v>
      </c>
      <c r="T424" t="str">
        <f>IFERROR(VLOOKUP(ROWS($T$3:T424),$R$3:$S$992,2,0),"")</f>
        <v>Výroba lan, provazů a síťovaných výrobků</v>
      </c>
      <c r="U424">
        <f>IF(ISNUMBER(SEARCH('1Př1'!$A$36,N424)),MAX($M$2:M423)+1,0)</f>
        <v>422</v>
      </c>
      <c r="V424" s="419" t="s">
        <v>2384</v>
      </c>
      <c r="W424" t="str">
        <f>IFERROR(VLOOKUP(ROWS($W$3:W424),$U$3:$V$992,2,0),"")</f>
        <v>Výroba lan, provazů a síťovaných výrobků</v>
      </c>
      <c r="X424">
        <f>IF(ISNUMBER(SEARCH('1Př1'!$A$37,N424)),MAX($M$2:M423)+1,0)</f>
        <v>422</v>
      </c>
      <c r="Y424" s="419" t="s">
        <v>2384</v>
      </c>
      <c r="Z424" t="str">
        <f>IFERROR(VLOOKUP(ROWS($Z$3:Z424),$X$3:$Y$992,2,0),"")</f>
        <v>Výroba lan, provazů a síťovaných výrobků</v>
      </c>
    </row>
    <row r="425" spans="13:26" ht="12.75">
      <c r="M425" s="418">
        <f>IF(ISNUMBER(SEARCH(ZAKL_DATA!$B$29,N425)),MAX($M$2:M424)+1,0)</f>
        <v>423</v>
      </c>
      <c r="N425" s="419" t="s">
        <v>2386</v>
      </c>
      <c r="O425" s="436" t="s">
        <v>2387</v>
      </c>
      <c r="P425" s="421"/>
      <c r="Q425" s="422" t="str">
        <f>IFERROR(VLOOKUP(ROWS($Q$3:Q425),$M$3:$N$992,2,0),"")</f>
        <v>Výroba netkaných textilií a výrobků z nich, kromě oděvů</v>
      </c>
      <c r="R425">
        <f>IF(ISNUMBER(SEARCH('1Př1'!$A$35,N425)),MAX($M$2:M424)+1,0)</f>
        <v>423</v>
      </c>
      <c r="S425" s="419" t="s">
        <v>2386</v>
      </c>
      <c r="T425" t="str">
        <f>IFERROR(VLOOKUP(ROWS($T$3:T425),$R$3:$S$992,2,0),"")</f>
        <v>Výroba netkaných textilií a výrobků z nich, kromě oděvů</v>
      </c>
      <c r="U425">
        <f>IF(ISNUMBER(SEARCH('1Př1'!$A$36,N425)),MAX($M$2:M424)+1,0)</f>
        <v>423</v>
      </c>
      <c r="V425" s="419" t="s">
        <v>2386</v>
      </c>
      <c r="W425" t="str">
        <f>IFERROR(VLOOKUP(ROWS($W$3:W425),$U$3:$V$992,2,0),"")</f>
        <v>Výroba netkaných textilií a výrobků z nich, kromě oděvů</v>
      </c>
      <c r="X425">
        <f>IF(ISNUMBER(SEARCH('1Př1'!$A$37,N425)),MAX($M$2:M424)+1,0)</f>
        <v>423</v>
      </c>
      <c r="Y425" s="419" t="s">
        <v>2386</v>
      </c>
      <c r="Z425" t="str">
        <f>IFERROR(VLOOKUP(ROWS($Z$3:Z425),$X$3:$Y$992,2,0),"")</f>
        <v>Výroba netkaných textilií a výrobků z nich, kromě oděvů</v>
      </c>
    </row>
    <row r="426" spans="13:26" ht="12.75">
      <c r="M426" s="418">
        <f>IF(ISNUMBER(SEARCH(ZAKL_DATA!$B$29,N426)),MAX($M$2:M425)+1,0)</f>
        <v>424</v>
      </c>
      <c r="N426" s="419" t="s">
        <v>2388</v>
      </c>
      <c r="O426" s="436" t="s">
        <v>2389</v>
      </c>
      <c r="P426" s="421"/>
      <c r="Q426" s="422" t="str">
        <f>IFERROR(VLOOKUP(ROWS($Q$3:Q426),$M$3:$N$992,2,0),"")</f>
        <v>Výroba ostatních technických a průmyslových textilií</v>
      </c>
      <c r="R426">
        <f>IF(ISNUMBER(SEARCH('1Př1'!$A$35,N426)),MAX($M$2:M425)+1,0)</f>
        <v>424</v>
      </c>
      <c r="S426" s="419" t="s">
        <v>2388</v>
      </c>
      <c r="T426" t="str">
        <f>IFERROR(VLOOKUP(ROWS($T$3:T426),$R$3:$S$992,2,0),"")</f>
        <v>Výroba ostatních technických a průmyslových textilií</v>
      </c>
      <c r="U426">
        <f>IF(ISNUMBER(SEARCH('1Př1'!$A$36,N426)),MAX($M$2:M425)+1,0)</f>
        <v>424</v>
      </c>
      <c r="V426" s="419" t="s">
        <v>2388</v>
      </c>
      <c r="W426" t="str">
        <f>IFERROR(VLOOKUP(ROWS($W$3:W426),$U$3:$V$992,2,0),"")</f>
        <v>Výroba ostatních technických a průmyslových textilií</v>
      </c>
      <c r="X426">
        <f>IF(ISNUMBER(SEARCH('1Př1'!$A$37,N426)),MAX($M$2:M425)+1,0)</f>
        <v>424</v>
      </c>
      <c r="Y426" s="419" t="s">
        <v>2388</v>
      </c>
      <c r="Z426" t="str">
        <f>IFERROR(VLOOKUP(ROWS($Z$3:Z426),$X$3:$Y$992,2,0),"")</f>
        <v>Výroba ostatních technických a průmyslových textilií</v>
      </c>
    </row>
    <row r="427" spans="13:26" ht="12.75">
      <c r="M427" s="418">
        <f>IF(ISNUMBER(SEARCH(ZAKL_DATA!$B$29,N427)),MAX($M$2:M426)+1,0)</f>
        <v>425</v>
      </c>
      <c r="N427" s="419" t="s">
        <v>2390</v>
      </c>
      <c r="O427" s="436" t="s">
        <v>2391</v>
      </c>
      <c r="P427" s="421"/>
      <c r="Q427" s="422" t="str">
        <f>IFERROR(VLOOKUP(ROWS($Q$3:Q427),$M$3:$N$992,2,0),"")</f>
        <v>Výroba ostatních textilií j. n.</v>
      </c>
      <c r="R427">
        <f>IF(ISNUMBER(SEARCH('1Př1'!$A$35,N427)),MAX($M$2:M426)+1,0)</f>
        <v>425</v>
      </c>
      <c r="S427" s="419" t="s">
        <v>2390</v>
      </c>
      <c r="T427" t="str">
        <f>IFERROR(VLOOKUP(ROWS($T$3:T427),$R$3:$S$992,2,0),"")</f>
        <v>Výroba ostatních textilií j. n.</v>
      </c>
      <c r="U427">
        <f>IF(ISNUMBER(SEARCH('1Př1'!$A$36,N427)),MAX($M$2:M426)+1,0)</f>
        <v>425</v>
      </c>
      <c r="V427" s="419" t="s">
        <v>2390</v>
      </c>
      <c r="W427" t="str">
        <f>IFERROR(VLOOKUP(ROWS($W$3:W427),$U$3:$V$992,2,0),"")</f>
        <v>Výroba ostatních textilií j. n.</v>
      </c>
      <c r="X427">
        <f>IF(ISNUMBER(SEARCH('1Př1'!$A$37,N427)),MAX($M$2:M426)+1,0)</f>
        <v>425</v>
      </c>
      <c r="Y427" s="419" t="s">
        <v>2390</v>
      </c>
      <c r="Z427" t="str">
        <f>IFERROR(VLOOKUP(ROWS($Z$3:Z427),$X$3:$Y$992,2,0),"")</f>
        <v>Výroba ostatních textilií j. n.</v>
      </c>
    </row>
    <row r="428" spans="13:26" ht="12.75">
      <c r="M428" s="418">
        <f>IF(ISNUMBER(SEARCH(ZAKL_DATA!$B$29,N428)),MAX($M$2:M427)+1,0)</f>
        <v>426</v>
      </c>
      <c r="N428" s="419" t="s">
        <v>2392</v>
      </c>
      <c r="O428" s="436" t="s">
        <v>2393</v>
      </c>
      <c r="P428" s="421"/>
      <c r="Q428" s="422" t="str">
        <f>IFERROR(VLOOKUP(ROWS($Q$3:Q428),$M$3:$N$992,2,0),"")</f>
        <v>Výroba kožených oděvů</v>
      </c>
      <c r="R428">
        <f>IF(ISNUMBER(SEARCH('1Př1'!$A$35,N428)),MAX($M$2:M427)+1,0)</f>
        <v>426</v>
      </c>
      <c r="S428" s="419" t="s">
        <v>2392</v>
      </c>
      <c r="T428" t="str">
        <f>IFERROR(VLOOKUP(ROWS($T$3:T428),$R$3:$S$992,2,0),"")</f>
        <v>Výroba kožených oděvů</v>
      </c>
      <c r="U428">
        <f>IF(ISNUMBER(SEARCH('1Př1'!$A$36,N428)),MAX($M$2:M427)+1,0)</f>
        <v>426</v>
      </c>
      <c r="V428" s="419" t="s">
        <v>2392</v>
      </c>
      <c r="W428" t="str">
        <f>IFERROR(VLOOKUP(ROWS($W$3:W428),$U$3:$V$992,2,0),"")</f>
        <v>Výroba kožených oděvů</v>
      </c>
      <c r="X428">
        <f>IF(ISNUMBER(SEARCH('1Př1'!$A$37,N428)),MAX($M$2:M427)+1,0)</f>
        <v>426</v>
      </c>
      <c r="Y428" s="419" t="s">
        <v>2392</v>
      </c>
      <c r="Z428" t="str">
        <f>IFERROR(VLOOKUP(ROWS($Z$3:Z428),$X$3:$Y$992,2,0),"")</f>
        <v>Výroba kožených oděvů</v>
      </c>
    </row>
    <row r="429" spans="13:26" ht="12.75">
      <c r="M429" s="418">
        <f>IF(ISNUMBER(SEARCH(ZAKL_DATA!$B$29,N429)),MAX($M$2:M428)+1,0)</f>
        <v>427</v>
      </c>
      <c r="N429" s="419" t="s">
        <v>2394</v>
      </c>
      <c r="O429" s="436" t="s">
        <v>2395</v>
      </c>
      <c r="P429" s="421"/>
      <c r="Q429" s="422" t="str">
        <f>IFERROR(VLOOKUP(ROWS($Q$3:Q429),$M$3:$N$992,2,0),"")</f>
        <v>Výroba pracovních oděvů</v>
      </c>
      <c r="R429">
        <f>IF(ISNUMBER(SEARCH('1Př1'!$A$35,N429)),MAX($M$2:M428)+1,0)</f>
        <v>427</v>
      </c>
      <c r="S429" s="419" t="s">
        <v>2394</v>
      </c>
      <c r="T429" t="str">
        <f>IFERROR(VLOOKUP(ROWS($T$3:T429),$R$3:$S$992,2,0),"")</f>
        <v>Výroba pracovních oděvů</v>
      </c>
      <c r="U429">
        <f>IF(ISNUMBER(SEARCH('1Př1'!$A$36,N429)),MAX($M$2:M428)+1,0)</f>
        <v>427</v>
      </c>
      <c r="V429" s="419" t="s">
        <v>2394</v>
      </c>
      <c r="W429" t="str">
        <f>IFERROR(VLOOKUP(ROWS($W$3:W429),$U$3:$V$992,2,0),"")</f>
        <v>Výroba pracovních oděvů</v>
      </c>
      <c r="X429">
        <f>IF(ISNUMBER(SEARCH('1Př1'!$A$37,N429)),MAX($M$2:M428)+1,0)</f>
        <v>427</v>
      </c>
      <c r="Y429" s="419" t="s">
        <v>2394</v>
      </c>
      <c r="Z429" t="str">
        <f>IFERROR(VLOOKUP(ROWS($Z$3:Z429),$X$3:$Y$992,2,0),"")</f>
        <v>Výroba pracovních oděvů</v>
      </c>
    </row>
    <row r="430" spans="13:26" ht="12.75">
      <c r="M430" s="418">
        <f>IF(ISNUMBER(SEARCH(ZAKL_DATA!$B$29,N430)),MAX($M$2:M429)+1,0)</f>
        <v>428</v>
      </c>
      <c r="N430" s="419" t="s">
        <v>2396</v>
      </c>
      <c r="O430" s="436" t="s">
        <v>2397</v>
      </c>
      <c r="P430" s="421"/>
      <c r="Q430" s="422" t="str">
        <f>IFERROR(VLOOKUP(ROWS($Q$3:Q430),$M$3:$N$992,2,0),"")</f>
        <v>Výroba ostatních svrchních oděvů</v>
      </c>
      <c r="R430">
        <f>IF(ISNUMBER(SEARCH('1Př1'!$A$35,N430)),MAX($M$2:M429)+1,0)</f>
        <v>428</v>
      </c>
      <c r="S430" s="419" t="s">
        <v>2396</v>
      </c>
      <c r="T430" t="str">
        <f>IFERROR(VLOOKUP(ROWS($T$3:T430),$R$3:$S$992,2,0),"")</f>
        <v>Výroba ostatních svrchních oděvů</v>
      </c>
      <c r="U430">
        <f>IF(ISNUMBER(SEARCH('1Př1'!$A$36,N430)),MAX($M$2:M429)+1,0)</f>
        <v>428</v>
      </c>
      <c r="V430" s="419" t="s">
        <v>2396</v>
      </c>
      <c r="W430" t="str">
        <f>IFERROR(VLOOKUP(ROWS($W$3:W430),$U$3:$V$992,2,0),"")</f>
        <v>Výroba ostatních svrchních oděvů</v>
      </c>
      <c r="X430">
        <f>IF(ISNUMBER(SEARCH('1Př1'!$A$37,N430)),MAX($M$2:M429)+1,0)</f>
        <v>428</v>
      </c>
      <c r="Y430" s="419" t="s">
        <v>2396</v>
      </c>
      <c r="Z430" t="str">
        <f>IFERROR(VLOOKUP(ROWS($Z$3:Z430),$X$3:$Y$992,2,0),"")</f>
        <v>Výroba ostatních svrchních oděvů</v>
      </c>
    </row>
    <row r="431" spans="13:26" ht="12.75">
      <c r="M431" s="418">
        <f>IF(ISNUMBER(SEARCH(ZAKL_DATA!$B$29,N431)),MAX($M$2:M430)+1,0)</f>
        <v>429</v>
      </c>
      <c r="N431" s="419" t="s">
        <v>2398</v>
      </c>
      <c r="O431" s="436" t="s">
        <v>2399</v>
      </c>
      <c r="P431" s="421"/>
      <c r="Q431" s="422" t="str">
        <f>IFERROR(VLOOKUP(ROWS($Q$3:Q431),$M$3:$N$992,2,0),"")</f>
        <v>Výroba osobního prádla</v>
      </c>
      <c r="R431">
        <f>IF(ISNUMBER(SEARCH('1Př1'!$A$35,N431)),MAX($M$2:M430)+1,0)</f>
        <v>429</v>
      </c>
      <c r="S431" s="419" t="s">
        <v>2398</v>
      </c>
      <c r="T431" t="str">
        <f>IFERROR(VLOOKUP(ROWS($T$3:T431),$R$3:$S$992,2,0),"")</f>
        <v>Výroba osobního prádla</v>
      </c>
      <c r="U431">
        <f>IF(ISNUMBER(SEARCH('1Př1'!$A$36,N431)),MAX($M$2:M430)+1,0)</f>
        <v>429</v>
      </c>
      <c r="V431" s="419" t="s">
        <v>2398</v>
      </c>
      <c r="W431" t="str">
        <f>IFERROR(VLOOKUP(ROWS($W$3:W431),$U$3:$V$992,2,0),"")</f>
        <v>Výroba osobního prádla</v>
      </c>
      <c r="X431">
        <f>IF(ISNUMBER(SEARCH('1Př1'!$A$37,N431)),MAX($M$2:M430)+1,0)</f>
        <v>429</v>
      </c>
      <c r="Y431" s="419" t="s">
        <v>2398</v>
      </c>
      <c r="Z431" t="str">
        <f>IFERROR(VLOOKUP(ROWS($Z$3:Z431),$X$3:$Y$992,2,0),"")</f>
        <v>Výroba osobního prádla</v>
      </c>
    </row>
    <row r="432" spans="13:26" ht="12.75">
      <c r="M432" s="418">
        <f>IF(ISNUMBER(SEARCH(ZAKL_DATA!$B$29,N432)),MAX($M$2:M431)+1,0)</f>
        <v>430</v>
      </c>
      <c r="N432" s="419" t="s">
        <v>2400</v>
      </c>
      <c r="O432" s="436" t="s">
        <v>2401</v>
      </c>
      <c r="P432" s="421"/>
      <c r="Q432" s="422" t="str">
        <f>IFERROR(VLOOKUP(ROWS($Q$3:Q432),$M$3:$N$992,2,0),"")</f>
        <v>Výroba ostatních oděvů a oděvních doplňků</v>
      </c>
      <c r="R432">
        <f>IF(ISNUMBER(SEARCH('1Př1'!$A$35,N432)),MAX($M$2:M431)+1,0)</f>
        <v>430</v>
      </c>
      <c r="S432" s="419" t="s">
        <v>2400</v>
      </c>
      <c r="T432" t="str">
        <f>IFERROR(VLOOKUP(ROWS($T$3:T432),$R$3:$S$992,2,0),"")</f>
        <v>Výroba ostatních oděvů a oděvních doplňků</v>
      </c>
      <c r="U432">
        <f>IF(ISNUMBER(SEARCH('1Př1'!$A$36,N432)),MAX($M$2:M431)+1,0)</f>
        <v>430</v>
      </c>
      <c r="V432" s="419" t="s">
        <v>2400</v>
      </c>
      <c r="W432" t="str">
        <f>IFERROR(VLOOKUP(ROWS($W$3:W432),$U$3:$V$992,2,0),"")</f>
        <v>Výroba ostatních oděvů a oděvních doplňků</v>
      </c>
      <c r="X432">
        <f>IF(ISNUMBER(SEARCH('1Př1'!$A$37,N432)),MAX($M$2:M431)+1,0)</f>
        <v>430</v>
      </c>
      <c r="Y432" s="419" t="s">
        <v>2400</v>
      </c>
      <c r="Z432" t="str">
        <f>IFERROR(VLOOKUP(ROWS($Z$3:Z432),$X$3:$Y$992,2,0),"")</f>
        <v>Výroba ostatních oděvů a oděvních doplňků</v>
      </c>
    </row>
    <row r="433" spans="13:26" ht="12.75">
      <c r="M433" s="418">
        <f>IF(ISNUMBER(SEARCH(ZAKL_DATA!$B$29,N433)),MAX($M$2:M432)+1,0)</f>
        <v>431</v>
      </c>
      <c r="N433" s="419" t="s">
        <v>2402</v>
      </c>
      <c r="O433" s="436" t="s">
        <v>2403</v>
      </c>
      <c r="P433" s="421"/>
      <c r="Q433" s="422" t="str">
        <f>IFERROR(VLOOKUP(ROWS($Q$3:Q433),$M$3:$N$992,2,0),"")</f>
        <v>Výroba pletených a háčkovaných punčochových výrobků</v>
      </c>
      <c r="R433">
        <f>IF(ISNUMBER(SEARCH('1Př1'!$A$35,N433)),MAX($M$2:M432)+1,0)</f>
        <v>431</v>
      </c>
      <c r="S433" s="419" t="s">
        <v>2402</v>
      </c>
      <c r="T433" t="str">
        <f>IFERROR(VLOOKUP(ROWS($T$3:T433),$R$3:$S$992,2,0),"")</f>
        <v>Výroba pletených a háčkovaných punčochových výrobků</v>
      </c>
      <c r="U433">
        <f>IF(ISNUMBER(SEARCH('1Př1'!$A$36,N433)),MAX($M$2:M432)+1,0)</f>
        <v>431</v>
      </c>
      <c r="V433" s="419" t="s">
        <v>2402</v>
      </c>
      <c r="W433" t="str">
        <f>IFERROR(VLOOKUP(ROWS($W$3:W433),$U$3:$V$992,2,0),"")</f>
        <v>Výroba pletených a háčkovaných punčochových výrobků</v>
      </c>
      <c r="X433">
        <f>IF(ISNUMBER(SEARCH('1Př1'!$A$37,N433)),MAX($M$2:M432)+1,0)</f>
        <v>431</v>
      </c>
      <c r="Y433" s="419" t="s">
        <v>2402</v>
      </c>
      <c r="Z433" t="str">
        <f>IFERROR(VLOOKUP(ROWS($Z$3:Z433),$X$3:$Y$992,2,0),"")</f>
        <v>Výroba pletených a háčkovaných punčochových výrobků</v>
      </c>
    </row>
    <row r="434" spans="13:26" ht="12.75">
      <c r="M434" s="418">
        <f>IF(ISNUMBER(SEARCH(ZAKL_DATA!$B$29,N434)),MAX($M$2:M433)+1,0)</f>
        <v>432</v>
      </c>
      <c r="N434" s="419" t="s">
        <v>2404</v>
      </c>
      <c r="O434" s="436" t="s">
        <v>2405</v>
      </c>
      <c r="P434" s="421"/>
      <c r="Q434" s="422" t="str">
        <f>IFERROR(VLOOKUP(ROWS($Q$3:Q434),$M$3:$N$992,2,0),"")</f>
        <v>Výroba ostatních pletených a háčkovaných oděvů</v>
      </c>
      <c r="R434">
        <f>IF(ISNUMBER(SEARCH('1Př1'!$A$35,N434)),MAX($M$2:M433)+1,0)</f>
        <v>432</v>
      </c>
      <c r="S434" s="419" t="s">
        <v>2404</v>
      </c>
      <c r="T434" t="str">
        <f>IFERROR(VLOOKUP(ROWS($T$3:T434),$R$3:$S$992,2,0),"")</f>
        <v>Výroba ostatních pletených a háčkovaných oděvů</v>
      </c>
      <c r="U434">
        <f>IF(ISNUMBER(SEARCH('1Př1'!$A$36,N434)),MAX($M$2:M433)+1,0)</f>
        <v>432</v>
      </c>
      <c r="V434" s="419" t="s">
        <v>2404</v>
      </c>
      <c r="W434" t="str">
        <f>IFERROR(VLOOKUP(ROWS($W$3:W434),$U$3:$V$992,2,0),"")</f>
        <v>Výroba ostatních pletených a háčkovaných oděvů</v>
      </c>
      <c r="X434">
        <f>IF(ISNUMBER(SEARCH('1Př1'!$A$37,N434)),MAX($M$2:M433)+1,0)</f>
        <v>432</v>
      </c>
      <c r="Y434" s="419" t="s">
        <v>2404</v>
      </c>
      <c r="Z434" t="str">
        <f>IFERROR(VLOOKUP(ROWS($Z$3:Z434),$X$3:$Y$992,2,0),"")</f>
        <v>Výroba ostatních pletených a háčkovaných oděvů</v>
      </c>
    </row>
    <row r="435" spans="13:26" ht="12.75">
      <c r="M435" s="418">
        <f>IF(ISNUMBER(SEARCH(ZAKL_DATA!$B$29,N435)),MAX($M$2:M434)+1,0)</f>
        <v>433</v>
      </c>
      <c r="N435" s="419" t="s">
        <v>2406</v>
      </c>
      <c r="O435" s="436" t="s">
        <v>2407</v>
      </c>
      <c r="P435" s="421"/>
      <c r="Q435" s="422" t="str">
        <f>IFERROR(VLOOKUP(ROWS($Q$3:Q435),$M$3:$N$992,2,0),"")</f>
        <v>Chov drobných hospodářských zvířat</v>
      </c>
      <c r="R435">
        <f>IF(ISNUMBER(SEARCH('1Př1'!$A$35,N435)),MAX($M$2:M434)+1,0)</f>
        <v>433</v>
      </c>
      <c r="S435" s="419" t="s">
        <v>2406</v>
      </c>
      <c r="T435" t="str">
        <f>IFERROR(VLOOKUP(ROWS($T$3:T435),$R$3:$S$992,2,0),"")</f>
        <v>Chov drobných hospodářských zvířat</v>
      </c>
      <c r="U435">
        <f>IF(ISNUMBER(SEARCH('1Př1'!$A$36,N435)),MAX($M$2:M434)+1,0)</f>
        <v>433</v>
      </c>
      <c r="V435" s="419" t="s">
        <v>2406</v>
      </c>
      <c r="W435" t="str">
        <f>IFERROR(VLOOKUP(ROWS($W$3:W435),$U$3:$V$992,2,0),"")</f>
        <v>Chov drobných hospodářských zvířat</v>
      </c>
      <c r="X435">
        <f>IF(ISNUMBER(SEARCH('1Př1'!$A$37,N435)),MAX($M$2:M434)+1,0)</f>
        <v>433</v>
      </c>
      <c r="Y435" s="419" t="s">
        <v>2406</v>
      </c>
      <c r="Z435" t="str">
        <f>IFERROR(VLOOKUP(ROWS($Z$3:Z435),$X$3:$Y$992,2,0),"")</f>
        <v>Chov drobných hospodářských zvířat</v>
      </c>
    </row>
    <row r="436" spans="13:26" ht="12.75">
      <c r="M436" s="418">
        <f>IF(ISNUMBER(SEARCH(ZAKL_DATA!$B$29,N436)),MAX($M$2:M435)+1,0)</f>
        <v>434</v>
      </c>
      <c r="N436" s="419" t="s">
        <v>2408</v>
      </c>
      <c r="O436" s="436" t="s">
        <v>2409</v>
      </c>
      <c r="P436" s="421"/>
      <c r="Q436" s="422" t="str">
        <f>IFERROR(VLOOKUP(ROWS($Q$3:Q436),$M$3:$N$992,2,0),"")</f>
        <v>Chov kožešinových zvířat</v>
      </c>
      <c r="R436">
        <f>IF(ISNUMBER(SEARCH('1Př1'!$A$35,N436)),MAX($M$2:M435)+1,0)</f>
        <v>434</v>
      </c>
      <c r="S436" s="419" t="s">
        <v>2408</v>
      </c>
      <c r="T436" t="str">
        <f>IFERROR(VLOOKUP(ROWS($T$3:T436),$R$3:$S$992,2,0),"")</f>
        <v>Chov kožešinových zvířat</v>
      </c>
      <c r="U436">
        <f>IF(ISNUMBER(SEARCH('1Př1'!$A$36,N436)),MAX($M$2:M435)+1,0)</f>
        <v>434</v>
      </c>
      <c r="V436" s="419" t="s">
        <v>2408</v>
      </c>
      <c r="W436" t="str">
        <f>IFERROR(VLOOKUP(ROWS($W$3:W436),$U$3:$V$992,2,0),"")</f>
        <v>Chov kožešinových zvířat</v>
      </c>
      <c r="X436">
        <f>IF(ISNUMBER(SEARCH('1Př1'!$A$37,N436)),MAX($M$2:M435)+1,0)</f>
        <v>434</v>
      </c>
      <c r="Y436" s="419" t="s">
        <v>2408</v>
      </c>
      <c r="Z436" t="str">
        <f>IFERROR(VLOOKUP(ROWS($Z$3:Z436),$X$3:$Y$992,2,0),"")</f>
        <v>Chov kožešinových zvířat</v>
      </c>
    </row>
    <row r="437" spans="13:26" ht="12.75">
      <c r="M437" s="418">
        <f>IF(ISNUMBER(SEARCH(ZAKL_DATA!$B$29,N437)),MAX($M$2:M436)+1,0)</f>
        <v>435</v>
      </c>
      <c r="N437" s="419" t="s">
        <v>2410</v>
      </c>
      <c r="O437" s="436" t="s">
        <v>2411</v>
      </c>
      <c r="P437" s="421"/>
      <c r="Q437" s="422" t="str">
        <f>IFERROR(VLOOKUP(ROWS($Q$3:Q437),$M$3:$N$992,2,0),"")</f>
        <v>Chov zvířat pro zájmový chov</v>
      </c>
      <c r="R437">
        <f>IF(ISNUMBER(SEARCH('1Př1'!$A$35,N437)),MAX($M$2:M436)+1,0)</f>
        <v>435</v>
      </c>
      <c r="S437" s="419" t="s">
        <v>2410</v>
      </c>
      <c r="T437" t="str">
        <f>IFERROR(VLOOKUP(ROWS($T$3:T437),$R$3:$S$992,2,0),"")</f>
        <v>Chov zvířat pro zájmový chov</v>
      </c>
      <c r="U437">
        <f>IF(ISNUMBER(SEARCH('1Př1'!$A$36,N437)),MAX($M$2:M436)+1,0)</f>
        <v>435</v>
      </c>
      <c r="V437" s="419" t="s">
        <v>2410</v>
      </c>
      <c r="W437" t="str">
        <f>IFERROR(VLOOKUP(ROWS($W$3:W437),$U$3:$V$992,2,0),"")</f>
        <v>Chov zvířat pro zájmový chov</v>
      </c>
      <c r="X437">
        <f>IF(ISNUMBER(SEARCH('1Př1'!$A$37,N437)),MAX($M$2:M436)+1,0)</f>
        <v>435</v>
      </c>
      <c r="Y437" s="419" t="s">
        <v>2410</v>
      </c>
      <c r="Z437" t="str">
        <f>IFERROR(VLOOKUP(ROWS($Z$3:Z437),$X$3:$Y$992,2,0),"")</f>
        <v>Chov zvířat pro zájmový chov</v>
      </c>
    </row>
    <row r="438" spans="13:26" ht="12.75">
      <c r="M438" s="418">
        <f>IF(ISNUMBER(SEARCH(ZAKL_DATA!$B$29,N438)),MAX($M$2:M437)+1,0)</f>
        <v>436</v>
      </c>
      <c r="N438" s="419" t="s">
        <v>2412</v>
      </c>
      <c r="O438" s="436" t="s">
        <v>2413</v>
      </c>
      <c r="P438" s="421"/>
      <c r="Q438" s="422" t="str">
        <f>IFERROR(VLOOKUP(ROWS($Q$3:Q438),$M$3:$N$992,2,0),"")</f>
        <v>Chov ostatních zvířat j. n.</v>
      </c>
      <c r="R438">
        <f>IF(ISNUMBER(SEARCH('1Př1'!$A$35,N438)),MAX($M$2:M437)+1,0)</f>
        <v>436</v>
      </c>
      <c r="S438" s="419" t="s">
        <v>2412</v>
      </c>
      <c r="T438" t="str">
        <f>IFERROR(VLOOKUP(ROWS($T$3:T438),$R$3:$S$992,2,0),"")</f>
        <v>Chov ostatních zvířat j. n.</v>
      </c>
      <c r="U438">
        <f>IF(ISNUMBER(SEARCH('1Př1'!$A$36,N438)),MAX($M$2:M437)+1,0)</f>
        <v>436</v>
      </c>
      <c r="V438" s="419" t="s">
        <v>2412</v>
      </c>
      <c r="W438" t="str">
        <f>IFERROR(VLOOKUP(ROWS($W$3:W438),$U$3:$V$992,2,0),"")</f>
        <v>Chov ostatních zvířat j. n.</v>
      </c>
      <c r="X438">
        <f>IF(ISNUMBER(SEARCH('1Př1'!$A$37,N438)),MAX($M$2:M437)+1,0)</f>
        <v>436</v>
      </c>
      <c r="Y438" s="419" t="s">
        <v>2412</v>
      </c>
      <c r="Z438" t="str">
        <f>IFERROR(VLOOKUP(ROWS($Z$3:Z438),$X$3:$Y$992,2,0),"")</f>
        <v>Chov ostatních zvířat j. n.</v>
      </c>
    </row>
    <row r="439" spans="13:26" ht="12.75">
      <c r="M439" s="418">
        <f>IF(ISNUMBER(SEARCH(ZAKL_DATA!$B$29,N439)),MAX($M$2:M438)+1,0)</f>
        <v>437</v>
      </c>
      <c r="N439" s="419" t="s">
        <v>2414</v>
      </c>
      <c r="O439" s="436" t="s">
        <v>2415</v>
      </c>
      <c r="P439" s="421"/>
      <c r="Q439" s="422" t="str">
        <f>IFERROR(VLOOKUP(ROWS($Q$3:Q439),$M$3:$N$992,2,0),"")</f>
        <v>Činění a úprava usní (vyčiněných kůží); zpracování a barvení kožešin</v>
      </c>
      <c r="R439">
        <f>IF(ISNUMBER(SEARCH('1Př1'!$A$35,N439)),MAX($M$2:M438)+1,0)</f>
        <v>437</v>
      </c>
      <c r="S439" s="419" t="s">
        <v>2414</v>
      </c>
      <c r="T439" t="str">
        <f>IFERROR(VLOOKUP(ROWS($T$3:T439),$R$3:$S$992,2,0),"")</f>
        <v>Činění a úprava usní (vyčiněných kůží); zpracování a barvení kožešin</v>
      </c>
      <c r="U439">
        <f>IF(ISNUMBER(SEARCH('1Př1'!$A$36,N439)),MAX($M$2:M438)+1,0)</f>
        <v>437</v>
      </c>
      <c r="V439" s="419" t="s">
        <v>2414</v>
      </c>
      <c r="W439" t="str">
        <f>IFERROR(VLOOKUP(ROWS($W$3:W439),$U$3:$V$992,2,0),"")</f>
        <v>Činění a úprava usní (vyčiněných kůží); zpracování a barvení kožešin</v>
      </c>
      <c r="X439">
        <f>IF(ISNUMBER(SEARCH('1Př1'!$A$37,N439)),MAX($M$2:M438)+1,0)</f>
        <v>437</v>
      </c>
      <c r="Y439" s="419" t="s">
        <v>2414</v>
      </c>
      <c r="Z439" t="str">
        <f>IFERROR(VLOOKUP(ROWS($Z$3:Z439),$X$3:$Y$992,2,0),"")</f>
        <v>Činění a úprava usní (vyčiněných kůží); zpracování a barvení kožešin</v>
      </c>
    </row>
    <row r="440" spans="13:26" ht="12.75">
      <c r="M440" s="418">
        <f>IF(ISNUMBER(SEARCH(ZAKL_DATA!$B$29,N440)),MAX($M$2:M439)+1,0)</f>
        <v>438</v>
      </c>
      <c r="N440" s="419" t="s">
        <v>2416</v>
      </c>
      <c r="O440" s="436" t="s">
        <v>2417</v>
      </c>
      <c r="P440" s="421"/>
      <c r="Q440" s="422" t="str">
        <f>IFERROR(VLOOKUP(ROWS($Q$3:Q440),$M$3:$N$992,2,0),"")</f>
        <v>Výroba brašnářských, sedlářských a podobných výrobků</v>
      </c>
      <c r="R440">
        <f>IF(ISNUMBER(SEARCH('1Př1'!$A$35,N440)),MAX($M$2:M439)+1,0)</f>
        <v>438</v>
      </c>
      <c r="S440" s="419" t="s">
        <v>2416</v>
      </c>
      <c r="T440" t="str">
        <f>IFERROR(VLOOKUP(ROWS($T$3:T440),$R$3:$S$992,2,0),"")</f>
        <v>Výroba brašnářských, sedlářských a podobných výrobků</v>
      </c>
      <c r="U440">
        <f>IF(ISNUMBER(SEARCH('1Př1'!$A$36,N440)),MAX($M$2:M439)+1,0)</f>
        <v>438</v>
      </c>
      <c r="V440" s="419" t="s">
        <v>2416</v>
      </c>
      <c r="W440" t="str">
        <f>IFERROR(VLOOKUP(ROWS($W$3:W440),$U$3:$V$992,2,0),"")</f>
        <v>Výroba brašnářských, sedlářských a podobných výrobků</v>
      </c>
      <c r="X440">
        <f>IF(ISNUMBER(SEARCH('1Př1'!$A$37,N440)),MAX($M$2:M439)+1,0)</f>
        <v>438</v>
      </c>
      <c r="Y440" s="419" t="s">
        <v>2416</v>
      </c>
      <c r="Z440" t="str">
        <f>IFERROR(VLOOKUP(ROWS($Z$3:Z440),$X$3:$Y$992,2,0),"")</f>
        <v>Výroba brašnářských, sedlářských a podobných výrobků</v>
      </c>
    </row>
    <row r="441" spans="13:26" ht="12.75">
      <c r="M441" s="418">
        <f>IF(ISNUMBER(SEARCH(ZAKL_DATA!$B$29,N441)),MAX($M$2:M440)+1,0)</f>
        <v>439</v>
      </c>
      <c r="N441" s="419" t="s">
        <v>2418</v>
      </c>
      <c r="O441" s="436" t="s">
        <v>2419</v>
      </c>
      <c r="P441" s="421"/>
      <c r="Q441" s="422" t="str">
        <f>IFERROR(VLOOKUP(ROWS($Q$3:Q441),$M$3:$N$992,2,0),"")</f>
        <v>Výroba dýh a desek na bázi dřeva</v>
      </c>
      <c r="R441">
        <f>IF(ISNUMBER(SEARCH('1Př1'!$A$35,N441)),MAX($M$2:M440)+1,0)</f>
        <v>439</v>
      </c>
      <c r="S441" s="419" t="s">
        <v>2418</v>
      </c>
      <c r="T441" t="str">
        <f>IFERROR(VLOOKUP(ROWS($T$3:T441),$R$3:$S$992,2,0),"")</f>
        <v>Výroba dýh a desek na bázi dřeva</v>
      </c>
      <c r="U441">
        <f>IF(ISNUMBER(SEARCH('1Př1'!$A$36,N441)),MAX($M$2:M440)+1,0)</f>
        <v>439</v>
      </c>
      <c r="V441" s="419" t="s">
        <v>2418</v>
      </c>
      <c r="W441" t="str">
        <f>IFERROR(VLOOKUP(ROWS($W$3:W441),$U$3:$V$992,2,0),"")</f>
        <v>Výroba dýh a desek na bázi dřeva</v>
      </c>
      <c r="X441">
        <f>IF(ISNUMBER(SEARCH('1Př1'!$A$37,N441)),MAX($M$2:M440)+1,0)</f>
        <v>439</v>
      </c>
      <c r="Y441" s="419" t="s">
        <v>2418</v>
      </c>
      <c r="Z441" t="str">
        <f>IFERROR(VLOOKUP(ROWS($Z$3:Z441),$X$3:$Y$992,2,0),"")</f>
        <v>Výroba dýh a desek na bázi dřeva</v>
      </c>
    </row>
    <row r="442" spans="13:26" ht="12.75">
      <c r="M442" s="418">
        <f>IF(ISNUMBER(SEARCH(ZAKL_DATA!$B$29,N442)),MAX($M$2:M441)+1,0)</f>
        <v>440</v>
      </c>
      <c r="N442" s="419" t="s">
        <v>2420</v>
      </c>
      <c r="O442" s="436" t="s">
        <v>2421</v>
      </c>
      <c r="P442" s="421"/>
      <c r="Q442" s="422" t="str">
        <f>IFERROR(VLOOKUP(ROWS($Q$3:Q442),$M$3:$N$992,2,0),"")</f>
        <v>Výroba sestavených parketových podlah</v>
      </c>
      <c r="R442">
        <f>IF(ISNUMBER(SEARCH('1Př1'!$A$35,N442)),MAX($M$2:M441)+1,0)</f>
        <v>440</v>
      </c>
      <c r="S442" s="419" t="s">
        <v>2420</v>
      </c>
      <c r="T442" t="str">
        <f>IFERROR(VLOOKUP(ROWS($T$3:T442),$R$3:$S$992,2,0),"")</f>
        <v>Výroba sestavených parketových podlah</v>
      </c>
      <c r="U442">
        <f>IF(ISNUMBER(SEARCH('1Př1'!$A$36,N442)),MAX($M$2:M441)+1,0)</f>
        <v>440</v>
      </c>
      <c r="V442" s="419" t="s">
        <v>2420</v>
      </c>
      <c r="W442" t="str">
        <f>IFERROR(VLOOKUP(ROWS($W$3:W442),$U$3:$V$992,2,0),"")</f>
        <v>Výroba sestavených parketových podlah</v>
      </c>
      <c r="X442">
        <f>IF(ISNUMBER(SEARCH('1Př1'!$A$37,N442)),MAX($M$2:M441)+1,0)</f>
        <v>440</v>
      </c>
      <c r="Y442" s="419" t="s">
        <v>2420</v>
      </c>
      <c r="Z442" t="str">
        <f>IFERROR(VLOOKUP(ROWS($Z$3:Z442),$X$3:$Y$992,2,0),"")</f>
        <v>Výroba sestavených parketových podlah</v>
      </c>
    </row>
    <row r="443" spans="13:26" ht="12.75">
      <c r="M443" s="418">
        <f>IF(ISNUMBER(SEARCH(ZAKL_DATA!$B$29,N443)),MAX($M$2:M442)+1,0)</f>
        <v>441</v>
      </c>
      <c r="N443" s="419" t="s">
        <v>2422</v>
      </c>
      <c r="O443" s="436" t="s">
        <v>2423</v>
      </c>
      <c r="P443" s="421"/>
      <c r="Q443" s="422" t="str">
        <f>IFERROR(VLOOKUP(ROWS($Q$3:Q443),$M$3:$N$992,2,0),"")</f>
        <v>Výroba ostatních výrobků stavebního truhlářství a tesařství</v>
      </c>
      <c r="R443">
        <f>IF(ISNUMBER(SEARCH('1Př1'!$A$35,N443)),MAX($M$2:M442)+1,0)</f>
        <v>441</v>
      </c>
      <c r="S443" s="419" t="s">
        <v>2422</v>
      </c>
      <c r="T443" t="str">
        <f>IFERROR(VLOOKUP(ROWS($T$3:T443),$R$3:$S$992,2,0),"")</f>
        <v>Výroba ostatních výrobků stavebního truhlářství a tesařství</v>
      </c>
      <c r="U443">
        <f>IF(ISNUMBER(SEARCH('1Př1'!$A$36,N443)),MAX($M$2:M442)+1,0)</f>
        <v>441</v>
      </c>
      <c r="V443" s="419" t="s">
        <v>2422</v>
      </c>
      <c r="W443" t="str">
        <f>IFERROR(VLOOKUP(ROWS($W$3:W443),$U$3:$V$992,2,0),"")</f>
        <v>Výroba ostatních výrobků stavebního truhlářství a tesařství</v>
      </c>
      <c r="X443">
        <f>IF(ISNUMBER(SEARCH('1Př1'!$A$37,N443)),MAX($M$2:M442)+1,0)</f>
        <v>441</v>
      </c>
      <c r="Y443" s="419" t="s">
        <v>2422</v>
      </c>
      <c r="Z443" t="str">
        <f>IFERROR(VLOOKUP(ROWS($Z$3:Z443),$X$3:$Y$992,2,0),"")</f>
        <v>Výroba ostatních výrobků stavebního truhlářství a tesařství</v>
      </c>
    </row>
    <row r="444" spans="13:26" ht="12.75">
      <c r="M444" s="418">
        <f>IF(ISNUMBER(SEARCH(ZAKL_DATA!$B$29,N444)),MAX($M$2:M443)+1,0)</f>
        <v>442</v>
      </c>
      <c r="N444" s="419" t="s">
        <v>2424</v>
      </c>
      <c r="O444" s="436" t="s">
        <v>2425</v>
      </c>
      <c r="P444" s="421"/>
      <c r="Q444" s="422" t="str">
        <f>IFERROR(VLOOKUP(ROWS($Q$3:Q444),$M$3:$N$992,2,0),"")</f>
        <v>Výroba dřevěných obalů</v>
      </c>
      <c r="R444">
        <f>IF(ISNUMBER(SEARCH('1Př1'!$A$35,N444)),MAX($M$2:M443)+1,0)</f>
        <v>442</v>
      </c>
      <c r="S444" s="419" t="s">
        <v>2424</v>
      </c>
      <c r="T444" t="str">
        <f>IFERROR(VLOOKUP(ROWS($T$3:T444),$R$3:$S$992,2,0),"")</f>
        <v>Výroba dřevěných obalů</v>
      </c>
      <c r="U444">
        <f>IF(ISNUMBER(SEARCH('1Př1'!$A$36,N444)),MAX($M$2:M443)+1,0)</f>
        <v>442</v>
      </c>
      <c r="V444" s="419" t="s">
        <v>2424</v>
      </c>
      <c r="W444" t="str">
        <f>IFERROR(VLOOKUP(ROWS($W$3:W444),$U$3:$V$992,2,0),"")</f>
        <v>Výroba dřevěných obalů</v>
      </c>
      <c r="X444">
        <f>IF(ISNUMBER(SEARCH('1Př1'!$A$37,N444)),MAX($M$2:M443)+1,0)</f>
        <v>442</v>
      </c>
      <c r="Y444" s="419" t="s">
        <v>2424</v>
      </c>
      <c r="Z444" t="str">
        <f>IFERROR(VLOOKUP(ROWS($Z$3:Z444),$X$3:$Y$992,2,0),"")</f>
        <v>Výroba dřevěných obalů</v>
      </c>
    </row>
    <row r="445" spans="13:26" ht="12.75">
      <c r="M445" s="418">
        <f>IF(ISNUMBER(SEARCH(ZAKL_DATA!$B$29,N445)),MAX($M$2:M444)+1,0)</f>
        <v>443</v>
      </c>
      <c r="N445" s="419" t="s">
        <v>2426</v>
      </c>
      <c r="O445" s="436" t="s">
        <v>2427</v>
      </c>
      <c r="P445" s="421"/>
      <c r="Q445" s="422" t="str">
        <f>IFERROR(VLOOKUP(ROWS($Q$3:Q445),$M$3:$N$992,2,0),"")</f>
        <v>Výroba ost.dřevěných,korkových,proutěných a slaměných výr.,kromě nábytku</v>
      </c>
      <c r="R445">
        <f>IF(ISNUMBER(SEARCH('1Př1'!$A$35,N445)),MAX($M$2:M444)+1,0)</f>
        <v>443</v>
      </c>
      <c r="S445" s="419" t="s">
        <v>2426</v>
      </c>
      <c r="T445" t="str">
        <f>IFERROR(VLOOKUP(ROWS($T$3:T445),$R$3:$S$992,2,0),"")</f>
        <v>Výroba ost.dřevěných,korkových,proutěných a slaměných výr.,kromě nábytku</v>
      </c>
      <c r="U445">
        <f>IF(ISNUMBER(SEARCH('1Př1'!$A$36,N445)),MAX($M$2:M444)+1,0)</f>
        <v>443</v>
      </c>
      <c r="V445" s="419" t="s">
        <v>2426</v>
      </c>
      <c r="W445" t="str">
        <f>IFERROR(VLOOKUP(ROWS($W$3:W445),$U$3:$V$992,2,0),"")</f>
        <v>Výroba ost.dřevěných,korkových,proutěných a slaměných výr.,kromě nábytku</v>
      </c>
      <c r="X445">
        <f>IF(ISNUMBER(SEARCH('1Př1'!$A$37,N445)),MAX($M$2:M444)+1,0)</f>
        <v>443</v>
      </c>
      <c r="Y445" s="419" t="s">
        <v>2426</v>
      </c>
      <c r="Z445" t="str">
        <f>IFERROR(VLOOKUP(ROWS($Z$3:Z445),$X$3:$Y$992,2,0),"")</f>
        <v>Výroba ost.dřevěných,korkových,proutěných a slaměných výr.,kromě nábytku</v>
      </c>
    </row>
    <row r="446" spans="13:26" ht="12.75">
      <c r="M446" s="418">
        <f>IF(ISNUMBER(SEARCH(ZAKL_DATA!$B$29,N446)),MAX($M$2:M445)+1,0)</f>
        <v>444</v>
      </c>
      <c r="N446" s="419" t="s">
        <v>2428</v>
      </c>
      <c r="O446" s="436" t="s">
        <v>2429</v>
      </c>
      <c r="P446" s="421"/>
      <c r="Q446" s="422" t="str">
        <f>IFERROR(VLOOKUP(ROWS($Q$3:Q446),$M$3:$N$992,2,0),"")</f>
        <v>Výroba buničiny</v>
      </c>
      <c r="R446">
        <f>IF(ISNUMBER(SEARCH('1Př1'!$A$35,N446)),MAX($M$2:M445)+1,0)</f>
        <v>444</v>
      </c>
      <c r="S446" s="419" t="s">
        <v>2428</v>
      </c>
      <c r="T446" t="str">
        <f>IFERROR(VLOOKUP(ROWS($T$3:T446),$R$3:$S$992,2,0),"")</f>
        <v>Výroba buničiny</v>
      </c>
      <c r="U446">
        <f>IF(ISNUMBER(SEARCH('1Př1'!$A$36,N446)),MAX($M$2:M445)+1,0)</f>
        <v>444</v>
      </c>
      <c r="V446" s="419" t="s">
        <v>2428</v>
      </c>
      <c r="W446" t="str">
        <f>IFERROR(VLOOKUP(ROWS($W$3:W446),$U$3:$V$992,2,0),"")</f>
        <v>Výroba buničiny</v>
      </c>
      <c r="X446">
        <f>IF(ISNUMBER(SEARCH('1Př1'!$A$37,N446)),MAX($M$2:M445)+1,0)</f>
        <v>444</v>
      </c>
      <c r="Y446" s="419" t="s">
        <v>2428</v>
      </c>
      <c r="Z446" t="str">
        <f>IFERROR(VLOOKUP(ROWS($Z$3:Z446),$X$3:$Y$992,2,0),"")</f>
        <v>Výroba buničiny</v>
      </c>
    </row>
    <row r="447" spans="13:26" ht="12.75">
      <c r="M447" s="418">
        <f>IF(ISNUMBER(SEARCH(ZAKL_DATA!$B$29,N447)),MAX($M$2:M446)+1,0)</f>
        <v>445</v>
      </c>
      <c r="N447" s="419" t="s">
        <v>2430</v>
      </c>
      <c r="O447" s="436" t="s">
        <v>2431</v>
      </c>
      <c r="P447" s="421"/>
      <c r="Q447" s="422" t="str">
        <f>IFERROR(VLOOKUP(ROWS($Q$3:Q447),$M$3:$N$992,2,0),"")</f>
        <v>Výroba papíru a lepenky</v>
      </c>
      <c r="R447">
        <f>IF(ISNUMBER(SEARCH('1Př1'!$A$35,N447)),MAX($M$2:M446)+1,0)</f>
        <v>445</v>
      </c>
      <c r="S447" s="419" t="s">
        <v>2430</v>
      </c>
      <c r="T447" t="str">
        <f>IFERROR(VLOOKUP(ROWS($T$3:T447),$R$3:$S$992,2,0),"")</f>
        <v>Výroba papíru a lepenky</v>
      </c>
      <c r="U447">
        <f>IF(ISNUMBER(SEARCH('1Př1'!$A$36,N447)),MAX($M$2:M446)+1,0)</f>
        <v>445</v>
      </c>
      <c r="V447" s="419" t="s">
        <v>2430</v>
      </c>
      <c r="W447" t="str">
        <f>IFERROR(VLOOKUP(ROWS($W$3:W447),$U$3:$V$992,2,0),"")</f>
        <v>Výroba papíru a lepenky</v>
      </c>
      <c r="X447">
        <f>IF(ISNUMBER(SEARCH('1Př1'!$A$37,N447)),MAX($M$2:M446)+1,0)</f>
        <v>445</v>
      </c>
      <c r="Y447" s="419" t="s">
        <v>2430</v>
      </c>
      <c r="Z447" t="str">
        <f>IFERROR(VLOOKUP(ROWS($Z$3:Z447),$X$3:$Y$992,2,0),"")</f>
        <v>Výroba papíru a lepenky</v>
      </c>
    </row>
    <row r="448" spans="13:26" ht="12.75">
      <c r="M448" s="418">
        <f>IF(ISNUMBER(SEARCH(ZAKL_DATA!$B$29,N448)),MAX($M$2:M447)+1,0)</f>
        <v>446</v>
      </c>
      <c r="N448" s="419" t="s">
        <v>2432</v>
      </c>
      <c r="O448" s="436" t="s">
        <v>2433</v>
      </c>
      <c r="P448" s="421"/>
      <c r="Q448" s="422" t="str">
        <f>IFERROR(VLOOKUP(ROWS($Q$3:Q448),$M$3:$N$992,2,0),"")</f>
        <v>Výroba vlnitého papíru a lepenky, papírových a lepenkových obalů</v>
      </c>
      <c r="R448">
        <f>IF(ISNUMBER(SEARCH('1Př1'!$A$35,N448)),MAX($M$2:M447)+1,0)</f>
        <v>446</v>
      </c>
      <c r="S448" s="419" t="s">
        <v>2432</v>
      </c>
      <c r="T448" t="str">
        <f>IFERROR(VLOOKUP(ROWS($T$3:T448),$R$3:$S$992,2,0),"")</f>
        <v>Výroba vlnitého papíru a lepenky, papírových a lepenkových obalů</v>
      </c>
      <c r="U448">
        <f>IF(ISNUMBER(SEARCH('1Př1'!$A$36,N448)),MAX($M$2:M447)+1,0)</f>
        <v>446</v>
      </c>
      <c r="V448" s="419" t="s">
        <v>2432</v>
      </c>
      <c r="W448" t="str">
        <f>IFERROR(VLOOKUP(ROWS($W$3:W448),$U$3:$V$992,2,0),"")</f>
        <v>Výroba vlnitého papíru a lepenky, papírových a lepenkových obalů</v>
      </c>
      <c r="X448">
        <f>IF(ISNUMBER(SEARCH('1Př1'!$A$37,N448)),MAX($M$2:M447)+1,0)</f>
        <v>446</v>
      </c>
      <c r="Y448" s="419" t="s">
        <v>2432</v>
      </c>
      <c r="Z448" t="str">
        <f>IFERROR(VLOOKUP(ROWS($Z$3:Z448),$X$3:$Y$992,2,0),"")</f>
        <v>Výroba vlnitého papíru a lepenky, papírových a lepenkových obalů</v>
      </c>
    </row>
    <row r="449" spans="13:26" ht="12.75">
      <c r="M449" s="418">
        <f>IF(ISNUMBER(SEARCH(ZAKL_DATA!$B$29,N449)),MAX($M$2:M448)+1,0)</f>
        <v>447</v>
      </c>
      <c r="N449" s="419" t="s">
        <v>2434</v>
      </c>
      <c r="O449" s="436" t="s">
        <v>2435</v>
      </c>
      <c r="P449" s="421"/>
      <c r="Q449" s="422" t="str">
        <f>IFERROR(VLOOKUP(ROWS($Q$3:Q449),$M$3:$N$992,2,0),"")</f>
        <v>Výroba domácích potřeb, hygienických a toaletních výrobků z papíru</v>
      </c>
      <c r="R449">
        <f>IF(ISNUMBER(SEARCH('1Př1'!$A$35,N449)),MAX($M$2:M448)+1,0)</f>
        <v>447</v>
      </c>
      <c r="S449" s="419" t="s">
        <v>2434</v>
      </c>
      <c r="T449" t="str">
        <f>IFERROR(VLOOKUP(ROWS($T$3:T449),$R$3:$S$992,2,0),"")</f>
        <v>Výroba domácích potřeb, hygienických a toaletních výrobků z papíru</v>
      </c>
      <c r="U449">
        <f>IF(ISNUMBER(SEARCH('1Př1'!$A$36,N449)),MAX($M$2:M448)+1,0)</f>
        <v>447</v>
      </c>
      <c r="V449" s="419" t="s">
        <v>2434</v>
      </c>
      <c r="W449" t="str">
        <f>IFERROR(VLOOKUP(ROWS($W$3:W449),$U$3:$V$992,2,0),"")</f>
        <v>Výroba domácích potřeb, hygienických a toaletních výrobků z papíru</v>
      </c>
      <c r="X449">
        <f>IF(ISNUMBER(SEARCH('1Př1'!$A$37,N449)),MAX($M$2:M448)+1,0)</f>
        <v>447</v>
      </c>
      <c r="Y449" s="419" t="s">
        <v>2434</v>
      </c>
      <c r="Z449" t="str">
        <f>IFERROR(VLOOKUP(ROWS($Z$3:Z449),$X$3:$Y$992,2,0),"")</f>
        <v>Výroba domácích potřeb, hygienických a toaletních výrobků z papíru</v>
      </c>
    </row>
    <row r="450" spans="13:26" ht="12.75">
      <c r="M450" s="418">
        <f>IF(ISNUMBER(SEARCH(ZAKL_DATA!$B$29,N450)),MAX($M$2:M449)+1,0)</f>
        <v>448</v>
      </c>
      <c r="N450" s="419" t="s">
        <v>2436</v>
      </c>
      <c r="O450" s="436" t="s">
        <v>2437</v>
      </c>
      <c r="P450" s="421"/>
      <c r="Q450" s="422" t="str">
        <f>IFERROR(VLOOKUP(ROWS($Q$3:Q450),$M$3:$N$992,2,0),"")</f>
        <v>Výroba kancelářských potřeb z papíru</v>
      </c>
      <c r="R450">
        <f>IF(ISNUMBER(SEARCH('1Př1'!$A$35,N450)),MAX($M$2:M449)+1,0)</f>
        <v>448</v>
      </c>
      <c r="S450" s="419" t="s">
        <v>2436</v>
      </c>
      <c r="T450" t="str">
        <f>IFERROR(VLOOKUP(ROWS($T$3:T450),$R$3:$S$992,2,0),"")</f>
        <v>Výroba kancelářských potřeb z papíru</v>
      </c>
      <c r="U450">
        <f>IF(ISNUMBER(SEARCH('1Př1'!$A$36,N450)),MAX($M$2:M449)+1,0)</f>
        <v>448</v>
      </c>
      <c r="V450" s="419" t="s">
        <v>2436</v>
      </c>
      <c r="W450" t="str">
        <f>IFERROR(VLOOKUP(ROWS($W$3:W450),$U$3:$V$992,2,0),"")</f>
        <v>Výroba kancelářských potřeb z papíru</v>
      </c>
      <c r="X450">
        <f>IF(ISNUMBER(SEARCH('1Př1'!$A$37,N450)),MAX($M$2:M449)+1,0)</f>
        <v>448</v>
      </c>
      <c r="Y450" s="419" t="s">
        <v>2436</v>
      </c>
      <c r="Z450" t="str">
        <f>IFERROR(VLOOKUP(ROWS($Z$3:Z450),$X$3:$Y$992,2,0),"")</f>
        <v>Výroba kancelářských potřeb z papíru</v>
      </c>
    </row>
    <row r="451" spans="13:26" ht="12.75">
      <c r="M451" s="418">
        <f>IF(ISNUMBER(SEARCH(ZAKL_DATA!$B$29,N451)),MAX($M$2:M450)+1,0)</f>
        <v>449</v>
      </c>
      <c r="N451" s="419" t="s">
        <v>2438</v>
      </c>
      <c r="O451" s="436" t="s">
        <v>2439</v>
      </c>
      <c r="P451" s="421"/>
      <c r="Q451" s="422" t="str">
        <f>IFERROR(VLOOKUP(ROWS($Q$3:Q451),$M$3:$N$992,2,0),"")</f>
        <v>Výroba tapet</v>
      </c>
      <c r="R451">
        <f>IF(ISNUMBER(SEARCH('1Př1'!$A$35,N451)),MAX($M$2:M450)+1,0)</f>
        <v>449</v>
      </c>
      <c r="S451" s="419" t="s">
        <v>2438</v>
      </c>
      <c r="T451" t="str">
        <f>IFERROR(VLOOKUP(ROWS($T$3:T451),$R$3:$S$992,2,0),"")</f>
        <v>Výroba tapet</v>
      </c>
      <c r="U451">
        <f>IF(ISNUMBER(SEARCH('1Př1'!$A$36,N451)),MAX($M$2:M450)+1,0)</f>
        <v>449</v>
      </c>
      <c r="V451" s="419" t="s">
        <v>2438</v>
      </c>
      <c r="W451" t="str">
        <f>IFERROR(VLOOKUP(ROWS($W$3:W451),$U$3:$V$992,2,0),"")</f>
        <v>Výroba tapet</v>
      </c>
      <c r="X451">
        <f>IF(ISNUMBER(SEARCH('1Př1'!$A$37,N451)),MAX($M$2:M450)+1,0)</f>
        <v>449</v>
      </c>
      <c r="Y451" s="419" t="s">
        <v>2438</v>
      </c>
      <c r="Z451" t="str">
        <f>IFERROR(VLOOKUP(ROWS($Z$3:Z451),$X$3:$Y$992,2,0),"")</f>
        <v>Výroba tapet</v>
      </c>
    </row>
    <row r="452" spans="13:26" ht="12.75">
      <c r="M452" s="418">
        <f>IF(ISNUMBER(SEARCH(ZAKL_DATA!$B$29,N452)),MAX($M$2:M451)+1,0)</f>
        <v>450</v>
      </c>
      <c r="N452" s="419" t="s">
        <v>2440</v>
      </c>
      <c r="O452" s="436" t="s">
        <v>2441</v>
      </c>
      <c r="P452" s="421"/>
      <c r="Q452" s="422" t="str">
        <f>IFERROR(VLOOKUP(ROWS($Q$3:Q452),$M$3:$N$992,2,0),"")</f>
        <v>Výroba ostatních výrobků z papíru a lepenky</v>
      </c>
      <c r="R452">
        <f>IF(ISNUMBER(SEARCH('1Př1'!$A$35,N452)),MAX($M$2:M451)+1,0)</f>
        <v>450</v>
      </c>
      <c r="S452" s="419" t="s">
        <v>2440</v>
      </c>
      <c r="T452" t="str">
        <f>IFERROR(VLOOKUP(ROWS($T$3:T452),$R$3:$S$992,2,0),"")</f>
        <v>Výroba ostatních výrobků z papíru a lepenky</v>
      </c>
      <c r="U452">
        <f>IF(ISNUMBER(SEARCH('1Př1'!$A$36,N452)),MAX($M$2:M451)+1,0)</f>
        <v>450</v>
      </c>
      <c r="V452" s="419" t="s">
        <v>2440</v>
      </c>
      <c r="W452" t="str">
        <f>IFERROR(VLOOKUP(ROWS($W$3:W452),$U$3:$V$992,2,0),"")</f>
        <v>Výroba ostatních výrobků z papíru a lepenky</v>
      </c>
      <c r="X452">
        <f>IF(ISNUMBER(SEARCH('1Př1'!$A$37,N452)),MAX($M$2:M451)+1,0)</f>
        <v>450</v>
      </c>
      <c r="Y452" s="419" t="s">
        <v>2440</v>
      </c>
      <c r="Z452" t="str">
        <f>IFERROR(VLOOKUP(ROWS($Z$3:Z452),$X$3:$Y$992,2,0),"")</f>
        <v>Výroba ostatních výrobků z papíru a lepenky</v>
      </c>
    </row>
    <row r="453" spans="13:26" ht="12.75">
      <c r="M453" s="418">
        <f>IF(ISNUMBER(SEARCH(ZAKL_DATA!$B$29,N453)),MAX($M$2:M452)+1,0)</f>
        <v>451</v>
      </c>
      <c r="N453" s="419" t="s">
        <v>2442</v>
      </c>
      <c r="O453" s="436" t="s">
        <v>2443</v>
      </c>
      <c r="P453" s="421"/>
      <c r="Q453" s="422" t="str">
        <f>IFERROR(VLOOKUP(ROWS($Q$3:Q453),$M$3:$N$992,2,0),"")</f>
        <v>Tisk novin</v>
      </c>
      <c r="R453">
        <f>IF(ISNUMBER(SEARCH('1Př1'!$A$35,N453)),MAX($M$2:M452)+1,0)</f>
        <v>451</v>
      </c>
      <c r="S453" s="419" t="s">
        <v>2442</v>
      </c>
      <c r="T453" t="str">
        <f>IFERROR(VLOOKUP(ROWS($T$3:T453),$R$3:$S$992,2,0),"")</f>
        <v>Tisk novin</v>
      </c>
      <c r="U453">
        <f>IF(ISNUMBER(SEARCH('1Př1'!$A$36,N453)),MAX($M$2:M452)+1,0)</f>
        <v>451</v>
      </c>
      <c r="V453" s="419" t="s">
        <v>2442</v>
      </c>
      <c r="W453" t="str">
        <f>IFERROR(VLOOKUP(ROWS($W$3:W453),$U$3:$V$992,2,0),"")</f>
        <v>Tisk novin</v>
      </c>
      <c r="X453">
        <f>IF(ISNUMBER(SEARCH('1Př1'!$A$37,N453)),MAX($M$2:M452)+1,0)</f>
        <v>451</v>
      </c>
      <c r="Y453" s="419" t="s">
        <v>2442</v>
      </c>
      <c r="Z453" t="str">
        <f>IFERROR(VLOOKUP(ROWS($Z$3:Z453),$X$3:$Y$992,2,0),"")</f>
        <v>Tisk novin</v>
      </c>
    </row>
    <row r="454" spans="13:26" ht="12.75">
      <c r="M454" s="418">
        <f>IF(ISNUMBER(SEARCH(ZAKL_DATA!$B$29,N454)),MAX($M$2:M453)+1,0)</f>
        <v>452</v>
      </c>
      <c r="N454" s="419" t="s">
        <v>2444</v>
      </c>
      <c r="O454" s="436" t="s">
        <v>2445</v>
      </c>
      <c r="P454" s="421"/>
      <c r="Q454" s="422" t="str">
        <f>IFERROR(VLOOKUP(ROWS($Q$3:Q454),$M$3:$N$992,2,0),"")</f>
        <v>Tisk ostatní, kromě novin</v>
      </c>
      <c r="R454">
        <f>IF(ISNUMBER(SEARCH('1Př1'!$A$35,N454)),MAX($M$2:M453)+1,0)</f>
        <v>452</v>
      </c>
      <c r="S454" s="419" t="s">
        <v>2444</v>
      </c>
      <c r="T454" t="str">
        <f>IFERROR(VLOOKUP(ROWS($T$3:T454),$R$3:$S$992,2,0),"")</f>
        <v>Tisk ostatní, kromě novin</v>
      </c>
      <c r="U454">
        <f>IF(ISNUMBER(SEARCH('1Př1'!$A$36,N454)),MAX($M$2:M453)+1,0)</f>
        <v>452</v>
      </c>
      <c r="V454" s="419" t="s">
        <v>2444</v>
      </c>
      <c r="W454" t="str">
        <f>IFERROR(VLOOKUP(ROWS($W$3:W454),$U$3:$V$992,2,0),"")</f>
        <v>Tisk ostatní, kromě novin</v>
      </c>
      <c r="X454">
        <f>IF(ISNUMBER(SEARCH('1Př1'!$A$37,N454)),MAX($M$2:M453)+1,0)</f>
        <v>452</v>
      </c>
      <c r="Y454" s="419" t="s">
        <v>2444</v>
      </c>
      <c r="Z454" t="str">
        <f>IFERROR(VLOOKUP(ROWS($Z$3:Z454),$X$3:$Y$992,2,0),"")</f>
        <v>Tisk ostatní, kromě novin</v>
      </c>
    </row>
    <row r="455" spans="13:26" ht="12.75">
      <c r="M455" s="418">
        <f>IF(ISNUMBER(SEARCH(ZAKL_DATA!$B$29,N455)),MAX($M$2:M454)+1,0)</f>
        <v>453</v>
      </c>
      <c r="N455" s="419" t="s">
        <v>2446</v>
      </c>
      <c r="O455" s="436" t="s">
        <v>2447</v>
      </c>
      <c r="P455" s="421"/>
      <c r="Q455" s="422" t="str">
        <f>IFERROR(VLOOKUP(ROWS($Q$3:Q455),$M$3:$N$992,2,0),"")</f>
        <v>Příprava tisku a digitálních dat</v>
      </c>
      <c r="R455">
        <f>IF(ISNUMBER(SEARCH('1Př1'!$A$35,N455)),MAX($M$2:M454)+1,0)</f>
        <v>453</v>
      </c>
      <c r="S455" s="419" t="s">
        <v>2446</v>
      </c>
      <c r="T455" t="str">
        <f>IFERROR(VLOOKUP(ROWS($T$3:T455),$R$3:$S$992,2,0),"")</f>
        <v>Příprava tisku a digitálních dat</v>
      </c>
      <c r="U455">
        <f>IF(ISNUMBER(SEARCH('1Př1'!$A$36,N455)),MAX($M$2:M454)+1,0)</f>
        <v>453</v>
      </c>
      <c r="V455" s="419" t="s">
        <v>2446</v>
      </c>
      <c r="W455" t="str">
        <f>IFERROR(VLOOKUP(ROWS($W$3:W455),$U$3:$V$992,2,0),"")</f>
        <v>Příprava tisku a digitálních dat</v>
      </c>
      <c r="X455">
        <f>IF(ISNUMBER(SEARCH('1Př1'!$A$37,N455)),MAX($M$2:M454)+1,0)</f>
        <v>453</v>
      </c>
      <c r="Y455" s="419" t="s">
        <v>2446</v>
      </c>
      <c r="Z455" t="str">
        <f>IFERROR(VLOOKUP(ROWS($Z$3:Z455),$X$3:$Y$992,2,0),"")</f>
        <v>Příprava tisku a digitálních dat</v>
      </c>
    </row>
    <row r="456" spans="13:26" ht="12.75">
      <c r="M456" s="418">
        <f>IF(ISNUMBER(SEARCH(ZAKL_DATA!$B$29,N456)),MAX($M$2:M455)+1,0)</f>
        <v>454</v>
      </c>
      <c r="N456" s="419" t="s">
        <v>2448</v>
      </c>
      <c r="O456" s="436" t="s">
        <v>2449</v>
      </c>
      <c r="P456" s="421"/>
      <c r="Q456" s="422" t="str">
        <f>IFERROR(VLOOKUP(ROWS($Q$3:Q456),$M$3:$N$992,2,0),"")</f>
        <v>Vázání a související činnosti</v>
      </c>
      <c r="R456">
        <f>IF(ISNUMBER(SEARCH('1Př1'!$A$35,N456)),MAX($M$2:M455)+1,0)</f>
        <v>454</v>
      </c>
      <c r="S456" s="419" t="s">
        <v>2448</v>
      </c>
      <c r="T456" t="str">
        <f>IFERROR(VLOOKUP(ROWS($T$3:T456),$R$3:$S$992,2,0),"")</f>
        <v>Vázání a související činnosti</v>
      </c>
      <c r="U456">
        <f>IF(ISNUMBER(SEARCH('1Př1'!$A$36,N456)),MAX($M$2:M455)+1,0)</f>
        <v>454</v>
      </c>
      <c r="V456" s="419" t="s">
        <v>2448</v>
      </c>
      <c r="W456" t="str">
        <f>IFERROR(VLOOKUP(ROWS($W$3:W456),$U$3:$V$992,2,0),"")</f>
        <v>Vázání a související činnosti</v>
      </c>
      <c r="X456">
        <f>IF(ISNUMBER(SEARCH('1Př1'!$A$37,N456)),MAX($M$2:M455)+1,0)</f>
        <v>454</v>
      </c>
      <c r="Y456" s="419" t="s">
        <v>2448</v>
      </c>
      <c r="Z456" t="str">
        <f>IFERROR(VLOOKUP(ROWS($Z$3:Z456),$X$3:$Y$992,2,0),"")</f>
        <v>Vázání a související činnosti</v>
      </c>
    </row>
    <row r="457" spans="13:26" ht="12.75">
      <c r="M457" s="418">
        <f>IF(ISNUMBER(SEARCH(ZAKL_DATA!$B$29,N457)),MAX($M$2:M456)+1,0)</f>
        <v>455</v>
      </c>
      <c r="N457" s="419" t="s">
        <v>2450</v>
      </c>
      <c r="O457" s="436" t="s">
        <v>2451</v>
      </c>
      <c r="P457" s="421"/>
      <c r="Q457" s="422" t="str">
        <f>IFERROR(VLOOKUP(ROWS($Q$3:Q457),$M$3:$N$992,2,0),"")</f>
        <v>Výroba technických plynů</v>
      </c>
      <c r="R457">
        <f>IF(ISNUMBER(SEARCH('1Př1'!$A$35,N457)),MAX($M$2:M456)+1,0)</f>
        <v>455</v>
      </c>
      <c r="S457" s="419" t="s">
        <v>2450</v>
      </c>
      <c r="T457" t="str">
        <f>IFERROR(VLOOKUP(ROWS($T$3:T457),$R$3:$S$992,2,0),"")</f>
        <v>Výroba technických plynů</v>
      </c>
      <c r="U457">
        <f>IF(ISNUMBER(SEARCH('1Př1'!$A$36,N457)),MAX($M$2:M456)+1,0)</f>
        <v>455</v>
      </c>
      <c r="V457" s="419" t="s">
        <v>2450</v>
      </c>
      <c r="W457" t="str">
        <f>IFERROR(VLOOKUP(ROWS($W$3:W457),$U$3:$V$992,2,0),"")</f>
        <v>Výroba technických plynů</v>
      </c>
      <c r="X457">
        <f>IF(ISNUMBER(SEARCH('1Př1'!$A$37,N457)),MAX($M$2:M456)+1,0)</f>
        <v>455</v>
      </c>
      <c r="Y457" s="419" t="s">
        <v>2450</v>
      </c>
      <c r="Z457" t="str">
        <f>IFERROR(VLOOKUP(ROWS($Z$3:Z457),$X$3:$Y$992,2,0),"")</f>
        <v>Výroba technických plynů</v>
      </c>
    </row>
    <row r="458" spans="13:26" ht="12.75">
      <c r="M458" s="418">
        <f>IF(ISNUMBER(SEARCH(ZAKL_DATA!$B$29,N458)),MAX($M$2:M457)+1,0)</f>
        <v>456</v>
      </c>
      <c r="N458" s="419" t="s">
        <v>2452</v>
      </c>
      <c r="O458" s="436" t="s">
        <v>2453</v>
      </c>
      <c r="P458" s="421"/>
      <c r="Q458" s="422" t="str">
        <f>IFERROR(VLOOKUP(ROWS($Q$3:Q458),$M$3:$N$992,2,0),"")</f>
        <v>Výroba barviv a pigmentů</v>
      </c>
      <c r="R458">
        <f>IF(ISNUMBER(SEARCH('1Př1'!$A$35,N458)),MAX($M$2:M457)+1,0)</f>
        <v>456</v>
      </c>
      <c r="S458" s="419" t="s">
        <v>2452</v>
      </c>
      <c r="T458" t="str">
        <f>IFERROR(VLOOKUP(ROWS($T$3:T458),$R$3:$S$992,2,0),"")</f>
        <v>Výroba barviv a pigmentů</v>
      </c>
      <c r="U458">
        <f>IF(ISNUMBER(SEARCH('1Př1'!$A$36,N458)),MAX($M$2:M457)+1,0)</f>
        <v>456</v>
      </c>
      <c r="V458" s="419" t="s">
        <v>2452</v>
      </c>
      <c r="W458" t="str">
        <f>IFERROR(VLOOKUP(ROWS($W$3:W458),$U$3:$V$992,2,0),"")</f>
        <v>Výroba barviv a pigmentů</v>
      </c>
      <c r="X458">
        <f>IF(ISNUMBER(SEARCH('1Př1'!$A$37,N458)),MAX($M$2:M457)+1,0)</f>
        <v>456</v>
      </c>
      <c r="Y458" s="419" t="s">
        <v>2452</v>
      </c>
      <c r="Z458" t="str">
        <f>IFERROR(VLOOKUP(ROWS($Z$3:Z458),$X$3:$Y$992,2,0),"")</f>
        <v>Výroba barviv a pigmentů</v>
      </c>
    </row>
    <row r="459" spans="13:26" ht="12.75">
      <c r="M459" s="418">
        <f>IF(ISNUMBER(SEARCH(ZAKL_DATA!$B$29,N459)),MAX($M$2:M458)+1,0)</f>
        <v>457</v>
      </c>
      <c r="N459" s="419" t="s">
        <v>2454</v>
      </c>
      <c r="O459" s="436" t="s">
        <v>2455</v>
      </c>
      <c r="P459" s="421"/>
      <c r="Q459" s="422" t="str">
        <f>IFERROR(VLOOKUP(ROWS($Q$3:Q459),$M$3:$N$992,2,0),"")</f>
        <v>Výroba jiných základních anorganických chemických látek</v>
      </c>
      <c r="R459">
        <f>IF(ISNUMBER(SEARCH('1Př1'!$A$35,N459)),MAX($M$2:M458)+1,0)</f>
        <v>457</v>
      </c>
      <c r="S459" s="419" t="s">
        <v>2454</v>
      </c>
      <c r="T459" t="str">
        <f>IFERROR(VLOOKUP(ROWS($T$3:T459),$R$3:$S$992,2,0),"")</f>
        <v>Výroba jiných základních anorganických chemických látek</v>
      </c>
      <c r="U459">
        <f>IF(ISNUMBER(SEARCH('1Př1'!$A$36,N459)),MAX($M$2:M458)+1,0)</f>
        <v>457</v>
      </c>
      <c r="V459" s="419" t="s">
        <v>2454</v>
      </c>
      <c r="W459" t="str">
        <f>IFERROR(VLOOKUP(ROWS($W$3:W459),$U$3:$V$992,2,0),"")</f>
        <v>Výroba jiných základních anorganických chemických látek</v>
      </c>
      <c r="X459">
        <f>IF(ISNUMBER(SEARCH('1Př1'!$A$37,N459)),MAX($M$2:M458)+1,0)</f>
        <v>457</v>
      </c>
      <c r="Y459" s="419" t="s">
        <v>2454</v>
      </c>
      <c r="Z459" t="str">
        <f>IFERROR(VLOOKUP(ROWS($Z$3:Z459),$X$3:$Y$992,2,0),"")</f>
        <v>Výroba jiných základních anorganických chemických látek</v>
      </c>
    </row>
    <row r="460" spans="13:26" ht="12.75">
      <c r="M460" s="418">
        <f>IF(ISNUMBER(SEARCH(ZAKL_DATA!$B$29,N460)),MAX($M$2:M459)+1,0)</f>
        <v>458</v>
      </c>
      <c r="N460" s="419" t="s">
        <v>2456</v>
      </c>
      <c r="O460" s="436" t="s">
        <v>2457</v>
      </c>
      <c r="P460" s="421"/>
      <c r="Q460" s="422" t="str">
        <f>IFERROR(VLOOKUP(ROWS($Q$3:Q460),$M$3:$N$992,2,0),"")</f>
        <v>Výroba jiných základních organických chemických látek</v>
      </c>
      <c r="R460">
        <f>IF(ISNUMBER(SEARCH('1Př1'!$A$35,N460)),MAX($M$2:M459)+1,0)</f>
        <v>458</v>
      </c>
      <c r="S460" s="419" t="s">
        <v>2456</v>
      </c>
      <c r="T460" t="str">
        <f>IFERROR(VLOOKUP(ROWS($T$3:T460),$R$3:$S$992,2,0),"")</f>
        <v>Výroba jiných základních organických chemických látek</v>
      </c>
      <c r="U460">
        <f>IF(ISNUMBER(SEARCH('1Př1'!$A$36,N460)),MAX($M$2:M459)+1,0)</f>
        <v>458</v>
      </c>
      <c r="V460" s="419" t="s">
        <v>2456</v>
      </c>
      <c r="W460" t="str">
        <f>IFERROR(VLOOKUP(ROWS($W$3:W460),$U$3:$V$992,2,0),"")</f>
        <v>Výroba jiných základních organických chemických látek</v>
      </c>
      <c r="X460">
        <f>IF(ISNUMBER(SEARCH('1Př1'!$A$37,N460)),MAX($M$2:M459)+1,0)</f>
        <v>458</v>
      </c>
      <c r="Y460" s="419" t="s">
        <v>2456</v>
      </c>
      <c r="Z460" t="str">
        <f>IFERROR(VLOOKUP(ROWS($Z$3:Z460),$X$3:$Y$992,2,0),"")</f>
        <v>Výroba jiných základních organických chemických látek</v>
      </c>
    </row>
    <row r="461" spans="13:26" ht="12.75">
      <c r="M461" s="418">
        <f>IF(ISNUMBER(SEARCH(ZAKL_DATA!$B$29,N461)),MAX($M$2:M460)+1,0)</f>
        <v>459</v>
      </c>
      <c r="N461" s="419" t="s">
        <v>2458</v>
      </c>
      <c r="O461" s="436" t="s">
        <v>2459</v>
      </c>
      <c r="P461" s="421"/>
      <c r="Q461" s="422" t="str">
        <f>IFERROR(VLOOKUP(ROWS($Q$3:Q461),$M$3:$N$992,2,0),"")</f>
        <v>Výroba hnojiv a dusíkatých sloučenin</v>
      </c>
      <c r="R461">
        <f>IF(ISNUMBER(SEARCH('1Př1'!$A$35,N461)),MAX($M$2:M460)+1,0)</f>
        <v>459</v>
      </c>
      <c r="S461" s="419" t="s">
        <v>2458</v>
      </c>
      <c r="T461" t="str">
        <f>IFERROR(VLOOKUP(ROWS($T$3:T461),$R$3:$S$992,2,0),"")</f>
        <v>Výroba hnojiv a dusíkatých sloučenin</v>
      </c>
      <c r="U461">
        <f>IF(ISNUMBER(SEARCH('1Př1'!$A$36,N461)),MAX($M$2:M460)+1,0)</f>
        <v>459</v>
      </c>
      <c r="V461" s="419" t="s">
        <v>2458</v>
      </c>
      <c r="W461" t="str">
        <f>IFERROR(VLOOKUP(ROWS($W$3:W461),$U$3:$V$992,2,0),"")</f>
        <v>Výroba hnojiv a dusíkatých sloučenin</v>
      </c>
      <c r="X461">
        <f>IF(ISNUMBER(SEARCH('1Př1'!$A$37,N461)),MAX($M$2:M460)+1,0)</f>
        <v>459</v>
      </c>
      <c r="Y461" s="419" t="s">
        <v>2458</v>
      </c>
      <c r="Z461" t="str">
        <f>IFERROR(VLOOKUP(ROWS($Z$3:Z461),$X$3:$Y$992,2,0),"")</f>
        <v>Výroba hnojiv a dusíkatých sloučenin</v>
      </c>
    </row>
    <row r="462" spans="13:26" ht="12.75">
      <c r="M462" s="418">
        <f>IF(ISNUMBER(SEARCH(ZAKL_DATA!$B$29,N462)),MAX($M$2:M461)+1,0)</f>
        <v>460</v>
      </c>
      <c r="N462" s="419" t="s">
        <v>2460</v>
      </c>
      <c r="O462" s="436" t="s">
        <v>2461</v>
      </c>
      <c r="P462" s="421"/>
      <c r="Q462" s="422" t="str">
        <f>IFERROR(VLOOKUP(ROWS($Q$3:Q462),$M$3:$N$992,2,0),"")</f>
        <v>Výroba plastů v primárních formách</v>
      </c>
      <c r="R462">
        <f>IF(ISNUMBER(SEARCH('1Př1'!$A$35,N462)),MAX($M$2:M461)+1,0)</f>
        <v>460</v>
      </c>
      <c r="S462" s="419" t="s">
        <v>2460</v>
      </c>
      <c r="T462" t="str">
        <f>IFERROR(VLOOKUP(ROWS($T$3:T462),$R$3:$S$992,2,0),"")</f>
        <v>Výroba plastů v primárních formách</v>
      </c>
      <c r="U462">
        <f>IF(ISNUMBER(SEARCH('1Př1'!$A$36,N462)),MAX($M$2:M461)+1,0)</f>
        <v>460</v>
      </c>
      <c r="V462" s="419" t="s">
        <v>2460</v>
      </c>
      <c r="W462" t="str">
        <f>IFERROR(VLOOKUP(ROWS($W$3:W462),$U$3:$V$992,2,0),"")</f>
        <v>Výroba plastů v primárních formách</v>
      </c>
      <c r="X462">
        <f>IF(ISNUMBER(SEARCH('1Př1'!$A$37,N462)),MAX($M$2:M461)+1,0)</f>
        <v>460</v>
      </c>
      <c r="Y462" s="419" t="s">
        <v>2460</v>
      </c>
      <c r="Z462" t="str">
        <f>IFERROR(VLOOKUP(ROWS($Z$3:Z462),$X$3:$Y$992,2,0),"")</f>
        <v>Výroba plastů v primárních formách</v>
      </c>
    </row>
    <row r="463" spans="13:26" ht="12.75">
      <c r="M463" s="418">
        <f>IF(ISNUMBER(SEARCH(ZAKL_DATA!$B$29,N463)),MAX($M$2:M462)+1,0)</f>
        <v>461</v>
      </c>
      <c r="N463" s="419" t="s">
        <v>2462</v>
      </c>
      <c r="O463" s="436" t="s">
        <v>2463</v>
      </c>
      <c r="P463" s="421"/>
      <c r="Q463" s="422" t="str">
        <f>IFERROR(VLOOKUP(ROWS($Q$3:Q463),$M$3:$N$992,2,0),"")</f>
        <v>Výroba syntetického kaučuku v primárních formách</v>
      </c>
      <c r="R463">
        <f>IF(ISNUMBER(SEARCH('1Př1'!$A$35,N463)),MAX($M$2:M462)+1,0)</f>
        <v>461</v>
      </c>
      <c r="S463" s="419" t="s">
        <v>2462</v>
      </c>
      <c r="T463" t="str">
        <f>IFERROR(VLOOKUP(ROWS($T$3:T463),$R$3:$S$992,2,0),"")</f>
        <v>Výroba syntetického kaučuku v primárních formách</v>
      </c>
      <c r="U463">
        <f>IF(ISNUMBER(SEARCH('1Př1'!$A$36,N463)),MAX($M$2:M462)+1,0)</f>
        <v>461</v>
      </c>
      <c r="V463" s="419" t="s">
        <v>2462</v>
      </c>
      <c r="W463" t="str">
        <f>IFERROR(VLOOKUP(ROWS($W$3:W463),$U$3:$V$992,2,0),"")</f>
        <v>Výroba syntetického kaučuku v primárních formách</v>
      </c>
      <c r="X463">
        <f>IF(ISNUMBER(SEARCH('1Př1'!$A$37,N463)),MAX($M$2:M462)+1,0)</f>
        <v>461</v>
      </c>
      <c r="Y463" s="419" t="s">
        <v>2462</v>
      </c>
      <c r="Z463" t="str">
        <f>IFERROR(VLOOKUP(ROWS($Z$3:Z463),$X$3:$Y$992,2,0),"")</f>
        <v>Výroba syntetického kaučuku v primárních formách</v>
      </c>
    </row>
    <row r="464" spans="13:26" ht="12.75">
      <c r="M464" s="418">
        <f>IF(ISNUMBER(SEARCH(ZAKL_DATA!$B$29,N464)),MAX($M$2:M463)+1,0)</f>
        <v>462</v>
      </c>
      <c r="N464" s="419" t="s">
        <v>2464</v>
      </c>
      <c r="O464" s="436" t="s">
        <v>2465</v>
      </c>
      <c r="P464" s="421"/>
      <c r="Q464" s="422" t="str">
        <f>IFERROR(VLOOKUP(ROWS($Q$3:Q464),$M$3:$N$992,2,0),"")</f>
        <v>Výroba mýdel a detergentů, čisticích a lešticích prostředků</v>
      </c>
      <c r="R464">
        <f>IF(ISNUMBER(SEARCH('1Př1'!$A$35,N464)),MAX($M$2:M463)+1,0)</f>
        <v>462</v>
      </c>
      <c r="S464" s="419" t="s">
        <v>2464</v>
      </c>
      <c r="T464" t="str">
        <f>IFERROR(VLOOKUP(ROWS($T$3:T464),$R$3:$S$992,2,0),"")</f>
        <v>Výroba mýdel a detergentů, čisticích a lešticích prostředků</v>
      </c>
      <c r="U464">
        <f>IF(ISNUMBER(SEARCH('1Př1'!$A$36,N464)),MAX($M$2:M463)+1,0)</f>
        <v>462</v>
      </c>
      <c r="V464" s="419" t="s">
        <v>2464</v>
      </c>
      <c r="W464" t="str">
        <f>IFERROR(VLOOKUP(ROWS($W$3:W464),$U$3:$V$992,2,0),"")</f>
        <v>Výroba mýdel a detergentů, čisticích a lešticích prostředků</v>
      </c>
      <c r="X464">
        <f>IF(ISNUMBER(SEARCH('1Př1'!$A$37,N464)),MAX($M$2:M463)+1,0)</f>
        <v>462</v>
      </c>
      <c r="Y464" s="419" t="s">
        <v>2464</v>
      </c>
      <c r="Z464" t="str">
        <f>IFERROR(VLOOKUP(ROWS($Z$3:Z464),$X$3:$Y$992,2,0),"")</f>
        <v>Výroba mýdel a detergentů, čisticích a lešticích prostředků</v>
      </c>
    </row>
    <row r="465" spans="13:26" ht="12.75">
      <c r="M465" s="418">
        <f>IF(ISNUMBER(SEARCH(ZAKL_DATA!$B$29,N465)),MAX($M$2:M464)+1,0)</f>
        <v>463</v>
      </c>
      <c r="N465" s="419" t="s">
        <v>2466</v>
      </c>
      <c r="O465" s="436" t="s">
        <v>2467</v>
      </c>
      <c r="P465" s="421"/>
      <c r="Q465" s="422" t="str">
        <f>IFERROR(VLOOKUP(ROWS($Q$3:Q465),$M$3:$N$992,2,0),"")</f>
        <v>Výroba parfémů a toaletních přípravků</v>
      </c>
      <c r="R465">
        <f>IF(ISNUMBER(SEARCH('1Př1'!$A$35,N465)),MAX($M$2:M464)+1,0)</f>
        <v>463</v>
      </c>
      <c r="S465" s="419" t="s">
        <v>2466</v>
      </c>
      <c r="T465" t="str">
        <f>IFERROR(VLOOKUP(ROWS($T$3:T465),$R$3:$S$992,2,0),"")</f>
        <v>Výroba parfémů a toaletních přípravků</v>
      </c>
      <c r="U465">
        <f>IF(ISNUMBER(SEARCH('1Př1'!$A$36,N465)),MAX($M$2:M464)+1,0)</f>
        <v>463</v>
      </c>
      <c r="V465" s="419" t="s">
        <v>2466</v>
      </c>
      <c r="W465" t="str">
        <f>IFERROR(VLOOKUP(ROWS($W$3:W465),$U$3:$V$992,2,0),"")</f>
        <v>Výroba parfémů a toaletních přípravků</v>
      </c>
      <c r="X465">
        <f>IF(ISNUMBER(SEARCH('1Př1'!$A$37,N465)),MAX($M$2:M464)+1,0)</f>
        <v>463</v>
      </c>
      <c r="Y465" s="419" t="s">
        <v>2466</v>
      </c>
      <c r="Z465" t="str">
        <f>IFERROR(VLOOKUP(ROWS($Z$3:Z465),$X$3:$Y$992,2,0),"")</f>
        <v>Výroba parfémů a toaletních přípravků</v>
      </c>
    </row>
    <row r="466" spans="13:26" ht="12.75">
      <c r="M466" s="418">
        <f>IF(ISNUMBER(SEARCH(ZAKL_DATA!$B$29,N466)),MAX($M$2:M465)+1,0)</f>
        <v>464</v>
      </c>
      <c r="N466" s="419" t="s">
        <v>2468</v>
      </c>
      <c r="O466" s="436" t="s">
        <v>2469</v>
      </c>
      <c r="P466" s="421"/>
      <c r="Q466" s="422" t="str">
        <f>IFERROR(VLOOKUP(ROWS($Q$3:Q466),$M$3:$N$992,2,0),"")</f>
        <v>Výroba výbušnin</v>
      </c>
      <c r="R466">
        <f>IF(ISNUMBER(SEARCH('1Př1'!$A$35,N466)),MAX($M$2:M465)+1,0)</f>
        <v>464</v>
      </c>
      <c r="S466" s="419" t="s">
        <v>2468</v>
      </c>
      <c r="T466" t="str">
        <f>IFERROR(VLOOKUP(ROWS($T$3:T466),$R$3:$S$992,2,0),"")</f>
        <v>Výroba výbušnin</v>
      </c>
      <c r="U466">
        <f>IF(ISNUMBER(SEARCH('1Př1'!$A$36,N466)),MAX($M$2:M465)+1,0)</f>
        <v>464</v>
      </c>
      <c r="V466" s="419" t="s">
        <v>2468</v>
      </c>
      <c r="W466" t="str">
        <f>IFERROR(VLOOKUP(ROWS($W$3:W466),$U$3:$V$992,2,0),"")</f>
        <v>Výroba výbušnin</v>
      </c>
      <c r="X466">
        <f>IF(ISNUMBER(SEARCH('1Př1'!$A$37,N466)),MAX($M$2:M465)+1,0)</f>
        <v>464</v>
      </c>
      <c r="Y466" s="419" t="s">
        <v>2468</v>
      </c>
      <c r="Z466" t="str">
        <f>IFERROR(VLOOKUP(ROWS($Z$3:Z466),$X$3:$Y$992,2,0),"")</f>
        <v>Výroba výbušnin</v>
      </c>
    </row>
    <row r="467" spans="13:26" ht="12.75">
      <c r="M467" s="418">
        <f>IF(ISNUMBER(SEARCH(ZAKL_DATA!$B$29,N467)),MAX($M$2:M466)+1,0)</f>
        <v>465</v>
      </c>
      <c r="N467" s="419" t="s">
        <v>2470</v>
      </c>
      <c r="O467" s="436" t="s">
        <v>2471</v>
      </c>
      <c r="P467" s="421"/>
      <c r="Q467" s="422" t="str">
        <f>IFERROR(VLOOKUP(ROWS($Q$3:Q467),$M$3:$N$992,2,0),"")</f>
        <v>Výroba klihů</v>
      </c>
      <c r="R467">
        <f>IF(ISNUMBER(SEARCH('1Př1'!$A$35,N467)),MAX($M$2:M466)+1,0)</f>
        <v>465</v>
      </c>
      <c r="S467" s="419" t="s">
        <v>2470</v>
      </c>
      <c r="T467" t="str">
        <f>IFERROR(VLOOKUP(ROWS($T$3:T467),$R$3:$S$992,2,0),"")</f>
        <v>Výroba klihů</v>
      </c>
      <c r="U467">
        <f>IF(ISNUMBER(SEARCH('1Př1'!$A$36,N467)),MAX($M$2:M466)+1,0)</f>
        <v>465</v>
      </c>
      <c r="V467" s="419" t="s">
        <v>2470</v>
      </c>
      <c r="W467" t="str">
        <f>IFERROR(VLOOKUP(ROWS($W$3:W467),$U$3:$V$992,2,0),"")</f>
        <v>Výroba klihů</v>
      </c>
      <c r="X467">
        <f>IF(ISNUMBER(SEARCH('1Př1'!$A$37,N467)),MAX($M$2:M466)+1,0)</f>
        <v>465</v>
      </c>
      <c r="Y467" s="419" t="s">
        <v>2470</v>
      </c>
      <c r="Z467" t="str">
        <f>IFERROR(VLOOKUP(ROWS($Z$3:Z467),$X$3:$Y$992,2,0),"")</f>
        <v>Výroba klihů</v>
      </c>
    </row>
    <row r="468" spans="13:26" ht="12.75">
      <c r="M468" s="418">
        <f>IF(ISNUMBER(SEARCH(ZAKL_DATA!$B$29,N468)),MAX($M$2:M467)+1,0)</f>
        <v>466</v>
      </c>
      <c r="N468" s="419" t="s">
        <v>2472</v>
      </c>
      <c r="O468" s="436" t="s">
        <v>2473</v>
      </c>
      <c r="P468" s="421"/>
      <c r="Q468" s="422" t="str">
        <f>IFERROR(VLOOKUP(ROWS($Q$3:Q468),$M$3:$N$992,2,0),"")</f>
        <v>Výroba vonných silic</v>
      </c>
      <c r="R468">
        <f>IF(ISNUMBER(SEARCH('1Př1'!$A$35,N468)),MAX($M$2:M467)+1,0)</f>
        <v>466</v>
      </c>
      <c r="S468" s="419" t="s">
        <v>2472</v>
      </c>
      <c r="T468" t="str">
        <f>IFERROR(VLOOKUP(ROWS($T$3:T468),$R$3:$S$992,2,0),"")</f>
        <v>Výroba vonných silic</v>
      </c>
      <c r="U468">
        <f>IF(ISNUMBER(SEARCH('1Př1'!$A$36,N468)),MAX($M$2:M467)+1,0)</f>
        <v>466</v>
      </c>
      <c r="V468" s="419" t="s">
        <v>2472</v>
      </c>
      <c r="W468" t="str">
        <f>IFERROR(VLOOKUP(ROWS($W$3:W468),$U$3:$V$992,2,0),"")</f>
        <v>Výroba vonných silic</v>
      </c>
      <c r="X468">
        <f>IF(ISNUMBER(SEARCH('1Př1'!$A$37,N468)),MAX($M$2:M467)+1,0)</f>
        <v>466</v>
      </c>
      <c r="Y468" s="419" t="s">
        <v>2472</v>
      </c>
      <c r="Z468" t="str">
        <f>IFERROR(VLOOKUP(ROWS($Z$3:Z468),$X$3:$Y$992,2,0),"")</f>
        <v>Výroba vonných silic</v>
      </c>
    </row>
    <row r="469" spans="13:26" ht="12.75">
      <c r="M469" s="418">
        <f>IF(ISNUMBER(SEARCH(ZAKL_DATA!$B$29,N469)),MAX($M$2:M468)+1,0)</f>
        <v>467</v>
      </c>
      <c r="N469" s="419" t="s">
        <v>2474</v>
      </c>
      <c r="O469" s="436" t="s">
        <v>2475</v>
      </c>
      <c r="P469" s="421"/>
      <c r="Q469" s="422" t="str">
        <f>IFERROR(VLOOKUP(ROWS($Q$3:Q469),$M$3:$N$992,2,0),"")</f>
        <v>Výroba ostatních chemických výrobků j. n.</v>
      </c>
      <c r="R469">
        <f>IF(ISNUMBER(SEARCH('1Př1'!$A$35,N469)),MAX($M$2:M468)+1,0)</f>
        <v>467</v>
      </c>
      <c r="S469" s="419" t="s">
        <v>2474</v>
      </c>
      <c r="T469" t="str">
        <f>IFERROR(VLOOKUP(ROWS($T$3:T469),$R$3:$S$992,2,0),"")</f>
        <v>Výroba ostatních chemických výrobků j. n.</v>
      </c>
      <c r="U469">
        <f>IF(ISNUMBER(SEARCH('1Př1'!$A$36,N469)),MAX($M$2:M468)+1,0)</f>
        <v>467</v>
      </c>
      <c r="V469" s="419" t="s">
        <v>2474</v>
      </c>
      <c r="W469" t="str">
        <f>IFERROR(VLOOKUP(ROWS($W$3:W469),$U$3:$V$992,2,0),"")</f>
        <v>Výroba ostatních chemických výrobků j. n.</v>
      </c>
      <c r="X469">
        <f>IF(ISNUMBER(SEARCH('1Př1'!$A$37,N469)),MAX($M$2:M468)+1,0)</f>
        <v>467</v>
      </c>
      <c r="Y469" s="419" t="s">
        <v>2474</v>
      </c>
      <c r="Z469" t="str">
        <f>IFERROR(VLOOKUP(ROWS($Z$3:Z469),$X$3:$Y$992,2,0),"")</f>
        <v>Výroba ostatních chemických výrobků j. n.</v>
      </c>
    </row>
    <row r="470" spans="13:26" ht="12.75">
      <c r="M470" s="418">
        <f>IF(ISNUMBER(SEARCH(ZAKL_DATA!$B$29,N470)),MAX($M$2:M469)+1,0)</f>
        <v>468</v>
      </c>
      <c r="N470" s="419" t="s">
        <v>2476</v>
      </c>
      <c r="O470" s="436" t="s">
        <v>2477</v>
      </c>
      <c r="P470" s="421"/>
      <c r="Q470" s="422" t="str">
        <f>IFERROR(VLOOKUP(ROWS($Q$3:Q470),$M$3:$N$992,2,0),"")</f>
        <v>Výroba pryžových plášťů a duší; protektorování pneumatik</v>
      </c>
      <c r="R470">
        <f>IF(ISNUMBER(SEARCH('1Př1'!$A$35,N470)),MAX($M$2:M469)+1,0)</f>
        <v>468</v>
      </c>
      <c r="S470" s="419" t="s">
        <v>2476</v>
      </c>
      <c r="T470" t="str">
        <f>IFERROR(VLOOKUP(ROWS($T$3:T470),$R$3:$S$992,2,0),"")</f>
        <v>Výroba pryžových plášťů a duší; protektorování pneumatik</v>
      </c>
      <c r="U470">
        <f>IF(ISNUMBER(SEARCH('1Př1'!$A$36,N470)),MAX($M$2:M469)+1,0)</f>
        <v>468</v>
      </c>
      <c r="V470" s="419" t="s">
        <v>2476</v>
      </c>
      <c r="W470" t="str">
        <f>IFERROR(VLOOKUP(ROWS($W$3:W470),$U$3:$V$992,2,0),"")</f>
        <v>Výroba pryžových plášťů a duší; protektorování pneumatik</v>
      </c>
      <c r="X470">
        <f>IF(ISNUMBER(SEARCH('1Př1'!$A$37,N470)),MAX($M$2:M469)+1,0)</f>
        <v>468</v>
      </c>
      <c r="Y470" s="419" t="s">
        <v>2476</v>
      </c>
      <c r="Z470" t="str">
        <f>IFERROR(VLOOKUP(ROWS($Z$3:Z470),$X$3:$Y$992,2,0),"")</f>
        <v>Výroba pryžových plášťů a duší; protektorování pneumatik</v>
      </c>
    </row>
    <row r="471" spans="13:26" ht="12.75">
      <c r="M471" s="418">
        <f>IF(ISNUMBER(SEARCH(ZAKL_DATA!$B$29,N471)),MAX($M$2:M470)+1,0)</f>
        <v>469</v>
      </c>
      <c r="N471" s="419" t="s">
        <v>2478</v>
      </c>
      <c r="O471" s="436" t="s">
        <v>2479</v>
      </c>
      <c r="P471" s="421"/>
      <c r="Q471" s="422" t="str">
        <f>IFERROR(VLOOKUP(ROWS($Q$3:Q471),$M$3:$N$992,2,0),"")</f>
        <v>Výroba ostatních pryžových výrobků</v>
      </c>
      <c r="R471">
        <f>IF(ISNUMBER(SEARCH('1Př1'!$A$35,N471)),MAX($M$2:M470)+1,0)</f>
        <v>469</v>
      </c>
      <c r="S471" s="419" t="s">
        <v>2478</v>
      </c>
      <c r="T471" t="str">
        <f>IFERROR(VLOOKUP(ROWS($T$3:T471),$R$3:$S$992,2,0),"")</f>
        <v>Výroba ostatních pryžových výrobků</v>
      </c>
      <c r="U471">
        <f>IF(ISNUMBER(SEARCH('1Př1'!$A$36,N471)),MAX($M$2:M470)+1,0)</f>
        <v>469</v>
      </c>
      <c r="V471" s="419" t="s">
        <v>2478</v>
      </c>
      <c r="W471" t="str">
        <f>IFERROR(VLOOKUP(ROWS($W$3:W471),$U$3:$V$992,2,0),"")</f>
        <v>Výroba ostatních pryžových výrobků</v>
      </c>
      <c r="X471">
        <f>IF(ISNUMBER(SEARCH('1Př1'!$A$37,N471)),MAX($M$2:M470)+1,0)</f>
        <v>469</v>
      </c>
      <c r="Y471" s="419" t="s">
        <v>2478</v>
      </c>
      <c r="Z471" t="str">
        <f>IFERROR(VLOOKUP(ROWS($Z$3:Z471),$X$3:$Y$992,2,0),"")</f>
        <v>Výroba ostatních pryžových výrobků</v>
      </c>
    </row>
    <row r="472" spans="13:26" ht="12.75">
      <c r="M472" s="418">
        <f>IF(ISNUMBER(SEARCH(ZAKL_DATA!$B$29,N472)),MAX($M$2:M471)+1,0)</f>
        <v>470</v>
      </c>
      <c r="N472" s="419" t="s">
        <v>2480</v>
      </c>
      <c r="O472" s="436" t="s">
        <v>2481</v>
      </c>
      <c r="P472" s="421"/>
      <c r="Q472" s="422" t="str">
        <f>IFERROR(VLOOKUP(ROWS($Q$3:Q472),$M$3:$N$992,2,0),"")</f>
        <v>Výroba plastových desek, fólií, hadic, trubek a profilů</v>
      </c>
      <c r="R472">
        <f>IF(ISNUMBER(SEARCH('1Př1'!$A$35,N472)),MAX($M$2:M471)+1,0)</f>
        <v>470</v>
      </c>
      <c r="S472" s="419" t="s">
        <v>2480</v>
      </c>
      <c r="T472" t="str">
        <f>IFERROR(VLOOKUP(ROWS($T$3:T472),$R$3:$S$992,2,0),"")</f>
        <v>Výroba plastových desek, fólií, hadic, trubek a profilů</v>
      </c>
      <c r="U472">
        <f>IF(ISNUMBER(SEARCH('1Př1'!$A$36,N472)),MAX($M$2:M471)+1,0)</f>
        <v>470</v>
      </c>
      <c r="V472" s="419" t="s">
        <v>2480</v>
      </c>
      <c r="W472" t="str">
        <f>IFERROR(VLOOKUP(ROWS($W$3:W472),$U$3:$V$992,2,0),"")</f>
        <v>Výroba plastových desek, fólií, hadic, trubek a profilů</v>
      </c>
      <c r="X472">
        <f>IF(ISNUMBER(SEARCH('1Př1'!$A$37,N472)),MAX($M$2:M471)+1,0)</f>
        <v>470</v>
      </c>
      <c r="Y472" s="419" t="s">
        <v>2480</v>
      </c>
      <c r="Z472" t="str">
        <f>IFERROR(VLOOKUP(ROWS($Z$3:Z472),$X$3:$Y$992,2,0),"")</f>
        <v>Výroba plastových desek, fólií, hadic, trubek a profilů</v>
      </c>
    </row>
    <row r="473" spans="13:26" ht="12.75">
      <c r="M473" s="418">
        <f>IF(ISNUMBER(SEARCH(ZAKL_DATA!$B$29,N473)),MAX($M$2:M472)+1,0)</f>
        <v>471</v>
      </c>
      <c r="N473" s="419" t="s">
        <v>2482</v>
      </c>
      <c r="O473" s="436" t="s">
        <v>2483</v>
      </c>
      <c r="P473" s="421"/>
      <c r="Q473" s="422" t="str">
        <f>IFERROR(VLOOKUP(ROWS($Q$3:Q473),$M$3:$N$992,2,0),"")</f>
        <v>Výroba plastových obalů</v>
      </c>
      <c r="R473">
        <f>IF(ISNUMBER(SEARCH('1Př1'!$A$35,N473)),MAX($M$2:M472)+1,0)</f>
        <v>471</v>
      </c>
      <c r="S473" s="419" t="s">
        <v>2482</v>
      </c>
      <c r="T473" t="str">
        <f>IFERROR(VLOOKUP(ROWS($T$3:T473),$R$3:$S$992,2,0),"")</f>
        <v>Výroba plastových obalů</v>
      </c>
      <c r="U473">
        <f>IF(ISNUMBER(SEARCH('1Př1'!$A$36,N473)),MAX($M$2:M472)+1,0)</f>
        <v>471</v>
      </c>
      <c r="V473" s="419" t="s">
        <v>2482</v>
      </c>
      <c r="W473" t="str">
        <f>IFERROR(VLOOKUP(ROWS($W$3:W473),$U$3:$V$992,2,0),"")</f>
        <v>Výroba plastových obalů</v>
      </c>
      <c r="X473">
        <f>IF(ISNUMBER(SEARCH('1Př1'!$A$37,N473)),MAX($M$2:M472)+1,0)</f>
        <v>471</v>
      </c>
      <c r="Y473" s="419" t="s">
        <v>2482</v>
      </c>
      <c r="Z473" t="str">
        <f>IFERROR(VLOOKUP(ROWS($Z$3:Z473),$X$3:$Y$992,2,0),"")</f>
        <v>Výroba plastových obalů</v>
      </c>
    </row>
    <row r="474" spans="13:26" ht="12.75">
      <c r="M474" s="418">
        <f>IF(ISNUMBER(SEARCH(ZAKL_DATA!$B$29,N474)),MAX($M$2:M473)+1,0)</f>
        <v>472</v>
      </c>
      <c r="N474" s="419" t="s">
        <v>2484</v>
      </c>
      <c r="O474" s="436" t="s">
        <v>2485</v>
      </c>
      <c r="P474" s="421"/>
      <c r="Q474" s="422" t="str">
        <f>IFERROR(VLOOKUP(ROWS($Q$3:Q474),$M$3:$N$992,2,0),"")</f>
        <v>Výroba plastových výrobků pro stavebnictví</v>
      </c>
      <c r="R474">
        <f>IF(ISNUMBER(SEARCH('1Př1'!$A$35,N474)),MAX($M$2:M473)+1,0)</f>
        <v>472</v>
      </c>
      <c r="S474" s="419" t="s">
        <v>2484</v>
      </c>
      <c r="T474" t="str">
        <f>IFERROR(VLOOKUP(ROWS($T$3:T474),$R$3:$S$992,2,0),"")</f>
        <v>Výroba plastových výrobků pro stavebnictví</v>
      </c>
      <c r="U474">
        <f>IF(ISNUMBER(SEARCH('1Př1'!$A$36,N474)),MAX($M$2:M473)+1,0)</f>
        <v>472</v>
      </c>
      <c r="V474" s="419" t="s">
        <v>2484</v>
      </c>
      <c r="W474" t="str">
        <f>IFERROR(VLOOKUP(ROWS($W$3:W474),$U$3:$V$992,2,0),"")</f>
        <v>Výroba plastových výrobků pro stavebnictví</v>
      </c>
      <c r="X474">
        <f>IF(ISNUMBER(SEARCH('1Př1'!$A$37,N474)),MAX($M$2:M473)+1,0)</f>
        <v>472</v>
      </c>
      <c r="Y474" s="419" t="s">
        <v>2484</v>
      </c>
      <c r="Z474" t="str">
        <f>IFERROR(VLOOKUP(ROWS($Z$3:Z474),$X$3:$Y$992,2,0),"")</f>
        <v>Výroba plastových výrobků pro stavebnictví</v>
      </c>
    </row>
    <row r="475" spans="13:26" ht="12.75">
      <c r="M475" s="418">
        <f>IF(ISNUMBER(SEARCH(ZAKL_DATA!$B$29,N475)),MAX($M$2:M474)+1,0)</f>
        <v>473</v>
      </c>
      <c r="N475" s="419" t="s">
        <v>2486</v>
      </c>
      <c r="O475" s="436" t="s">
        <v>2487</v>
      </c>
      <c r="P475" s="421"/>
      <c r="Q475" s="422" t="str">
        <f>IFERROR(VLOOKUP(ROWS($Q$3:Q475),$M$3:$N$992,2,0),"")</f>
        <v>Výroba ostatních plastových výrobků</v>
      </c>
      <c r="R475">
        <f>IF(ISNUMBER(SEARCH('1Př1'!$A$35,N475)),MAX($M$2:M474)+1,0)</f>
        <v>473</v>
      </c>
      <c r="S475" s="419" t="s">
        <v>2486</v>
      </c>
      <c r="T475" t="str">
        <f>IFERROR(VLOOKUP(ROWS($T$3:T475),$R$3:$S$992,2,0),"")</f>
        <v>Výroba ostatních plastových výrobků</v>
      </c>
      <c r="U475">
        <f>IF(ISNUMBER(SEARCH('1Př1'!$A$36,N475)),MAX($M$2:M474)+1,0)</f>
        <v>473</v>
      </c>
      <c r="V475" s="419" t="s">
        <v>2486</v>
      </c>
      <c r="W475" t="str">
        <f>IFERROR(VLOOKUP(ROWS($W$3:W475),$U$3:$V$992,2,0),"")</f>
        <v>Výroba ostatních plastových výrobků</v>
      </c>
      <c r="X475">
        <f>IF(ISNUMBER(SEARCH('1Př1'!$A$37,N475)),MAX($M$2:M474)+1,0)</f>
        <v>473</v>
      </c>
      <c r="Y475" s="419" t="s">
        <v>2486</v>
      </c>
      <c r="Z475" t="str">
        <f>IFERROR(VLOOKUP(ROWS($Z$3:Z475),$X$3:$Y$992,2,0),"")</f>
        <v>Výroba ostatních plastových výrobků</v>
      </c>
    </row>
    <row r="476" spans="13:26" ht="12.75">
      <c r="M476" s="418">
        <f>IF(ISNUMBER(SEARCH(ZAKL_DATA!$B$29,N476)),MAX($M$2:M475)+1,0)</f>
        <v>474</v>
      </c>
      <c r="N476" s="419" t="s">
        <v>2488</v>
      </c>
      <c r="O476" s="436" t="s">
        <v>2489</v>
      </c>
      <c r="P476" s="421"/>
      <c r="Q476" s="422" t="str">
        <f>IFERROR(VLOOKUP(ROWS($Q$3:Q476),$M$3:$N$992,2,0),"")</f>
        <v>Výroba plochého skla</v>
      </c>
      <c r="R476">
        <f>IF(ISNUMBER(SEARCH('1Př1'!$A$35,N476)),MAX($M$2:M475)+1,0)</f>
        <v>474</v>
      </c>
      <c r="S476" s="419" t="s">
        <v>2488</v>
      </c>
      <c r="T476" t="str">
        <f>IFERROR(VLOOKUP(ROWS($T$3:T476),$R$3:$S$992,2,0),"")</f>
        <v>Výroba plochého skla</v>
      </c>
      <c r="U476">
        <f>IF(ISNUMBER(SEARCH('1Př1'!$A$36,N476)),MAX($M$2:M475)+1,0)</f>
        <v>474</v>
      </c>
      <c r="V476" s="419" t="s">
        <v>2488</v>
      </c>
      <c r="W476" t="str">
        <f>IFERROR(VLOOKUP(ROWS($W$3:W476),$U$3:$V$992,2,0),"")</f>
        <v>Výroba plochého skla</v>
      </c>
      <c r="X476">
        <f>IF(ISNUMBER(SEARCH('1Př1'!$A$37,N476)),MAX($M$2:M475)+1,0)</f>
        <v>474</v>
      </c>
      <c r="Y476" s="419" t="s">
        <v>2488</v>
      </c>
      <c r="Z476" t="str">
        <f>IFERROR(VLOOKUP(ROWS($Z$3:Z476),$X$3:$Y$992,2,0),"")</f>
        <v>Výroba plochého skla</v>
      </c>
    </row>
    <row r="477" spans="13:26" ht="12.75">
      <c r="M477" s="418">
        <f>IF(ISNUMBER(SEARCH(ZAKL_DATA!$B$29,N477)),MAX($M$2:M476)+1,0)</f>
        <v>475</v>
      </c>
      <c r="N477" s="419" t="s">
        <v>2490</v>
      </c>
      <c r="O477" s="436" t="s">
        <v>2491</v>
      </c>
      <c r="P477" s="421"/>
      <c r="Q477" s="422" t="str">
        <f>IFERROR(VLOOKUP(ROWS($Q$3:Q477),$M$3:$N$992,2,0),"")</f>
        <v>Tvarování a zpracování plochého skla</v>
      </c>
      <c r="R477">
        <f>IF(ISNUMBER(SEARCH('1Př1'!$A$35,N477)),MAX($M$2:M476)+1,0)</f>
        <v>475</v>
      </c>
      <c r="S477" s="419" t="s">
        <v>2490</v>
      </c>
      <c r="T477" t="str">
        <f>IFERROR(VLOOKUP(ROWS($T$3:T477),$R$3:$S$992,2,0),"")</f>
        <v>Tvarování a zpracování plochého skla</v>
      </c>
      <c r="U477">
        <f>IF(ISNUMBER(SEARCH('1Př1'!$A$36,N477)),MAX($M$2:M476)+1,0)</f>
        <v>475</v>
      </c>
      <c r="V477" s="419" t="s">
        <v>2490</v>
      </c>
      <c r="W477" t="str">
        <f>IFERROR(VLOOKUP(ROWS($W$3:W477),$U$3:$V$992,2,0),"")</f>
        <v>Tvarování a zpracování plochého skla</v>
      </c>
      <c r="X477">
        <f>IF(ISNUMBER(SEARCH('1Př1'!$A$37,N477)),MAX($M$2:M476)+1,0)</f>
        <v>475</v>
      </c>
      <c r="Y477" s="419" t="s">
        <v>2490</v>
      </c>
      <c r="Z477" t="str">
        <f>IFERROR(VLOOKUP(ROWS($Z$3:Z477),$X$3:$Y$992,2,0),"")</f>
        <v>Tvarování a zpracování plochého skla</v>
      </c>
    </row>
    <row r="478" spans="13:26" ht="12.75">
      <c r="M478" s="418">
        <f>IF(ISNUMBER(SEARCH(ZAKL_DATA!$B$29,N478)),MAX($M$2:M477)+1,0)</f>
        <v>476</v>
      </c>
      <c r="N478" s="419" t="s">
        <v>2492</v>
      </c>
      <c r="O478" s="436" t="s">
        <v>2493</v>
      </c>
      <c r="P478" s="421"/>
      <c r="Q478" s="422" t="str">
        <f>IFERROR(VLOOKUP(ROWS($Q$3:Q478),$M$3:$N$992,2,0),"")</f>
        <v>Výroba dutého skla</v>
      </c>
      <c r="R478">
        <f>IF(ISNUMBER(SEARCH('1Př1'!$A$35,N478)),MAX($M$2:M477)+1,0)</f>
        <v>476</v>
      </c>
      <c r="S478" s="419" t="s">
        <v>2492</v>
      </c>
      <c r="T478" t="str">
        <f>IFERROR(VLOOKUP(ROWS($T$3:T478),$R$3:$S$992,2,0),"")</f>
        <v>Výroba dutého skla</v>
      </c>
      <c r="U478">
        <f>IF(ISNUMBER(SEARCH('1Př1'!$A$36,N478)),MAX($M$2:M477)+1,0)</f>
        <v>476</v>
      </c>
      <c r="V478" s="419" t="s">
        <v>2492</v>
      </c>
      <c r="W478" t="str">
        <f>IFERROR(VLOOKUP(ROWS($W$3:W478),$U$3:$V$992,2,0),"")</f>
        <v>Výroba dutého skla</v>
      </c>
      <c r="X478">
        <f>IF(ISNUMBER(SEARCH('1Př1'!$A$37,N478)),MAX($M$2:M477)+1,0)</f>
        <v>476</v>
      </c>
      <c r="Y478" s="419" t="s">
        <v>2492</v>
      </c>
      <c r="Z478" t="str">
        <f>IFERROR(VLOOKUP(ROWS($Z$3:Z478),$X$3:$Y$992,2,0),"")</f>
        <v>Výroba dutého skla</v>
      </c>
    </row>
    <row r="479" spans="13:26" ht="12.75">
      <c r="M479" s="418">
        <f>IF(ISNUMBER(SEARCH(ZAKL_DATA!$B$29,N479)),MAX($M$2:M478)+1,0)</f>
        <v>477</v>
      </c>
      <c r="N479" s="419" t="s">
        <v>2494</v>
      </c>
      <c r="O479" s="436" t="s">
        <v>2495</v>
      </c>
      <c r="P479" s="421"/>
      <c r="Q479" s="422" t="str">
        <f>IFERROR(VLOOKUP(ROWS($Q$3:Q479),$M$3:$N$992,2,0),"")</f>
        <v>Výroba skleněných vláken</v>
      </c>
      <c r="R479">
        <f>IF(ISNUMBER(SEARCH('1Př1'!$A$35,N479)),MAX($M$2:M478)+1,0)</f>
        <v>477</v>
      </c>
      <c r="S479" s="419" t="s">
        <v>2494</v>
      </c>
      <c r="T479" t="str">
        <f>IFERROR(VLOOKUP(ROWS($T$3:T479),$R$3:$S$992,2,0),"")</f>
        <v>Výroba skleněných vláken</v>
      </c>
      <c r="U479">
        <f>IF(ISNUMBER(SEARCH('1Př1'!$A$36,N479)),MAX($M$2:M478)+1,0)</f>
        <v>477</v>
      </c>
      <c r="V479" s="419" t="s">
        <v>2494</v>
      </c>
      <c r="W479" t="str">
        <f>IFERROR(VLOOKUP(ROWS($W$3:W479),$U$3:$V$992,2,0),"")</f>
        <v>Výroba skleněných vláken</v>
      </c>
      <c r="X479">
        <f>IF(ISNUMBER(SEARCH('1Př1'!$A$37,N479)),MAX($M$2:M478)+1,0)</f>
        <v>477</v>
      </c>
      <c r="Y479" s="419" t="s">
        <v>2494</v>
      </c>
      <c r="Z479" t="str">
        <f>IFERROR(VLOOKUP(ROWS($Z$3:Z479),$X$3:$Y$992,2,0),"")</f>
        <v>Výroba skleněných vláken</v>
      </c>
    </row>
    <row r="480" spans="13:26" ht="12.75">
      <c r="M480" s="418">
        <f>IF(ISNUMBER(SEARCH(ZAKL_DATA!$B$29,N480)),MAX($M$2:M479)+1,0)</f>
        <v>478</v>
      </c>
      <c r="N480" s="419" t="s">
        <v>2496</v>
      </c>
      <c r="O480" s="436" t="s">
        <v>2497</v>
      </c>
      <c r="P480" s="421"/>
      <c r="Q480" s="422" t="str">
        <f>IFERROR(VLOOKUP(ROWS($Q$3:Q480),$M$3:$N$992,2,0),"")</f>
        <v>Výroba a zpracování ostatního skla vč. technického</v>
      </c>
      <c r="R480">
        <f>IF(ISNUMBER(SEARCH('1Př1'!$A$35,N480)),MAX($M$2:M479)+1,0)</f>
        <v>478</v>
      </c>
      <c r="S480" s="419" t="s">
        <v>2496</v>
      </c>
      <c r="T480" t="str">
        <f>IFERROR(VLOOKUP(ROWS($T$3:T480),$R$3:$S$992,2,0),"")</f>
        <v>Výroba a zpracování ostatního skla vč. technického</v>
      </c>
      <c r="U480">
        <f>IF(ISNUMBER(SEARCH('1Př1'!$A$36,N480)),MAX($M$2:M479)+1,0)</f>
        <v>478</v>
      </c>
      <c r="V480" s="419" t="s">
        <v>2496</v>
      </c>
      <c r="W480" t="str">
        <f>IFERROR(VLOOKUP(ROWS($W$3:W480),$U$3:$V$992,2,0),"")</f>
        <v>Výroba a zpracování ostatního skla vč. technického</v>
      </c>
      <c r="X480">
        <f>IF(ISNUMBER(SEARCH('1Př1'!$A$37,N480)),MAX($M$2:M479)+1,0)</f>
        <v>478</v>
      </c>
      <c r="Y480" s="419" t="s">
        <v>2496</v>
      </c>
      <c r="Z480" t="str">
        <f>IFERROR(VLOOKUP(ROWS($Z$3:Z480),$X$3:$Y$992,2,0),"")</f>
        <v>Výroba a zpracování ostatního skla vč. technického</v>
      </c>
    </row>
    <row r="481" spans="13:26" ht="12.75">
      <c r="M481" s="418">
        <f>IF(ISNUMBER(SEARCH(ZAKL_DATA!$B$29,N481)),MAX($M$2:M480)+1,0)</f>
        <v>479</v>
      </c>
      <c r="N481" s="419" t="s">
        <v>2498</v>
      </c>
      <c r="O481" s="436" t="s">
        <v>2499</v>
      </c>
      <c r="P481" s="421"/>
      <c r="Q481" s="422" t="str">
        <f>IFERROR(VLOOKUP(ROWS($Q$3:Q481),$M$3:$N$992,2,0),"")</f>
        <v>Výroba keramických obkládaček a dlaždic</v>
      </c>
      <c r="R481">
        <f>IF(ISNUMBER(SEARCH('1Př1'!$A$35,N481)),MAX($M$2:M480)+1,0)</f>
        <v>479</v>
      </c>
      <c r="S481" s="419" t="s">
        <v>2498</v>
      </c>
      <c r="T481" t="str">
        <f>IFERROR(VLOOKUP(ROWS($T$3:T481),$R$3:$S$992,2,0),"")</f>
        <v>Výroba keramických obkládaček a dlaždic</v>
      </c>
      <c r="U481">
        <f>IF(ISNUMBER(SEARCH('1Př1'!$A$36,N481)),MAX($M$2:M480)+1,0)</f>
        <v>479</v>
      </c>
      <c r="V481" s="419" t="s">
        <v>2498</v>
      </c>
      <c r="W481" t="str">
        <f>IFERROR(VLOOKUP(ROWS($W$3:W481),$U$3:$V$992,2,0),"")</f>
        <v>Výroba keramických obkládaček a dlaždic</v>
      </c>
      <c r="X481">
        <f>IF(ISNUMBER(SEARCH('1Př1'!$A$37,N481)),MAX($M$2:M480)+1,0)</f>
        <v>479</v>
      </c>
      <c r="Y481" s="419" t="s">
        <v>2498</v>
      </c>
      <c r="Z481" t="str">
        <f>IFERROR(VLOOKUP(ROWS($Z$3:Z481),$X$3:$Y$992,2,0),"")</f>
        <v>Výroba keramických obkládaček a dlaždic</v>
      </c>
    </row>
    <row r="482" spans="13:26" ht="12.75">
      <c r="M482" s="418">
        <f>IF(ISNUMBER(SEARCH(ZAKL_DATA!$B$29,N482)),MAX($M$2:M481)+1,0)</f>
        <v>480</v>
      </c>
      <c r="N482" s="419" t="s">
        <v>2500</v>
      </c>
      <c r="O482" s="436" t="s">
        <v>2501</v>
      </c>
      <c r="P482" s="421"/>
      <c r="Q482" s="422" t="str">
        <f>IFERROR(VLOOKUP(ROWS($Q$3:Q482),$M$3:$N$992,2,0),"")</f>
        <v>Výroba pálených zdicích materiálů, tašek, dlaždic a podobných výrobků</v>
      </c>
      <c r="R482">
        <f>IF(ISNUMBER(SEARCH('1Př1'!$A$35,N482)),MAX($M$2:M481)+1,0)</f>
        <v>480</v>
      </c>
      <c r="S482" s="419" t="s">
        <v>2500</v>
      </c>
      <c r="T482" t="str">
        <f>IFERROR(VLOOKUP(ROWS($T$3:T482),$R$3:$S$992,2,0),"")</f>
        <v>Výroba pálených zdicích materiálů, tašek, dlaždic a podobných výrobků</v>
      </c>
      <c r="U482">
        <f>IF(ISNUMBER(SEARCH('1Př1'!$A$36,N482)),MAX($M$2:M481)+1,0)</f>
        <v>480</v>
      </c>
      <c r="V482" s="419" t="s">
        <v>2500</v>
      </c>
      <c r="W482" t="str">
        <f>IFERROR(VLOOKUP(ROWS($W$3:W482),$U$3:$V$992,2,0),"")</f>
        <v>Výroba pálených zdicích materiálů, tašek, dlaždic a podobných výrobků</v>
      </c>
      <c r="X482">
        <f>IF(ISNUMBER(SEARCH('1Př1'!$A$37,N482)),MAX($M$2:M481)+1,0)</f>
        <v>480</v>
      </c>
      <c r="Y482" s="419" t="s">
        <v>2500</v>
      </c>
      <c r="Z482" t="str">
        <f>IFERROR(VLOOKUP(ROWS($Z$3:Z482),$X$3:$Y$992,2,0),"")</f>
        <v>Výroba pálených zdicích materiálů, tašek, dlaždic a podobných výrobků</v>
      </c>
    </row>
    <row r="483" spans="13:26" ht="12.75">
      <c r="M483" s="418">
        <f>IF(ISNUMBER(SEARCH(ZAKL_DATA!$B$29,N483)),MAX($M$2:M482)+1,0)</f>
        <v>481</v>
      </c>
      <c r="N483" s="419" t="s">
        <v>2502</v>
      </c>
      <c r="O483" s="436" t="s">
        <v>2503</v>
      </c>
      <c r="P483" s="421"/>
      <c r="Q483" s="422" t="str">
        <f>IFERROR(VLOOKUP(ROWS($Q$3:Q483),$M$3:$N$992,2,0),"")</f>
        <v>Výroba keram.a porcelán.výrobků převážně pro domácnost a ozdob.předmětů</v>
      </c>
      <c r="R483">
        <f>IF(ISNUMBER(SEARCH('1Př1'!$A$35,N483)),MAX($M$2:M482)+1,0)</f>
        <v>481</v>
      </c>
      <c r="S483" s="419" t="s">
        <v>2502</v>
      </c>
      <c r="T483" t="str">
        <f>IFERROR(VLOOKUP(ROWS($T$3:T483),$R$3:$S$992,2,0),"")</f>
        <v>Výroba keram.a porcelán.výrobků převážně pro domácnost a ozdob.předmětů</v>
      </c>
      <c r="U483">
        <f>IF(ISNUMBER(SEARCH('1Př1'!$A$36,N483)),MAX($M$2:M482)+1,0)</f>
        <v>481</v>
      </c>
      <c r="V483" s="419" t="s">
        <v>2502</v>
      </c>
      <c r="W483" t="str">
        <f>IFERROR(VLOOKUP(ROWS($W$3:W483),$U$3:$V$992,2,0),"")</f>
        <v>Výroba keram.a porcelán.výrobků převážně pro domácnost a ozdob.předmětů</v>
      </c>
      <c r="X483">
        <f>IF(ISNUMBER(SEARCH('1Př1'!$A$37,N483)),MAX($M$2:M482)+1,0)</f>
        <v>481</v>
      </c>
      <c r="Y483" s="419" t="s">
        <v>2502</v>
      </c>
      <c r="Z483" t="str">
        <f>IFERROR(VLOOKUP(ROWS($Z$3:Z483),$X$3:$Y$992,2,0),"")</f>
        <v>Výroba keram.a porcelán.výrobků převážně pro domácnost a ozdob.předmětů</v>
      </c>
    </row>
    <row r="484" spans="13:26" ht="12.75">
      <c r="M484" s="418">
        <f>IF(ISNUMBER(SEARCH(ZAKL_DATA!$B$29,N484)),MAX($M$2:M483)+1,0)</f>
        <v>482</v>
      </c>
      <c r="N484" s="419" t="s">
        <v>2504</v>
      </c>
      <c r="O484" s="436" t="s">
        <v>2505</v>
      </c>
      <c r="P484" s="421"/>
      <c r="Q484" s="422" t="str">
        <f>IFERROR(VLOOKUP(ROWS($Q$3:Q484),$M$3:$N$992,2,0),"")</f>
        <v>Výroba keramických sanitárních výrobků</v>
      </c>
      <c r="R484">
        <f>IF(ISNUMBER(SEARCH('1Př1'!$A$35,N484)),MAX($M$2:M483)+1,0)</f>
        <v>482</v>
      </c>
      <c r="S484" s="419" t="s">
        <v>2504</v>
      </c>
      <c r="T484" t="str">
        <f>IFERROR(VLOOKUP(ROWS($T$3:T484),$R$3:$S$992,2,0),"")</f>
        <v>Výroba keramických sanitárních výrobků</v>
      </c>
      <c r="U484">
        <f>IF(ISNUMBER(SEARCH('1Př1'!$A$36,N484)),MAX($M$2:M483)+1,0)</f>
        <v>482</v>
      </c>
      <c r="V484" s="419" t="s">
        <v>2504</v>
      </c>
      <c r="W484" t="str">
        <f>IFERROR(VLOOKUP(ROWS($W$3:W484),$U$3:$V$992,2,0),"")</f>
        <v>Výroba keramických sanitárních výrobků</v>
      </c>
      <c r="X484">
        <f>IF(ISNUMBER(SEARCH('1Př1'!$A$37,N484)),MAX($M$2:M483)+1,0)</f>
        <v>482</v>
      </c>
      <c r="Y484" s="419" t="s">
        <v>2504</v>
      </c>
      <c r="Z484" t="str">
        <f>IFERROR(VLOOKUP(ROWS($Z$3:Z484),$X$3:$Y$992,2,0),"")</f>
        <v>Výroba keramických sanitárních výrobků</v>
      </c>
    </row>
    <row r="485" spans="13:26" ht="12.75">
      <c r="M485" s="418">
        <f>IF(ISNUMBER(SEARCH(ZAKL_DATA!$B$29,N485)),MAX($M$2:M484)+1,0)</f>
        <v>483</v>
      </c>
      <c r="N485" s="419" t="s">
        <v>2506</v>
      </c>
      <c r="O485" s="436" t="s">
        <v>2507</v>
      </c>
      <c r="P485" s="421"/>
      <c r="Q485" s="422" t="str">
        <f>IFERROR(VLOOKUP(ROWS($Q$3:Q485),$M$3:$N$992,2,0),"")</f>
        <v>Výroba keramických izolátorů a izolačního příslušenství</v>
      </c>
      <c r="R485">
        <f>IF(ISNUMBER(SEARCH('1Př1'!$A$35,N485)),MAX($M$2:M484)+1,0)</f>
        <v>483</v>
      </c>
      <c r="S485" s="419" t="s">
        <v>2506</v>
      </c>
      <c r="T485" t="str">
        <f>IFERROR(VLOOKUP(ROWS($T$3:T485),$R$3:$S$992,2,0),"")</f>
        <v>Výroba keramických izolátorů a izolačního příslušenství</v>
      </c>
      <c r="U485">
        <f>IF(ISNUMBER(SEARCH('1Př1'!$A$36,N485)),MAX($M$2:M484)+1,0)</f>
        <v>483</v>
      </c>
      <c r="V485" s="419" t="s">
        <v>2506</v>
      </c>
      <c r="W485" t="str">
        <f>IFERROR(VLOOKUP(ROWS($W$3:W485),$U$3:$V$992,2,0),"")</f>
        <v>Výroba keramických izolátorů a izolačního příslušenství</v>
      </c>
      <c r="X485">
        <f>IF(ISNUMBER(SEARCH('1Př1'!$A$37,N485)),MAX($M$2:M484)+1,0)</f>
        <v>483</v>
      </c>
      <c r="Y485" s="419" t="s">
        <v>2506</v>
      </c>
      <c r="Z485" t="str">
        <f>IFERROR(VLOOKUP(ROWS($Z$3:Z485),$X$3:$Y$992,2,0),"")</f>
        <v>Výroba keramických izolátorů a izolačního příslušenství</v>
      </c>
    </row>
    <row r="486" spans="13:26" ht="12.75">
      <c r="M486" s="418">
        <f>IF(ISNUMBER(SEARCH(ZAKL_DATA!$B$29,N486)),MAX($M$2:M485)+1,0)</f>
        <v>484</v>
      </c>
      <c r="N486" s="419" t="s">
        <v>2508</v>
      </c>
      <c r="O486" s="436" t="s">
        <v>2509</v>
      </c>
      <c r="P486" s="421"/>
      <c r="Q486" s="422" t="str">
        <f>IFERROR(VLOOKUP(ROWS($Q$3:Q486),$M$3:$N$992,2,0),"")</f>
        <v>Výroba ostatních technických keramických výrobků</v>
      </c>
      <c r="R486">
        <f>IF(ISNUMBER(SEARCH('1Př1'!$A$35,N486)),MAX($M$2:M485)+1,0)</f>
        <v>484</v>
      </c>
      <c r="S486" s="419" t="s">
        <v>2508</v>
      </c>
      <c r="T486" t="str">
        <f>IFERROR(VLOOKUP(ROWS($T$3:T486),$R$3:$S$992,2,0),"")</f>
        <v>Výroba ostatních technických keramických výrobků</v>
      </c>
      <c r="U486">
        <f>IF(ISNUMBER(SEARCH('1Př1'!$A$36,N486)),MAX($M$2:M485)+1,0)</f>
        <v>484</v>
      </c>
      <c r="V486" s="419" t="s">
        <v>2508</v>
      </c>
      <c r="W486" t="str">
        <f>IFERROR(VLOOKUP(ROWS($W$3:W486),$U$3:$V$992,2,0),"")</f>
        <v>Výroba ostatních technických keramických výrobků</v>
      </c>
      <c r="X486">
        <f>IF(ISNUMBER(SEARCH('1Př1'!$A$37,N486)),MAX($M$2:M485)+1,0)</f>
        <v>484</v>
      </c>
      <c r="Y486" s="419" t="s">
        <v>2508</v>
      </c>
      <c r="Z486" t="str">
        <f>IFERROR(VLOOKUP(ROWS($Z$3:Z486),$X$3:$Y$992,2,0),"")</f>
        <v>Výroba ostatních technických keramických výrobků</v>
      </c>
    </row>
    <row r="487" spans="13:26" ht="12.75">
      <c r="M487" s="418">
        <f>IF(ISNUMBER(SEARCH(ZAKL_DATA!$B$29,N487)),MAX($M$2:M486)+1,0)</f>
        <v>485</v>
      </c>
      <c r="N487" s="419" t="s">
        <v>2510</v>
      </c>
      <c r="O487" s="436" t="s">
        <v>2511</v>
      </c>
      <c r="P487" s="421"/>
      <c r="Q487" s="422" t="str">
        <f>IFERROR(VLOOKUP(ROWS($Q$3:Q487),$M$3:$N$992,2,0),"")</f>
        <v>Výroba ostatních keramických výrobků</v>
      </c>
      <c r="R487">
        <f>IF(ISNUMBER(SEARCH('1Př1'!$A$35,N487)),MAX($M$2:M486)+1,0)</f>
        <v>485</v>
      </c>
      <c r="S487" s="419" t="s">
        <v>2510</v>
      </c>
      <c r="T487" t="str">
        <f>IFERROR(VLOOKUP(ROWS($T$3:T487),$R$3:$S$992,2,0),"")</f>
        <v>Výroba ostatních keramických výrobků</v>
      </c>
      <c r="U487">
        <f>IF(ISNUMBER(SEARCH('1Př1'!$A$36,N487)),MAX($M$2:M486)+1,0)</f>
        <v>485</v>
      </c>
      <c r="V487" s="419" t="s">
        <v>2510</v>
      </c>
      <c r="W487" t="str">
        <f>IFERROR(VLOOKUP(ROWS($W$3:W487),$U$3:$V$992,2,0),"")</f>
        <v>Výroba ostatních keramických výrobků</v>
      </c>
      <c r="X487">
        <f>IF(ISNUMBER(SEARCH('1Př1'!$A$37,N487)),MAX($M$2:M486)+1,0)</f>
        <v>485</v>
      </c>
      <c r="Y487" s="419" t="s">
        <v>2510</v>
      </c>
      <c r="Z487" t="str">
        <f>IFERROR(VLOOKUP(ROWS($Z$3:Z487),$X$3:$Y$992,2,0),"")</f>
        <v>Výroba ostatních keramických výrobků</v>
      </c>
    </row>
    <row r="488" spans="13:26" ht="12.75">
      <c r="M488" s="418">
        <f>IF(ISNUMBER(SEARCH(ZAKL_DATA!$B$29,N488)),MAX($M$2:M487)+1,0)</f>
        <v>486</v>
      </c>
      <c r="N488" s="419" t="s">
        <v>2512</v>
      </c>
      <c r="O488" s="436" t="s">
        <v>2513</v>
      </c>
      <c r="P488" s="421"/>
      <c r="Q488" s="422" t="str">
        <f>IFERROR(VLOOKUP(ROWS($Q$3:Q488),$M$3:$N$992,2,0),"")</f>
        <v>Výroba cementu</v>
      </c>
      <c r="R488">
        <f>IF(ISNUMBER(SEARCH('1Př1'!$A$35,N488)),MAX($M$2:M487)+1,0)</f>
        <v>486</v>
      </c>
      <c r="S488" s="419" t="s">
        <v>2512</v>
      </c>
      <c r="T488" t="str">
        <f>IFERROR(VLOOKUP(ROWS($T$3:T488),$R$3:$S$992,2,0),"")</f>
        <v>Výroba cementu</v>
      </c>
      <c r="U488">
        <f>IF(ISNUMBER(SEARCH('1Př1'!$A$36,N488)),MAX($M$2:M487)+1,0)</f>
        <v>486</v>
      </c>
      <c r="V488" s="419" t="s">
        <v>2512</v>
      </c>
      <c r="W488" t="str">
        <f>IFERROR(VLOOKUP(ROWS($W$3:W488),$U$3:$V$992,2,0),"")</f>
        <v>Výroba cementu</v>
      </c>
      <c r="X488">
        <f>IF(ISNUMBER(SEARCH('1Př1'!$A$37,N488)),MAX($M$2:M487)+1,0)</f>
        <v>486</v>
      </c>
      <c r="Y488" s="419" t="s">
        <v>2512</v>
      </c>
      <c r="Z488" t="str">
        <f>IFERROR(VLOOKUP(ROWS($Z$3:Z488),$X$3:$Y$992,2,0),"")</f>
        <v>Výroba cementu</v>
      </c>
    </row>
    <row r="489" spans="13:26" ht="12.75">
      <c r="M489" s="418">
        <f>IF(ISNUMBER(SEARCH(ZAKL_DATA!$B$29,N489)),MAX($M$2:M488)+1,0)</f>
        <v>487</v>
      </c>
      <c r="N489" s="419" t="s">
        <v>2514</v>
      </c>
      <c r="O489" s="436" t="s">
        <v>2515</v>
      </c>
      <c r="P489" s="421"/>
      <c r="Q489" s="422" t="str">
        <f>IFERROR(VLOOKUP(ROWS($Q$3:Q489),$M$3:$N$992,2,0),"")</f>
        <v>Výroba vápna a sádry</v>
      </c>
      <c r="R489">
        <f>IF(ISNUMBER(SEARCH('1Př1'!$A$35,N489)),MAX($M$2:M488)+1,0)</f>
        <v>487</v>
      </c>
      <c r="S489" s="419" t="s">
        <v>2514</v>
      </c>
      <c r="T489" t="str">
        <f>IFERROR(VLOOKUP(ROWS($T$3:T489),$R$3:$S$992,2,0),"")</f>
        <v>Výroba vápna a sádry</v>
      </c>
      <c r="U489">
        <f>IF(ISNUMBER(SEARCH('1Př1'!$A$36,N489)),MAX($M$2:M488)+1,0)</f>
        <v>487</v>
      </c>
      <c r="V489" s="419" t="s">
        <v>2514</v>
      </c>
      <c r="W489" t="str">
        <f>IFERROR(VLOOKUP(ROWS($W$3:W489),$U$3:$V$992,2,0),"")</f>
        <v>Výroba vápna a sádry</v>
      </c>
      <c r="X489">
        <f>IF(ISNUMBER(SEARCH('1Př1'!$A$37,N489)),MAX($M$2:M488)+1,0)</f>
        <v>487</v>
      </c>
      <c r="Y489" s="419" t="s">
        <v>2514</v>
      </c>
      <c r="Z489" t="str">
        <f>IFERROR(VLOOKUP(ROWS($Z$3:Z489),$X$3:$Y$992,2,0),"")</f>
        <v>Výroba vápna a sádry</v>
      </c>
    </row>
    <row r="490" spans="13:26" ht="12.75">
      <c r="M490" s="418">
        <f>IF(ISNUMBER(SEARCH(ZAKL_DATA!$B$29,N490)),MAX($M$2:M489)+1,0)</f>
        <v>488</v>
      </c>
      <c r="N490" s="419" t="s">
        <v>2516</v>
      </c>
      <c r="O490" s="436" t="s">
        <v>2517</v>
      </c>
      <c r="P490" s="421"/>
      <c r="Q490" s="422" t="str">
        <f>IFERROR(VLOOKUP(ROWS($Q$3:Q490),$M$3:$N$992,2,0),"")</f>
        <v>Výroba betonových výrobků pro stavební účely</v>
      </c>
      <c r="R490">
        <f>IF(ISNUMBER(SEARCH('1Př1'!$A$35,N490)),MAX($M$2:M489)+1,0)</f>
        <v>488</v>
      </c>
      <c r="S490" s="419" t="s">
        <v>2516</v>
      </c>
      <c r="T490" t="str">
        <f>IFERROR(VLOOKUP(ROWS($T$3:T490),$R$3:$S$992,2,0),"")</f>
        <v>Výroba betonových výrobků pro stavební účely</v>
      </c>
      <c r="U490">
        <f>IF(ISNUMBER(SEARCH('1Př1'!$A$36,N490)),MAX($M$2:M489)+1,0)</f>
        <v>488</v>
      </c>
      <c r="V490" s="419" t="s">
        <v>2516</v>
      </c>
      <c r="W490" t="str">
        <f>IFERROR(VLOOKUP(ROWS($W$3:W490),$U$3:$V$992,2,0),"")</f>
        <v>Výroba betonových výrobků pro stavební účely</v>
      </c>
      <c r="X490">
        <f>IF(ISNUMBER(SEARCH('1Př1'!$A$37,N490)),MAX($M$2:M489)+1,0)</f>
        <v>488</v>
      </c>
      <c r="Y490" s="419" t="s">
        <v>2516</v>
      </c>
      <c r="Z490" t="str">
        <f>IFERROR(VLOOKUP(ROWS($Z$3:Z490),$X$3:$Y$992,2,0),"")</f>
        <v>Výroba betonových výrobků pro stavební účely</v>
      </c>
    </row>
    <row r="491" spans="13:26" ht="12.75">
      <c r="M491" s="418">
        <f>IF(ISNUMBER(SEARCH(ZAKL_DATA!$B$29,N491)),MAX($M$2:M490)+1,0)</f>
        <v>489</v>
      </c>
      <c r="N491" s="419" t="s">
        <v>2518</v>
      </c>
      <c r="O491" s="436" t="s">
        <v>2519</v>
      </c>
      <c r="P491" s="421"/>
      <c r="Q491" s="422" t="str">
        <f>IFERROR(VLOOKUP(ROWS($Q$3:Q491),$M$3:$N$992,2,0),"")</f>
        <v>Výroba sádrových výrobků pro stavební účely</v>
      </c>
      <c r="R491">
        <f>IF(ISNUMBER(SEARCH('1Př1'!$A$35,N491)),MAX($M$2:M490)+1,0)</f>
        <v>489</v>
      </c>
      <c r="S491" s="419" t="s">
        <v>2518</v>
      </c>
      <c r="T491" t="str">
        <f>IFERROR(VLOOKUP(ROWS($T$3:T491),$R$3:$S$992,2,0),"")</f>
        <v>Výroba sádrových výrobků pro stavební účely</v>
      </c>
      <c r="U491">
        <f>IF(ISNUMBER(SEARCH('1Př1'!$A$36,N491)),MAX($M$2:M490)+1,0)</f>
        <v>489</v>
      </c>
      <c r="V491" s="419" t="s">
        <v>2518</v>
      </c>
      <c r="W491" t="str">
        <f>IFERROR(VLOOKUP(ROWS($W$3:W491),$U$3:$V$992,2,0),"")</f>
        <v>Výroba sádrových výrobků pro stavební účely</v>
      </c>
      <c r="X491">
        <f>IF(ISNUMBER(SEARCH('1Př1'!$A$37,N491)),MAX($M$2:M490)+1,0)</f>
        <v>489</v>
      </c>
      <c r="Y491" s="419" t="s">
        <v>2518</v>
      </c>
      <c r="Z491" t="str">
        <f>IFERROR(VLOOKUP(ROWS($Z$3:Z491),$X$3:$Y$992,2,0),"")</f>
        <v>Výroba sádrových výrobků pro stavební účely</v>
      </c>
    </row>
    <row r="492" spans="13:26" ht="12.75">
      <c r="M492" s="418">
        <f>IF(ISNUMBER(SEARCH(ZAKL_DATA!$B$29,N492)),MAX($M$2:M491)+1,0)</f>
        <v>490</v>
      </c>
      <c r="N492" s="419" t="s">
        <v>2520</v>
      </c>
      <c r="O492" s="436" t="s">
        <v>2521</v>
      </c>
      <c r="P492" s="421"/>
      <c r="Q492" s="422" t="str">
        <f>IFERROR(VLOOKUP(ROWS($Q$3:Q492),$M$3:$N$992,2,0),"")</f>
        <v>Výroba betonu připraveného k lití</v>
      </c>
      <c r="R492">
        <f>IF(ISNUMBER(SEARCH('1Př1'!$A$35,N492)),MAX($M$2:M491)+1,0)</f>
        <v>490</v>
      </c>
      <c r="S492" s="419" t="s">
        <v>2520</v>
      </c>
      <c r="T492" t="str">
        <f>IFERROR(VLOOKUP(ROWS($T$3:T492),$R$3:$S$992,2,0),"")</f>
        <v>Výroba betonu připraveného k lití</v>
      </c>
      <c r="U492">
        <f>IF(ISNUMBER(SEARCH('1Př1'!$A$36,N492)),MAX($M$2:M491)+1,0)</f>
        <v>490</v>
      </c>
      <c r="V492" s="419" t="s">
        <v>2520</v>
      </c>
      <c r="W492" t="str">
        <f>IFERROR(VLOOKUP(ROWS($W$3:W492),$U$3:$V$992,2,0),"")</f>
        <v>Výroba betonu připraveného k lití</v>
      </c>
      <c r="X492">
        <f>IF(ISNUMBER(SEARCH('1Př1'!$A$37,N492)),MAX($M$2:M491)+1,0)</f>
        <v>490</v>
      </c>
      <c r="Y492" s="419" t="s">
        <v>2520</v>
      </c>
      <c r="Z492" t="str">
        <f>IFERROR(VLOOKUP(ROWS($Z$3:Z492),$X$3:$Y$992,2,0),"")</f>
        <v>Výroba betonu připraveného k lití</v>
      </c>
    </row>
    <row r="493" spans="13:26" ht="12.75">
      <c r="M493" s="418">
        <f>IF(ISNUMBER(SEARCH(ZAKL_DATA!$B$29,N493)),MAX($M$2:M492)+1,0)</f>
        <v>491</v>
      </c>
      <c r="N493" s="419" t="s">
        <v>2522</v>
      </c>
      <c r="O493" s="436" t="s">
        <v>2523</v>
      </c>
      <c r="P493" s="421"/>
      <c r="Q493" s="422" t="str">
        <f>IFERROR(VLOOKUP(ROWS($Q$3:Q493),$M$3:$N$992,2,0),"")</f>
        <v>Výroba malt</v>
      </c>
      <c r="R493">
        <f>IF(ISNUMBER(SEARCH('1Př1'!$A$35,N493)),MAX($M$2:M492)+1,0)</f>
        <v>491</v>
      </c>
      <c r="S493" s="419" t="s">
        <v>2522</v>
      </c>
      <c r="T493" t="str">
        <f>IFERROR(VLOOKUP(ROWS($T$3:T493),$R$3:$S$992,2,0),"")</f>
        <v>Výroba malt</v>
      </c>
      <c r="U493">
        <f>IF(ISNUMBER(SEARCH('1Př1'!$A$36,N493)),MAX($M$2:M492)+1,0)</f>
        <v>491</v>
      </c>
      <c r="V493" s="419" t="s">
        <v>2522</v>
      </c>
      <c r="W493" t="str">
        <f>IFERROR(VLOOKUP(ROWS($W$3:W493),$U$3:$V$992,2,0),"")</f>
        <v>Výroba malt</v>
      </c>
      <c r="X493">
        <f>IF(ISNUMBER(SEARCH('1Př1'!$A$37,N493)),MAX($M$2:M492)+1,0)</f>
        <v>491</v>
      </c>
      <c r="Y493" s="419" t="s">
        <v>2522</v>
      </c>
      <c r="Z493" t="str">
        <f>IFERROR(VLOOKUP(ROWS($Z$3:Z493),$X$3:$Y$992,2,0),"")</f>
        <v>Výroba malt</v>
      </c>
    </row>
    <row r="494" spans="13:26" ht="12.75">
      <c r="M494" s="418">
        <f>IF(ISNUMBER(SEARCH(ZAKL_DATA!$B$29,N494)),MAX($M$2:M493)+1,0)</f>
        <v>492</v>
      </c>
      <c r="N494" s="419" t="s">
        <v>2524</v>
      </c>
      <c r="O494" s="436" t="s">
        <v>2525</v>
      </c>
      <c r="P494" s="421"/>
      <c r="Q494" s="422" t="str">
        <f>IFERROR(VLOOKUP(ROWS($Q$3:Q494),$M$3:$N$992,2,0),"")</f>
        <v>Výroba vláknitých cementů</v>
      </c>
      <c r="R494">
        <f>IF(ISNUMBER(SEARCH('1Př1'!$A$35,N494)),MAX($M$2:M493)+1,0)</f>
        <v>492</v>
      </c>
      <c r="S494" s="419" t="s">
        <v>2524</v>
      </c>
      <c r="T494" t="str">
        <f>IFERROR(VLOOKUP(ROWS($T$3:T494),$R$3:$S$992,2,0),"")</f>
        <v>Výroba vláknitých cementů</v>
      </c>
      <c r="U494">
        <f>IF(ISNUMBER(SEARCH('1Př1'!$A$36,N494)),MAX($M$2:M493)+1,0)</f>
        <v>492</v>
      </c>
      <c r="V494" s="419" t="s">
        <v>2524</v>
      </c>
      <c r="W494" t="str">
        <f>IFERROR(VLOOKUP(ROWS($W$3:W494),$U$3:$V$992,2,0),"")</f>
        <v>Výroba vláknitých cementů</v>
      </c>
      <c r="X494">
        <f>IF(ISNUMBER(SEARCH('1Př1'!$A$37,N494)),MAX($M$2:M493)+1,0)</f>
        <v>492</v>
      </c>
      <c r="Y494" s="419" t="s">
        <v>2524</v>
      </c>
      <c r="Z494" t="str">
        <f>IFERROR(VLOOKUP(ROWS($Z$3:Z494),$X$3:$Y$992,2,0),"")</f>
        <v>Výroba vláknitých cementů</v>
      </c>
    </row>
    <row r="495" spans="13:26" ht="12.75">
      <c r="M495" s="418">
        <f>IF(ISNUMBER(SEARCH(ZAKL_DATA!$B$29,N495)),MAX($M$2:M494)+1,0)</f>
        <v>493</v>
      </c>
      <c r="N495" s="419" t="s">
        <v>2526</v>
      </c>
      <c r="O495" s="436" t="s">
        <v>2527</v>
      </c>
      <c r="P495" s="421"/>
      <c r="Q495" s="422" t="str">
        <f>IFERROR(VLOOKUP(ROWS($Q$3:Q495),$M$3:$N$992,2,0),"")</f>
        <v>Výroba ostatních betonových, cementových a sádrových výrobků</v>
      </c>
      <c r="R495">
        <f>IF(ISNUMBER(SEARCH('1Př1'!$A$35,N495)),MAX($M$2:M494)+1,0)</f>
        <v>493</v>
      </c>
      <c r="S495" s="419" t="s">
        <v>2526</v>
      </c>
      <c r="T495" t="str">
        <f>IFERROR(VLOOKUP(ROWS($T$3:T495),$R$3:$S$992,2,0),"")</f>
        <v>Výroba ostatních betonových, cementových a sádrových výrobků</v>
      </c>
      <c r="U495">
        <f>IF(ISNUMBER(SEARCH('1Př1'!$A$36,N495)),MAX($M$2:M494)+1,0)</f>
        <v>493</v>
      </c>
      <c r="V495" s="419" t="s">
        <v>2526</v>
      </c>
      <c r="W495" t="str">
        <f>IFERROR(VLOOKUP(ROWS($W$3:W495),$U$3:$V$992,2,0),"")</f>
        <v>Výroba ostatních betonových, cementových a sádrových výrobků</v>
      </c>
      <c r="X495">
        <f>IF(ISNUMBER(SEARCH('1Př1'!$A$37,N495)),MAX($M$2:M494)+1,0)</f>
        <v>493</v>
      </c>
      <c r="Y495" s="419" t="s">
        <v>2526</v>
      </c>
      <c r="Z495" t="str">
        <f>IFERROR(VLOOKUP(ROWS($Z$3:Z495),$X$3:$Y$992,2,0),"")</f>
        <v>Výroba ostatních betonových, cementových a sádrových výrobků</v>
      </c>
    </row>
    <row r="496" spans="13:26" ht="12.75">
      <c r="M496" s="418">
        <f>IF(ISNUMBER(SEARCH(ZAKL_DATA!$B$29,N496)),MAX($M$2:M495)+1,0)</f>
        <v>494</v>
      </c>
      <c r="N496" s="419" t="s">
        <v>2528</v>
      </c>
      <c r="O496" s="436" t="s">
        <v>2529</v>
      </c>
      <c r="P496" s="421"/>
      <c r="Q496" s="422" t="str">
        <f>IFERROR(VLOOKUP(ROWS($Q$3:Q496),$M$3:$N$992,2,0),"")</f>
        <v>Výroba brusiv</v>
      </c>
      <c r="R496">
        <f>IF(ISNUMBER(SEARCH('1Př1'!$A$35,N496)),MAX($M$2:M495)+1,0)</f>
        <v>494</v>
      </c>
      <c r="S496" s="419" t="s">
        <v>2528</v>
      </c>
      <c r="T496" t="str">
        <f>IFERROR(VLOOKUP(ROWS($T$3:T496),$R$3:$S$992,2,0),"")</f>
        <v>Výroba brusiv</v>
      </c>
      <c r="U496">
        <f>IF(ISNUMBER(SEARCH('1Př1'!$A$36,N496)),MAX($M$2:M495)+1,0)</f>
        <v>494</v>
      </c>
      <c r="V496" s="419" t="s">
        <v>2528</v>
      </c>
      <c r="W496" t="str">
        <f>IFERROR(VLOOKUP(ROWS($W$3:W496),$U$3:$V$992,2,0),"")</f>
        <v>Výroba brusiv</v>
      </c>
      <c r="X496">
        <f>IF(ISNUMBER(SEARCH('1Př1'!$A$37,N496)),MAX($M$2:M495)+1,0)</f>
        <v>494</v>
      </c>
      <c r="Y496" s="419" t="s">
        <v>2528</v>
      </c>
      <c r="Z496" t="str">
        <f>IFERROR(VLOOKUP(ROWS($Z$3:Z496),$X$3:$Y$992,2,0),"")</f>
        <v>Výroba brusiv</v>
      </c>
    </row>
    <row r="497" spans="13:26" ht="12.75">
      <c r="M497" s="418">
        <f>IF(ISNUMBER(SEARCH(ZAKL_DATA!$B$29,N497)),MAX($M$2:M496)+1,0)</f>
        <v>495</v>
      </c>
      <c r="N497" s="419" t="s">
        <v>2530</v>
      </c>
      <c r="O497" s="436" t="s">
        <v>2531</v>
      </c>
      <c r="P497" s="421"/>
      <c r="Q497" s="422" t="str">
        <f>IFERROR(VLOOKUP(ROWS($Q$3:Q497),$M$3:$N$992,2,0),"")</f>
        <v>Výroba ostatních nekovových minerálních výrobků j.n.</v>
      </c>
      <c r="R497">
        <f>IF(ISNUMBER(SEARCH('1Př1'!$A$35,N497)),MAX($M$2:M496)+1,0)</f>
        <v>495</v>
      </c>
      <c r="S497" s="419" t="s">
        <v>2530</v>
      </c>
      <c r="T497" t="str">
        <f>IFERROR(VLOOKUP(ROWS($T$3:T497),$R$3:$S$992,2,0),"")</f>
        <v>Výroba ostatních nekovových minerálních výrobků j.n.</v>
      </c>
      <c r="U497">
        <f>IF(ISNUMBER(SEARCH('1Př1'!$A$36,N497)),MAX($M$2:M496)+1,0)</f>
        <v>495</v>
      </c>
      <c r="V497" s="419" t="s">
        <v>2530</v>
      </c>
      <c r="W497" t="str">
        <f>IFERROR(VLOOKUP(ROWS($W$3:W497),$U$3:$V$992,2,0),"")</f>
        <v>Výroba ostatních nekovových minerálních výrobků j.n.</v>
      </c>
      <c r="X497">
        <f>IF(ISNUMBER(SEARCH('1Př1'!$A$37,N497)),MAX($M$2:M496)+1,0)</f>
        <v>495</v>
      </c>
      <c r="Y497" s="419" t="s">
        <v>2530</v>
      </c>
      <c r="Z497" t="str">
        <f>IFERROR(VLOOKUP(ROWS($Z$3:Z497),$X$3:$Y$992,2,0),"")</f>
        <v>Výroba ostatních nekovových minerálních výrobků j.n.</v>
      </c>
    </row>
    <row r="498" spans="13:26" ht="12.75">
      <c r="M498" s="418">
        <f>IF(ISNUMBER(SEARCH(ZAKL_DATA!$B$29,N498)),MAX($M$2:M497)+1,0)</f>
        <v>496</v>
      </c>
      <c r="N498" s="419" t="s">
        <v>2532</v>
      </c>
      <c r="O498" s="436" t="s">
        <v>2533</v>
      </c>
      <c r="P498" s="421"/>
      <c r="Q498" s="422" t="str">
        <f>IFERROR(VLOOKUP(ROWS($Q$3:Q498),$M$3:$N$992,2,0),"")</f>
        <v>Tažení tyčí za studena</v>
      </c>
      <c r="R498">
        <f>IF(ISNUMBER(SEARCH('1Př1'!$A$35,N498)),MAX($M$2:M497)+1,0)</f>
        <v>496</v>
      </c>
      <c r="S498" s="419" t="s">
        <v>2532</v>
      </c>
      <c r="T498" t="str">
        <f>IFERROR(VLOOKUP(ROWS($T$3:T498),$R$3:$S$992,2,0),"")</f>
        <v>Tažení tyčí za studena</v>
      </c>
      <c r="U498">
        <f>IF(ISNUMBER(SEARCH('1Př1'!$A$36,N498)),MAX($M$2:M497)+1,0)</f>
        <v>496</v>
      </c>
      <c r="V498" s="419" t="s">
        <v>2532</v>
      </c>
      <c r="W498" t="str">
        <f>IFERROR(VLOOKUP(ROWS($W$3:W498),$U$3:$V$992,2,0),"")</f>
        <v>Tažení tyčí za studena</v>
      </c>
      <c r="X498">
        <f>IF(ISNUMBER(SEARCH('1Př1'!$A$37,N498)),MAX($M$2:M497)+1,0)</f>
        <v>496</v>
      </c>
      <c r="Y498" s="419" t="s">
        <v>2532</v>
      </c>
      <c r="Z498" t="str">
        <f>IFERROR(VLOOKUP(ROWS($Z$3:Z498),$X$3:$Y$992,2,0),"")</f>
        <v>Tažení tyčí za studena</v>
      </c>
    </row>
    <row r="499" spans="13:26" ht="12.75">
      <c r="M499" s="418">
        <f>IF(ISNUMBER(SEARCH(ZAKL_DATA!$B$29,N499)),MAX($M$2:M498)+1,0)</f>
        <v>497</v>
      </c>
      <c r="N499" s="419" t="s">
        <v>2534</v>
      </c>
      <c r="O499" s="436" t="s">
        <v>2535</v>
      </c>
      <c r="P499" s="421"/>
      <c r="Q499" s="422" t="str">
        <f>IFERROR(VLOOKUP(ROWS($Q$3:Q499),$M$3:$N$992,2,0),"")</f>
        <v>Válcování ocelových úzkých pásů za studena</v>
      </c>
      <c r="R499">
        <f>IF(ISNUMBER(SEARCH('1Př1'!$A$35,N499)),MAX($M$2:M498)+1,0)</f>
        <v>497</v>
      </c>
      <c r="S499" s="419" t="s">
        <v>2534</v>
      </c>
      <c r="T499" t="str">
        <f>IFERROR(VLOOKUP(ROWS($T$3:T499),$R$3:$S$992,2,0),"")</f>
        <v>Válcování ocelových úzkých pásů za studena</v>
      </c>
      <c r="U499">
        <f>IF(ISNUMBER(SEARCH('1Př1'!$A$36,N499)),MAX($M$2:M498)+1,0)</f>
        <v>497</v>
      </c>
      <c r="V499" s="419" t="s">
        <v>2534</v>
      </c>
      <c r="W499" t="str">
        <f>IFERROR(VLOOKUP(ROWS($W$3:W499),$U$3:$V$992,2,0),"")</f>
        <v>Válcování ocelových úzkých pásů za studena</v>
      </c>
      <c r="X499">
        <f>IF(ISNUMBER(SEARCH('1Př1'!$A$37,N499)),MAX($M$2:M498)+1,0)</f>
        <v>497</v>
      </c>
      <c r="Y499" s="419" t="s">
        <v>2534</v>
      </c>
      <c r="Z499" t="str">
        <f>IFERROR(VLOOKUP(ROWS($Z$3:Z499),$X$3:$Y$992,2,0),"")</f>
        <v>Válcování ocelových úzkých pásů za studena</v>
      </c>
    </row>
    <row r="500" spans="13:26" ht="12.75">
      <c r="M500" s="418">
        <f>IF(ISNUMBER(SEARCH(ZAKL_DATA!$B$29,N500)),MAX($M$2:M499)+1,0)</f>
        <v>498</v>
      </c>
      <c r="N500" s="419" t="s">
        <v>2536</v>
      </c>
      <c r="O500" s="436" t="s">
        <v>2537</v>
      </c>
      <c r="P500" s="421"/>
      <c r="Q500" s="422" t="str">
        <f>IFERROR(VLOOKUP(ROWS($Q$3:Q500),$M$3:$N$992,2,0),"")</f>
        <v>Tváření ocelových profilů za studena</v>
      </c>
      <c r="R500">
        <f>IF(ISNUMBER(SEARCH('1Př1'!$A$35,N500)),MAX($M$2:M499)+1,0)</f>
        <v>498</v>
      </c>
      <c r="S500" s="419" t="s">
        <v>2536</v>
      </c>
      <c r="T500" t="str">
        <f>IFERROR(VLOOKUP(ROWS($T$3:T500),$R$3:$S$992,2,0),"")</f>
        <v>Tváření ocelových profilů za studena</v>
      </c>
      <c r="U500">
        <f>IF(ISNUMBER(SEARCH('1Př1'!$A$36,N500)),MAX($M$2:M499)+1,0)</f>
        <v>498</v>
      </c>
      <c r="V500" s="419" t="s">
        <v>2536</v>
      </c>
      <c r="W500" t="str">
        <f>IFERROR(VLOOKUP(ROWS($W$3:W500),$U$3:$V$992,2,0),"")</f>
        <v>Tváření ocelových profilů za studena</v>
      </c>
      <c r="X500">
        <f>IF(ISNUMBER(SEARCH('1Př1'!$A$37,N500)),MAX($M$2:M499)+1,0)</f>
        <v>498</v>
      </c>
      <c r="Y500" s="419" t="s">
        <v>2536</v>
      </c>
      <c r="Z500" t="str">
        <f>IFERROR(VLOOKUP(ROWS($Z$3:Z500),$X$3:$Y$992,2,0),"")</f>
        <v>Tváření ocelových profilů za studena</v>
      </c>
    </row>
    <row r="501" spans="13:26" ht="12.75">
      <c r="M501" s="418">
        <f>IF(ISNUMBER(SEARCH(ZAKL_DATA!$B$29,N501)),MAX($M$2:M500)+1,0)</f>
        <v>499</v>
      </c>
      <c r="N501" s="419" t="s">
        <v>2538</v>
      </c>
      <c r="O501" s="436" t="s">
        <v>2539</v>
      </c>
      <c r="P501" s="421"/>
      <c r="Q501" s="422" t="str">
        <f>IFERROR(VLOOKUP(ROWS($Q$3:Q501),$M$3:$N$992,2,0),"")</f>
        <v>Tažení ocelového drátu za studena</v>
      </c>
      <c r="R501">
        <f>IF(ISNUMBER(SEARCH('1Př1'!$A$35,N501)),MAX($M$2:M500)+1,0)</f>
        <v>499</v>
      </c>
      <c r="S501" s="419" t="s">
        <v>2538</v>
      </c>
      <c r="T501" t="str">
        <f>IFERROR(VLOOKUP(ROWS($T$3:T501),$R$3:$S$992,2,0),"")</f>
        <v>Tažení ocelového drátu za studena</v>
      </c>
      <c r="U501">
        <f>IF(ISNUMBER(SEARCH('1Př1'!$A$36,N501)),MAX($M$2:M500)+1,0)</f>
        <v>499</v>
      </c>
      <c r="V501" s="419" t="s">
        <v>2538</v>
      </c>
      <c r="W501" t="str">
        <f>IFERROR(VLOOKUP(ROWS($W$3:W501),$U$3:$V$992,2,0),"")</f>
        <v>Tažení ocelového drátu za studena</v>
      </c>
      <c r="X501">
        <f>IF(ISNUMBER(SEARCH('1Př1'!$A$37,N501)),MAX($M$2:M500)+1,0)</f>
        <v>499</v>
      </c>
      <c r="Y501" s="419" t="s">
        <v>2538</v>
      </c>
      <c r="Z501" t="str">
        <f>IFERROR(VLOOKUP(ROWS($Z$3:Z501),$X$3:$Y$992,2,0),"")</f>
        <v>Tažení ocelového drátu za studena</v>
      </c>
    </row>
    <row r="502" spans="13:26" ht="12.75">
      <c r="M502" s="418">
        <f>IF(ISNUMBER(SEARCH(ZAKL_DATA!$B$29,N502)),MAX($M$2:M501)+1,0)</f>
        <v>500</v>
      </c>
      <c r="N502" s="419" t="s">
        <v>2540</v>
      </c>
      <c r="O502" s="436" t="s">
        <v>2541</v>
      </c>
      <c r="P502" s="421"/>
      <c r="Q502" s="422" t="str">
        <f>IFERROR(VLOOKUP(ROWS($Q$3:Q502),$M$3:$N$992,2,0),"")</f>
        <v>Výroba a hutní zpracování drahých kovů</v>
      </c>
      <c r="R502">
        <f>IF(ISNUMBER(SEARCH('1Př1'!$A$35,N502)),MAX($M$2:M501)+1,0)</f>
        <v>500</v>
      </c>
      <c r="S502" s="419" t="s">
        <v>2540</v>
      </c>
      <c r="T502" t="str">
        <f>IFERROR(VLOOKUP(ROWS($T$3:T502),$R$3:$S$992,2,0),"")</f>
        <v>Výroba a hutní zpracování drahých kovů</v>
      </c>
      <c r="U502">
        <f>IF(ISNUMBER(SEARCH('1Př1'!$A$36,N502)),MAX($M$2:M501)+1,0)</f>
        <v>500</v>
      </c>
      <c r="V502" s="419" t="s">
        <v>2540</v>
      </c>
      <c r="W502" t="str">
        <f>IFERROR(VLOOKUP(ROWS($W$3:W502),$U$3:$V$992,2,0),"")</f>
        <v>Výroba a hutní zpracování drahých kovů</v>
      </c>
      <c r="X502">
        <f>IF(ISNUMBER(SEARCH('1Př1'!$A$37,N502)),MAX($M$2:M501)+1,0)</f>
        <v>500</v>
      </c>
      <c r="Y502" s="419" t="s">
        <v>2540</v>
      </c>
      <c r="Z502" t="str">
        <f>IFERROR(VLOOKUP(ROWS($Z$3:Z502),$X$3:$Y$992,2,0),"")</f>
        <v>Výroba a hutní zpracování drahých kovů</v>
      </c>
    </row>
    <row r="503" spans="13:26" ht="12.75">
      <c r="M503" s="418">
        <f>IF(ISNUMBER(SEARCH(ZAKL_DATA!$B$29,N503)),MAX($M$2:M502)+1,0)</f>
        <v>501</v>
      </c>
      <c r="N503" s="419" t="s">
        <v>2542</v>
      </c>
      <c r="O503" s="436" t="s">
        <v>2543</v>
      </c>
      <c r="P503" s="421"/>
      <c r="Q503" s="422" t="str">
        <f>IFERROR(VLOOKUP(ROWS($Q$3:Q503),$M$3:$N$992,2,0),"")</f>
        <v>Výroba a hutní zpracování hliníku</v>
      </c>
      <c r="R503">
        <f>IF(ISNUMBER(SEARCH('1Př1'!$A$35,N503)),MAX($M$2:M502)+1,0)</f>
        <v>501</v>
      </c>
      <c r="S503" s="419" t="s">
        <v>2542</v>
      </c>
      <c r="T503" t="str">
        <f>IFERROR(VLOOKUP(ROWS($T$3:T503),$R$3:$S$992,2,0),"")</f>
        <v>Výroba a hutní zpracování hliníku</v>
      </c>
      <c r="U503">
        <f>IF(ISNUMBER(SEARCH('1Př1'!$A$36,N503)),MAX($M$2:M502)+1,0)</f>
        <v>501</v>
      </c>
      <c r="V503" s="419" t="s">
        <v>2542</v>
      </c>
      <c r="W503" t="str">
        <f>IFERROR(VLOOKUP(ROWS($W$3:W503),$U$3:$V$992,2,0),"")</f>
        <v>Výroba a hutní zpracování hliníku</v>
      </c>
      <c r="X503">
        <f>IF(ISNUMBER(SEARCH('1Př1'!$A$37,N503)),MAX($M$2:M502)+1,0)</f>
        <v>501</v>
      </c>
      <c r="Y503" s="419" t="s">
        <v>2542</v>
      </c>
      <c r="Z503" t="str">
        <f>IFERROR(VLOOKUP(ROWS($Z$3:Z503),$X$3:$Y$992,2,0),"")</f>
        <v>Výroba a hutní zpracování hliníku</v>
      </c>
    </row>
    <row r="504" spans="13:26" ht="12.75">
      <c r="M504" s="418">
        <f>IF(ISNUMBER(SEARCH(ZAKL_DATA!$B$29,N504)),MAX($M$2:M503)+1,0)</f>
        <v>502</v>
      </c>
      <c r="N504" s="419" t="s">
        <v>2544</v>
      </c>
      <c r="O504" s="436" t="s">
        <v>2545</v>
      </c>
      <c r="P504" s="421"/>
      <c r="Q504" s="422" t="str">
        <f>IFERROR(VLOOKUP(ROWS($Q$3:Q504),$M$3:$N$992,2,0),"")</f>
        <v>Výroba a hutní zpracování olova, zinku a cínu</v>
      </c>
      <c r="R504">
        <f>IF(ISNUMBER(SEARCH('1Př1'!$A$35,N504)),MAX($M$2:M503)+1,0)</f>
        <v>502</v>
      </c>
      <c r="S504" s="419" t="s">
        <v>2544</v>
      </c>
      <c r="T504" t="str">
        <f>IFERROR(VLOOKUP(ROWS($T$3:T504),$R$3:$S$992,2,0),"")</f>
        <v>Výroba a hutní zpracování olova, zinku a cínu</v>
      </c>
      <c r="U504">
        <f>IF(ISNUMBER(SEARCH('1Př1'!$A$36,N504)),MAX($M$2:M503)+1,0)</f>
        <v>502</v>
      </c>
      <c r="V504" s="419" t="s">
        <v>2544</v>
      </c>
      <c r="W504" t="str">
        <f>IFERROR(VLOOKUP(ROWS($W$3:W504),$U$3:$V$992,2,0),"")</f>
        <v>Výroba a hutní zpracování olova, zinku a cínu</v>
      </c>
      <c r="X504">
        <f>IF(ISNUMBER(SEARCH('1Př1'!$A$37,N504)),MAX($M$2:M503)+1,0)</f>
        <v>502</v>
      </c>
      <c r="Y504" s="419" t="s">
        <v>2544</v>
      </c>
      <c r="Z504" t="str">
        <f>IFERROR(VLOOKUP(ROWS($Z$3:Z504),$X$3:$Y$992,2,0),"")</f>
        <v>Výroba a hutní zpracování olova, zinku a cínu</v>
      </c>
    </row>
    <row r="505" spans="13:26" ht="12.75">
      <c r="M505" s="418">
        <f>IF(ISNUMBER(SEARCH(ZAKL_DATA!$B$29,N505)),MAX($M$2:M504)+1,0)</f>
        <v>503</v>
      </c>
      <c r="N505" s="419" t="s">
        <v>2546</v>
      </c>
      <c r="O505" s="436" t="s">
        <v>2547</v>
      </c>
      <c r="P505" s="421"/>
      <c r="Q505" s="422" t="str">
        <f>IFERROR(VLOOKUP(ROWS($Q$3:Q505),$M$3:$N$992,2,0),"")</f>
        <v>Výroba a hutní zpracování mědi</v>
      </c>
      <c r="R505">
        <f>IF(ISNUMBER(SEARCH('1Př1'!$A$35,N505)),MAX($M$2:M504)+1,0)</f>
        <v>503</v>
      </c>
      <c r="S505" s="419" t="s">
        <v>2546</v>
      </c>
      <c r="T505" t="str">
        <f>IFERROR(VLOOKUP(ROWS($T$3:T505),$R$3:$S$992,2,0),"")</f>
        <v>Výroba a hutní zpracování mědi</v>
      </c>
      <c r="U505">
        <f>IF(ISNUMBER(SEARCH('1Př1'!$A$36,N505)),MAX($M$2:M504)+1,0)</f>
        <v>503</v>
      </c>
      <c r="V505" s="419" t="s">
        <v>2546</v>
      </c>
      <c r="W505" t="str">
        <f>IFERROR(VLOOKUP(ROWS($W$3:W505),$U$3:$V$992,2,0),"")</f>
        <v>Výroba a hutní zpracování mědi</v>
      </c>
      <c r="X505">
        <f>IF(ISNUMBER(SEARCH('1Př1'!$A$37,N505)),MAX($M$2:M504)+1,0)</f>
        <v>503</v>
      </c>
      <c r="Y505" s="419" t="s">
        <v>2546</v>
      </c>
      <c r="Z505" t="str">
        <f>IFERROR(VLOOKUP(ROWS($Z$3:Z505),$X$3:$Y$992,2,0),"")</f>
        <v>Výroba a hutní zpracování mědi</v>
      </c>
    </row>
    <row r="506" spans="13:26" ht="12.75">
      <c r="M506" s="418">
        <f>IF(ISNUMBER(SEARCH(ZAKL_DATA!$B$29,N506)),MAX($M$2:M505)+1,0)</f>
        <v>504</v>
      </c>
      <c r="N506" s="419" t="s">
        <v>2548</v>
      </c>
      <c r="O506" s="436" t="s">
        <v>2549</v>
      </c>
      <c r="P506" s="421"/>
      <c r="Q506" s="422" t="str">
        <f>IFERROR(VLOOKUP(ROWS($Q$3:Q506),$M$3:$N$992,2,0),"")</f>
        <v>Výroba a hutní zpracování ostatních neželezných kovů</v>
      </c>
      <c r="R506">
        <f>IF(ISNUMBER(SEARCH('1Př1'!$A$35,N506)),MAX($M$2:M505)+1,0)</f>
        <v>504</v>
      </c>
      <c r="S506" s="419" t="s">
        <v>2548</v>
      </c>
      <c r="T506" t="str">
        <f>IFERROR(VLOOKUP(ROWS($T$3:T506),$R$3:$S$992,2,0),"")</f>
        <v>Výroba a hutní zpracování ostatních neželezných kovů</v>
      </c>
      <c r="U506">
        <f>IF(ISNUMBER(SEARCH('1Př1'!$A$36,N506)),MAX($M$2:M505)+1,0)</f>
        <v>504</v>
      </c>
      <c r="V506" s="419" t="s">
        <v>2548</v>
      </c>
      <c r="W506" t="str">
        <f>IFERROR(VLOOKUP(ROWS($W$3:W506),$U$3:$V$992,2,0),"")</f>
        <v>Výroba a hutní zpracování ostatních neželezných kovů</v>
      </c>
      <c r="X506">
        <f>IF(ISNUMBER(SEARCH('1Př1'!$A$37,N506)),MAX($M$2:M505)+1,0)</f>
        <v>504</v>
      </c>
      <c r="Y506" s="419" t="s">
        <v>2548</v>
      </c>
      <c r="Z506" t="str">
        <f>IFERROR(VLOOKUP(ROWS($Z$3:Z506),$X$3:$Y$992,2,0),"")</f>
        <v>Výroba a hutní zpracování ostatních neželezných kovů</v>
      </c>
    </row>
    <row r="507" spans="13:26" ht="12.75">
      <c r="M507" s="418">
        <f>IF(ISNUMBER(SEARCH(ZAKL_DATA!$B$29,N507)),MAX($M$2:M506)+1,0)</f>
        <v>505</v>
      </c>
      <c r="N507" s="419" t="s">
        <v>2550</v>
      </c>
      <c r="O507" s="436" t="s">
        <v>2551</v>
      </c>
      <c r="P507" s="421"/>
      <c r="Q507" s="422" t="str">
        <f>IFERROR(VLOOKUP(ROWS($Q$3:Q507),$M$3:$N$992,2,0),"")</f>
        <v>Zpracování jaderného paliva</v>
      </c>
      <c r="R507">
        <f>IF(ISNUMBER(SEARCH('1Př1'!$A$35,N507)),MAX($M$2:M506)+1,0)</f>
        <v>505</v>
      </c>
      <c r="S507" s="419" t="s">
        <v>2550</v>
      </c>
      <c r="T507" t="str">
        <f>IFERROR(VLOOKUP(ROWS($T$3:T507),$R$3:$S$992,2,0),"")</f>
        <v>Zpracování jaderného paliva</v>
      </c>
      <c r="U507">
        <f>IF(ISNUMBER(SEARCH('1Př1'!$A$36,N507)),MAX($M$2:M506)+1,0)</f>
        <v>505</v>
      </c>
      <c r="V507" s="419" t="s">
        <v>2550</v>
      </c>
      <c r="W507" t="str">
        <f>IFERROR(VLOOKUP(ROWS($W$3:W507),$U$3:$V$992,2,0),"")</f>
        <v>Zpracování jaderného paliva</v>
      </c>
      <c r="X507">
        <f>IF(ISNUMBER(SEARCH('1Př1'!$A$37,N507)),MAX($M$2:M506)+1,0)</f>
        <v>505</v>
      </c>
      <c r="Y507" s="419" t="s">
        <v>2550</v>
      </c>
      <c r="Z507" t="str">
        <f>IFERROR(VLOOKUP(ROWS($Z$3:Z507),$X$3:$Y$992,2,0),"")</f>
        <v>Zpracování jaderného paliva</v>
      </c>
    </row>
    <row r="508" spans="13:26" ht="12.75">
      <c r="M508" s="418">
        <f>IF(ISNUMBER(SEARCH(ZAKL_DATA!$B$29,N508)),MAX($M$2:M507)+1,0)</f>
        <v>506</v>
      </c>
      <c r="N508" s="419" t="s">
        <v>2552</v>
      </c>
      <c r="O508" s="436" t="s">
        <v>2553</v>
      </c>
      <c r="P508" s="421"/>
      <c r="Q508" s="422" t="str">
        <f>IFERROR(VLOOKUP(ROWS($Q$3:Q508),$M$3:$N$992,2,0),"")</f>
        <v>Výroba odlitků z litiny</v>
      </c>
      <c r="R508">
        <f>IF(ISNUMBER(SEARCH('1Př1'!$A$35,N508)),MAX($M$2:M507)+1,0)</f>
        <v>506</v>
      </c>
      <c r="S508" s="419" t="s">
        <v>2552</v>
      </c>
      <c r="T508" t="str">
        <f>IFERROR(VLOOKUP(ROWS($T$3:T508),$R$3:$S$992,2,0),"")</f>
        <v>Výroba odlitků z litiny</v>
      </c>
      <c r="U508">
        <f>IF(ISNUMBER(SEARCH('1Př1'!$A$36,N508)),MAX($M$2:M507)+1,0)</f>
        <v>506</v>
      </c>
      <c r="V508" s="419" t="s">
        <v>2552</v>
      </c>
      <c r="W508" t="str">
        <f>IFERROR(VLOOKUP(ROWS($W$3:W508),$U$3:$V$992,2,0),"")</f>
        <v>Výroba odlitků z litiny</v>
      </c>
      <c r="X508">
        <f>IF(ISNUMBER(SEARCH('1Př1'!$A$37,N508)),MAX($M$2:M507)+1,0)</f>
        <v>506</v>
      </c>
      <c r="Y508" s="419" t="s">
        <v>2552</v>
      </c>
      <c r="Z508" t="str">
        <f>IFERROR(VLOOKUP(ROWS($Z$3:Z508),$X$3:$Y$992,2,0),"")</f>
        <v>Výroba odlitků z litiny</v>
      </c>
    </row>
    <row r="509" spans="13:26" ht="12.75">
      <c r="M509" s="418">
        <f>IF(ISNUMBER(SEARCH(ZAKL_DATA!$B$29,N509)),MAX($M$2:M508)+1,0)</f>
        <v>507</v>
      </c>
      <c r="N509" s="419" t="s">
        <v>2554</v>
      </c>
      <c r="O509" s="436" t="s">
        <v>2555</v>
      </c>
      <c r="P509" s="421"/>
      <c r="Q509" s="422" t="str">
        <f>IFERROR(VLOOKUP(ROWS($Q$3:Q509),$M$3:$N$992,2,0),"")</f>
        <v>Výroba odlitků z oceli</v>
      </c>
      <c r="R509">
        <f>IF(ISNUMBER(SEARCH('1Př1'!$A$35,N509)),MAX($M$2:M508)+1,0)</f>
        <v>507</v>
      </c>
      <c r="S509" s="419" t="s">
        <v>2554</v>
      </c>
      <c r="T509" t="str">
        <f>IFERROR(VLOOKUP(ROWS($T$3:T509),$R$3:$S$992,2,0),"")</f>
        <v>Výroba odlitků z oceli</v>
      </c>
      <c r="U509">
        <f>IF(ISNUMBER(SEARCH('1Př1'!$A$36,N509)),MAX($M$2:M508)+1,0)</f>
        <v>507</v>
      </c>
      <c r="V509" s="419" t="s">
        <v>2554</v>
      </c>
      <c r="W509" t="str">
        <f>IFERROR(VLOOKUP(ROWS($W$3:W509),$U$3:$V$992,2,0),"")</f>
        <v>Výroba odlitků z oceli</v>
      </c>
      <c r="X509">
        <f>IF(ISNUMBER(SEARCH('1Př1'!$A$37,N509)),MAX($M$2:M508)+1,0)</f>
        <v>507</v>
      </c>
      <c r="Y509" s="419" t="s">
        <v>2554</v>
      </c>
      <c r="Z509" t="str">
        <f>IFERROR(VLOOKUP(ROWS($Z$3:Z509),$X$3:$Y$992,2,0),"")</f>
        <v>Výroba odlitků z oceli</v>
      </c>
    </row>
    <row r="510" spans="13:26" ht="12.75">
      <c r="M510" s="418">
        <f>IF(ISNUMBER(SEARCH(ZAKL_DATA!$B$29,N510)),MAX($M$2:M509)+1,0)</f>
        <v>508</v>
      </c>
      <c r="N510" s="419" t="s">
        <v>2556</v>
      </c>
      <c r="O510" s="436" t="s">
        <v>2557</v>
      </c>
      <c r="P510" s="421"/>
      <c r="Q510" s="422" t="str">
        <f>IFERROR(VLOOKUP(ROWS($Q$3:Q510),$M$3:$N$992,2,0),"")</f>
        <v>Výroba odlitků z lehkých neželezných kovů</v>
      </c>
      <c r="R510">
        <f>IF(ISNUMBER(SEARCH('1Př1'!$A$35,N510)),MAX($M$2:M509)+1,0)</f>
        <v>508</v>
      </c>
      <c r="S510" s="419" t="s">
        <v>2556</v>
      </c>
      <c r="T510" t="str">
        <f>IFERROR(VLOOKUP(ROWS($T$3:T510),$R$3:$S$992,2,0),"")</f>
        <v>Výroba odlitků z lehkých neželezných kovů</v>
      </c>
      <c r="U510">
        <f>IF(ISNUMBER(SEARCH('1Př1'!$A$36,N510)),MAX($M$2:M509)+1,0)</f>
        <v>508</v>
      </c>
      <c r="V510" s="419" t="s">
        <v>2556</v>
      </c>
      <c r="W510" t="str">
        <f>IFERROR(VLOOKUP(ROWS($W$3:W510),$U$3:$V$992,2,0),"")</f>
        <v>Výroba odlitků z lehkých neželezných kovů</v>
      </c>
      <c r="X510">
        <f>IF(ISNUMBER(SEARCH('1Př1'!$A$37,N510)),MAX($M$2:M509)+1,0)</f>
        <v>508</v>
      </c>
      <c r="Y510" s="419" t="s">
        <v>2556</v>
      </c>
      <c r="Z510" t="str">
        <f>IFERROR(VLOOKUP(ROWS($Z$3:Z510),$X$3:$Y$992,2,0),"")</f>
        <v>Výroba odlitků z lehkých neželezných kovů</v>
      </c>
    </row>
    <row r="511" spans="13:26" ht="12.75">
      <c r="M511" s="418">
        <f>IF(ISNUMBER(SEARCH(ZAKL_DATA!$B$29,N511)),MAX($M$2:M510)+1,0)</f>
        <v>509</v>
      </c>
      <c r="N511" s="419" t="s">
        <v>2558</v>
      </c>
      <c r="O511" s="436" t="s">
        <v>2559</v>
      </c>
      <c r="P511" s="421"/>
      <c r="Q511" s="422" t="str">
        <f>IFERROR(VLOOKUP(ROWS($Q$3:Q511),$M$3:$N$992,2,0),"")</f>
        <v>Výroba odlitků z ostatních neželezných kovů</v>
      </c>
      <c r="R511">
        <f>IF(ISNUMBER(SEARCH('1Př1'!$A$35,N511)),MAX($M$2:M510)+1,0)</f>
        <v>509</v>
      </c>
      <c r="S511" s="419" t="s">
        <v>2558</v>
      </c>
      <c r="T511" t="str">
        <f>IFERROR(VLOOKUP(ROWS($T$3:T511),$R$3:$S$992,2,0),"")</f>
        <v>Výroba odlitků z ostatních neželezných kovů</v>
      </c>
      <c r="U511">
        <f>IF(ISNUMBER(SEARCH('1Př1'!$A$36,N511)),MAX($M$2:M510)+1,0)</f>
        <v>509</v>
      </c>
      <c r="V511" s="419" t="s">
        <v>2558</v>
      </c>
      <c r="W511" t="str">
        <f>IFERROR(VLOOKUP(ROWS($W$3:W511),$U$3:$V$992,2,0),"")</f>
        <v>Výroba odlitků z ostatních neželezných kovů</v>
      </c>
      <c r="X511">
        <f>IF(ISNUMBER(SEARCH('1Př1'!$A$37,N511)),MAX($M$2:M510)+1,0)</f>
        <v>509</v>
      </c>
      <c r="Y511" s="419" t="s">
        <v>2558</v>
      </c>
      <c r="Z511" t="str">
        <f>IFERROR(VLOOKUP(ROWS($Z$3:Z511),$X$3:$Y$992,2,0),"")</f>
        <v>Výroba odlitků z ostatních neželezných kovů</v>
      </c>
    </row>
    <row r="512" spans="13:26" ht="12.75">
      <c r="M512" s="418">
        <f>IF(ISNUMBER(SEARCH(ZAKL_DATA!$B$29,N512)),MAX($M$2:M511)+1,0)</f>
        <v>510</v>
      </c>
      <c r="N512" s="419" t="s">
        <v>2560</v>
      </c>
      <c r="O512" s="436" t="s">
        <v>2561</v>
      </c>
      <c r="P512" s="421"/>
      <c r="Q512" s="422" t="str">
        <f>IFERROR(VLOOKUP(ROWS($Q$3:Q512),$M$3:$N$992,2,0),"")</f>
        <v>Výroba kovových konstrukcí a jejich dílů</v>
      </c>
      <c r="R512">
        <f>IF(ISNUMBER(SEARCH('1Př1'!$A$35,N512)),MAX($M$2:M511)+1,0)</f>
        <v>510</v>
      </c>
      <c r="S512" s="419" t="s">
        <v>2560</v>
      </c>
      <c r="T512" t="str">
        <f>IFERROR(VLOOKUP(ROWS($T$3:T512),$R$3:$S$992,2,0),"")</f>
        <v>Výroba kovových konstrukcí a jejich dílů</v>
      </c>
      <c r="U512">
        <f>IF(ISNUMBER(SEARCH('1Př1'!$A$36,N512)),MAX($M$2:M511)+1,0)</f>
        <v>510</v>
      </c>
      <c r="V512" s="419" t="s">
        <v>2560</v>
      </c>
      <c r="W512" t="str">
        <f>IFERROR(VLOOKUP(ROWS($W$3:W512),$U$3:$V$992,2,0),"")</f>
        <v>Výroba kovových konstrukcí a jejich dílů</v>
      </c>
      <c r="X512">
        <f>IF(ISNUMBER(SEARCH('1Př1'!$A$37,N512)),MAX($M$2:M511)+1,0)</f>
        <v>510</v>
      </c>
      <c r="Y512" s="419" t="s">
        <v>2560</v>
      </c>
      <c r="Z512" t="str">
        <f>IFERROR(VLOOKUP(ROWS($Z$3:Z512),$X$3:$Y$992,2,0),"")</f>
        <v>Výroba kovových konstrukcí a jejich dílů</v>
      </c>
    </row>
    <row r="513" spans="13:26" ht="12.75">
      <c r="M513" s="418">
        <f>IF(ISNUMBER(SEARCH(ZAKL_DATA!$B$29,N513)),MAX($M$2:M512)+1,0)</f>
        <v>511</v>
      </c>
      <c r="N513" s="419" t="s">
        <v>2562</v>
      </c>
      <c r="O513" s="436" t="s">
        <v>2563</v>
      </c>
      <c r="P513" s="421"/>
      <c r="Q513" s="422" t="str">
        <f>IFERROR(VLOOKUP(ROWS($Q$3:Q513),$M$3:$N$992,2,0),"")</f>
        <v>Výroba kovových dveří a oken</v>
      </c>
      <c r="R513">
        <f>IF(ISNUMBER(SEARCH('1Př1'!$A$35,N513)),MAX($M$2:M512)+1,0)</f>
        <v>511</v>
      </c>
      <c r="S513" s="419" t="s">
        <v>2562</v>
      </c>
      <c r="T513" t="str">
        <f>IFERROR(VLOOKUP(ROWS($T$3:T513),$R$3:$S$992,2,0),"")</f>
        <v>Výroba kovových dveří a oken</v>
      </c>
      <c r="U513">
        <f>IF(ISNUMBER(SEARCH('1Př1'!$A$36,N513)),MAX($M$2:M512)+1,0)</f>
        <v>511</v>
      </c>
      <c r="V513" s="419" t="s">
        <v>2562</v>
      </c>
      <c r="W513" t="str">
        <f>IFERROR(VLOOKUP(ROWS($W$3:W513),$U$3:$V$992,2,0),"")</f>
        <v>Výroba kovových dveří a oken</v>
      </c>
      <c r="X513">
        <f>IF(ISNUMBER(SEARCH('1Př1'!$A$37,N513)),MAX($M$2:M512)+1,0)</f>
        <v>511</v>
      </c>
      <c r="Y513" s="419" t="s">
        <v>2562</v>
      </c>
      <c r="Z513" t="str">
        <f>IFERROR(VLOOKUP(ROWS($Z$3:Z513),$X$3:$Y$992,2,0),"")</f>
        <v>Výroba kovových dveří a oken</v>
      </c>
    </row>
    <row r="514" spans="13:26" ht="12.75">
      <c r="M514" s="418">
        <f>IF(ISNUMBER(SEARCH(ZAKL_DATA!$B$29,N514)),MAX($M$2:M513)+1,0)</f>
        <v>512</v>
      </c>
      <c r="N514" s="419" t="s">
        <v>2564</v>
      </c>
      <c r="O514" s="436" t="s">
        <v>2565</v>
      </c>
      <c r="P514" s="421"/>
      <c r="Q514" s="422" t="str">
        <f>IFERROR(VLOOKUP(ROWS($Q$3:Q514),$M$3:$N$992,2,0),"")</f>
        <v>Výroba radiátorů a kotlů k ústřednímu topení</v>
      </c>
      <c r="R514">
        <f>IF(ISNUMBER(SEARCH('1Př1'!$A$35,N514)),MAX($M$2:M513)+1,0)</f>
        <v>512</v>
      </c>
      <c r="S514" s="419" t="s">
        <v>2564</v>
      </c>
      <c r="T514" t="str">
        <f>IFERROR(VLOOKUP(ROWS($T$3:T514),$R$3:$S$992,2,0),"")</f>
        <v>Výroba radiátorů a kotlů k ústřednímu topení</v>
      </c>
      <c r="U514">
        <f>IF(ISNUMBER(SEARCH('1Př1'!$A$36,N514)),MAX($M$2:M513)+1,0)</f>
        <v>512</v>
      </c>
      <c r="V514" s="419" t="s">
        <v>2564</v>
      </c>
      <c r="W514" t="str">
        <f>IFERROR(VLOOKUP(ROWS($W$3:W514),$U$3:$V$992,2,0),"")</f>
        <v>Výroba radiátorů a kotlů k ústřednímu topení</v>
      </c>
      <c r="X514">
        <f>IF(ISNUMBER(SEARCH('1Př1'!$A$37,N514)),MAX($M$2:M513)+1,0)</f>
        <v>512</v>
      </c>
      <c r="Y514" s="419" t="s">
        <v>2564</v>
      </c>
      <c r="Z514" t="str">
        <f>IFERROR(VLOOKUP(ROWS($Z$3:Z514),$X$3:$Y$992,2,0),"")</f>
        <v>Výroba radiátorů a kotlů k ústřednímu topení</v>
      </c>
    </row>
    <row r="515" spans="13:26" ht="12.75">
      <c r="M515" s="418">
        <f>IF(ISNUMBER(SEARCH(ZAKL_DATA!$B$29,N515)),MAX($M$2:M514)+1,0)</f>
        <v>513</v>
      </c>
      <c r="N515" s="419" t="s">
        <v>2566</v>
      </c>
      <c r="O515" s="436" t="s">
        <v>2567</v>
      </c>
      <c r="P515" s="421"/>
      <c r="Q515" s="422" t="str">
        <f>IFERROR(VLOOKUP(ROWS($Q$3:Q515),$M$3:$N$992,2,0),"")</f>
        <v>Výroba kovových nádrží a zásobníků</v>
      </c>
      <c r="R515">
        <f>IF(ISNUMBER(SEARCH('1Př1'!$A$35,N515)),MAX($M$2:M514)+1,0)</f>
        <v>513</v>
      </c>
      <c r="S515" s="419" t="s">
        <v>2566</v>
      </c>
      <c r="T515" t="str">
        <f>IFERROR(VLOOKUP(ROWS($T$3:T515),$R$3:$S$992,2,0),"")</f>
        <v>Výroba kovových nádrží a zásobníků</v>
      </c>
      <c r="U515">
        <f>IF(ISNUMBER(SEARCH('1Př1'!$A$36,N515)),MAX($M$2:M514)+1,0)</f>
        <v>513</v>
      </c>
      <c r="V515" s="419" t="s">
        <v>2566</v>
      </c>
      <c r="W515" t="str">
        <f>IFERROR(VLOOKUP(ROWS($W$3:W515),$U$3:$V$992,2,0),"")</f>
        <v>Výroba kovových nádrží a zásobníků</v>
      </c>
      <c r="X515">
        <f>IF(ISNUMBER(SEARCH('1Př1'!$A$37,N515)),MAX($M$2:M514)+1,0)</f>
        <v>513</v>
      </c>
      <c r="Y515" s="419" t="s">
        <v>2566</v>
      </c>
      <c r="Z515" t="str">
        <f>IFERROR(VLOOKUP(ROWS($Z$3:Z515),$X$3:$Y$992,2,0),"")</f>
        <v>Výroba kovových nádrží a zásobníků</v>
      </c>
    </row>
    <row r="516" spans="13:26" ht="12.75">
      <c r="M516" s="418">
        <f>IF(ISNUMBER(SEARCH(ZAKL_DATA!$B$29,N516)),MAX($M$2:M515)+1,0)</f>
        <v>514</v>
      </c>
      <c r="N516" s="419" t="s">
        <v>2568</v>
      </c>
      <c r="O516" s="436" t="s">
        <v>2569</v>
      </c>
      <c r="P516" s="421"/>
      <c r="Q516" s="422" t="str">
        <f>IFERROR(VLOOKUP(ROWS($Q$3:Q516),$M$3:$N$992,2,0),"")</f>
        <v>Povrchová úprava a zušlechťování kovů</v>
      </c>
      <c r="R516">
        <f>IF(ISNUMBER(SEARCH('1Př1'!$A$35,N516)),MAX($M$2:M515)+1,0)</f>
        <v>514</v>
      </c>
      <c r="S516" s="419" t="s">
        <v>2568</v>
      </c>
      <c r="T516" t="str">
        <f>IFERROR(VLOOKUP(ROWS($T$3:T516),$R$3:$S$992,2,0),"")</f>
        <v>Povrchová úprava a zušlechťování kovů</v>
      </c>
      <c r="U516">
        <f>IF(ISNUMBER(SEARCH('1Př1'!$A$36,N516)),MAX($M$2:M515)+1,0)</f>
        <v>514</v>
      </c>
      <c r="V516" s="419" t="s">
        <v>2568</v>
      </c>
      <c r="W516" t="str">
        <f>IFERROR(VLOOKUP(ROWS($W$3:W516),$U$3:$V$992,2,0),"")</f>
        <v>Povrchová úprava a zušlechťování kovů</v>
      </c>
      <c r="X516">
        <f>IF(ISNUMBER(SEARCH('1Př1'!$A$37,N516)),MAX($M$2:M515)+1,0)</f>
        <v>514</v>
      </c>
      <c r="Y516" s="419" t="s">
        <v>2568</v>
      </c>
      <c r="Z516" t="str">
        <f>IFERROR(VLOOKUP(ROWS($Z$3:Z516),$X$3:$Y$992,2,0),"")</f>
        <v>Povrchová úprava a zušlechťování kovů</v>
      </c>
    </row>
    <row r="517" spans="13:26" ht="12.75">
      <c r="M517" s="418">
        <f>IF(ISNUMBER(SEARCH(ZAKL_DATA!$B$29,N517)),MAX($M$2:M516)+1,0)</f>
        <v>515</v>
      </c>
      <c r="N517" s="419" t="s">
        <v>2570</v>
      </c>
      <c r="O517" s="436" t="s">
        <v>2571</v>
      </c>
      <c r="P517" s="421"/>
      <c r="Q517" s="422" t="str">
        <f>IFERROR(VLOOKUP(ROWS($Q$3:Q517),$M$3:$N$992,2,0),"")</f>
        <v>Obrábění</v>
      </c>
      <c r="R517">
        <f>IF(ISNUMBER(SEARCH('1Př1'!$A$35,N517)),MAX($M$2:M516)+1,0)</f>
        <v>515</v>
      </c>
      <c r="S517" s="419" t="s">
        <v>2570</v>
      </c>
      <c r="T517" t="str">
        <f>IFERROR(VLOOKUP(ROWS($T$3:T517),$R$3:$S$992,2,0),"")</f>
        <v>Obrábění</v>
      </c>
      <c r="U517">
        <f>IF(ISNUMBER(SEARCH('1Př1'!$A$36,N517)),MAX($M$2:M516)+1,0)</f>
        <v>515</v>
      </c>
      <c r="V517" s="419" t="s">
        <v>2570</v>
      </c>
      <c r="W517" t="str">
        <f>IFERROR(VLOOKUP(ROWS($W$3:W517),$U$3:$V$992,2,0),"")</f>
        <v>Obrábění</v>
      </c>
      <c r="X517">
        <f>IF(ISNUMBER(SEARCH('1Př1'!$A$37,N517)),MAX($M$2:M516)+1,0)</f>
        <v>515</v>
      </c>
      <c r="Y517" s="419" t="s">
        <v>2570</v>
      </c>
      <c r="Z517" t="str">
        <f>IFERROR(VLOOKUP(ROWS($Z$3:Z517),$X$3:$Y$992,2,0),"")</f>
        <v>Obrábění</v>
      </c>
    </row>
    <row r="518" spans="13:26" ht="12.75">
      <c r="M518" s="418">
        <f>IF(ISNUMBER(SEARCH(ZAKL_DATA!$B$29,N518)),MAX($M$2:M517)+1,0)</f>
        <v>516</v>
      </c>
      <c r="N518" s="419" t="s">
        <v>2572</v>
      </c>
      <c r="O518" s="436" t="s">
        <v>2573</v>
      </c>
      <c r="P518" s="421"/>
      <c r="Q518" s="422" t="str">
        <f>IFERROR(VLOOKUP(ROWS($Q$3:Q518),$M$3:$N$992,2,0),"")</f>
        <v>Výroba nožířských výrobků</v>
      </c>
      <c r="R518">
        <f>IF(ISNUMBER(SEARCH('1Př1'!$A$35,N518)),MAX($M$2:M517)+1,0)</f>
        <v>516</v>
      </c>
      <c r="S518" s="419" t="s">
        <v>2572</v>
      </c>
      <c r="T518" t="str">
        <f>IFERROR(VLOOKUP(ROWS($T$3:T518),$R$3:$S$992,2,0),"")</f>
        <v>Výroba nožířských výrobků</v>
      </c>
      <c r="U518">
        <f>IF(ISNUMBER(SEARCH('1Př1'!$A$36,N518)),MAX($M$2:M517)+1,0)</f>
        <v>516</v>
      </c>
      <c r="V518" s="419" t="s">
        <v>2572</v>
      </c>
      <c r="W518" t="str">
        <f>IFERROR(VLOOKUP(ROWS($W$3:W518),$U$3:$V$992,2,0),"")</f>
        <v>Výroba nožířských výrobků</v>
      </c>
      <c r="X518">
        <f>IF(ISNUMBER(SEARCH('1Př1'!$A$37,N518)),MAX($M$2:M517)+1,0)</f>
        <v>516</v>
      </c>
      <c r="Y518" s="419" t="s">
        <v>2572</v>
      </c>
      <c r="Z518" t="str">
        <f>IFERROR(VLOOKUP(ROWS($Z$3:Z518),$X$3:$Y$992,2,0),"")</f>
        <v>Výroba nožířských výrobků</v>
      </c>
    </row>
    <row r="519" spans="13:26" ht="12.75">
      <c r="M519" s="418">
        <f>IF(ISNUMBER(SEARCH(ZAKL_DATA!$B$29,N519)),MAX($M$2:M518)+1,0)</f>
        <v>517</v>
      </c>
      <c r="N519" s="419" t="s">
        <v>2574</v>
      </c>
      <c r="O519" s="436" t="s">
        <v>2575</v>
      </c>
      <c r="P519" s="421"/>
      <c r="Q519" s="422" t="str">
        <f>IFERROR(VLOOKUP(ROWS($Q$3:Q519),$M$3:$N$992,2,0),"")</f>
        <v>Výroba zámků a kování</v>
      </c>
      <c r="R519">
        <f>IF(ISNUMBER(SEARCH('1Př1'!$A$35,N519)),MAX($M$2:M518)+1,0)</f>
        <v>517</v>
      </c>
      <c r="S519" s="419" t="s">
        <v>2574</v>
      </c>
      <c r="T519" t="str">
        <f>IFERROR(VLOOKUP(ROWS($T$3:T519),$R$3:$S$992,2,0),"")</f>
        <v>Výroba zámků a kování</v>
      </c>
      <c r="U519">
        <f>IF(ISNUMBER(SEARCH('1Př1'!$A$36,N519)),MAX($M$2:M518)+1,0)</f>
        <v>517</v>
      </c>
      <c r="V519" s="419" t="s">
        <v>2574</v>
      </c>
      <c r="W519" t="str">
        <f>IFERROR(VLOOKUP(ROWS($W$3:W519),$U$3:$V$992,2,0),"")</f>
        <v>Výroba zámků a kování</v>
      </c>
      <c r="X519">
        <f>IF(ISNUMBER(SEARCH('1Př1'!$A$37,N519)),MAX($M$2:M518)+1,0)</f>
        <v>517</v>
      </c>
      <c r="Y519" s="419" t="s">
        <v>2574</v>
      </c>
      <c r="Z519" t="str">
        <f>IFERROR(VLOOKUP(ROWS($Z$3:Z519),$X$3:$Y$992,2,0),"")</f>
        <v>Výroba zámků a kování</v>
      </c>
    </row>
    <row r="520" spans="13:26" ht="12.75">
      <c r="M520" s="418">
        <f>IF(ISNUMBER(SEARCH(ZAKL_DATA!$B$29,N520)),MAX($M$2:M519)+1,0)</f>
        <v>518</v>
      </c>
      <c r="N520" s="419" t="s">
        <v>2576</v>
      </c>
      <c r="O520" s="436" t="s">
        <v>2577</v>
      </c>
      <c r="P520" s="421"/>
      <c r="Q520" s="422" t="str">
        <f>IFERROR(VLOOKUP(ROWS($Q$3:Q520),$M$3:$N$992,2,0),"")</f>
        <v>Výroba nástrojů a nářadí</v>
      </c>
      <c r="R520">
        <f>IF(ISNUMBER(SEARCH('1Př1'!$A$35,N520)),MAX($M$2:M519)+1,0)</f>
        <v>518</v>
      </c>
      <c r="S520" s="419" t="s">
        <v>2576</v>
      </c>
      <c r="T520" t="str">
        <f>IFERROR(VLOOKUP(ROWS($T$3:T520),$R$3:$S$992,2,0),"")</f>
        <v>Výroba nástrojů a nářadí</v>
      </c>
      <c r="U520">
        <f>IF(ISNUMBER(SEARCH('1Př1'!$A$36,N520)),MAX($M$2:M519)+1,0)</f>
        <v>518</v>
      </c>
      <c r="V520" s="419" t="s">
        <v>2576</v>
      </c>
      <c r="W520" t="str">
        <f>IFERROR(VLOOKUP(ROWS($W$3:W520),$U$3:$V$992,2,0),"")</f>
        <v>Výroba nástrojů a nářadí</v>
      </c>
      <c r="X520">
        <f>IF(ISNUMBER(SEARCH('1Př1'!$A$37,N520)),MAX($M$2:M519)+1,0)</f>
        <v>518</v>
      </c>
      <c r="Y520" s="419" t="s">
        <v>2576</v>
      </c>
      <c r="Z520" t="str">
        <f>IFERROR(VLOOKUP(ROWS($Z$3:Z520),$X$3:$Y$992,2,0),"")</f>
        <v>Výroba nástrojů a nářadí</v>
      </c>
    </row>
    <row r="521" spans="13:26" ht="12.75">
      <c r="M521" s="418">
        <f>IF(ISNUMBER(SEARCH(ZAKL_DATA!$B$29,N521)),MAX($M$2:M520)+1,0)</f>
        <v>519</v>
      </c>
      <c r="N521" s="419" t="s">
        <v>2578</v>
      </c>
      <c r="O521" s="436" t="s">
        <v>2579</v>
      </c>
      <c r="P521" s="421"/>
      <c r="Q521" s="422" t="str">
        <f>IFERROR(VLOOKUP(ROWS($Q$3:Q521),$M$3:$N$992,2,0),"")</f>
        <v>Výroba ocelových sudů a podobných nádob</v>
      </c>
      <c r="R521">
        <f>IF(ISNUMBER(SEARCH('1Př1'!$A$35,N521)),MAX($M$2:M520)+1,0)</f>
        <v>519</v>
      </c>
      <c r="S521" s="419" t="s">
        <v>2578</v>
      </c>
      <c r="T521" t="str">
        <f>IFERROR(VLOOKUP(ROWS($T$3:T521),$R$3:$S$992,2,0),"")</f>
        <v>Výroba ocelových sudů a podobných nádob</v>
      </c>
      <c r="U521">
        <f>IF(ISNUMBER(SEARCH('1Př1'!$A$36,N521)),MAX($M$2:M520)+1,0)</f>
        <v>519</v>
      </c>
      <c r="V521" s="419" t="s">
        <v>2578</v>
      </c>
      <c r="W521" t="str">
        <f>IFERROR(VLOOKUP(ROWS($W$3:W521),$U$3:$V$992,2,0),"")</f>
        <v>Výroba ocelových sudů a podobných nádob</v>
      </c>
      <c r="X521">
        <f>IF(ISNUMBER(SEARCH('1Př1'!$A$37,N521)),MAX($M$2:M520)+1,0)</f>
        <v>519</v>
      </c>
      <c r="Y521" s="419" t="s">
        <v>2578</v>
      </c>
      <c r="Z521" t="str">
        <f>IFERROR(VLOOKUP(ROWS($Z$3:Z521),$X$3:$Y$992,2,0),"")</f>
        <v>Výroba ocelových sudů a podobných nádob</v>
      </c>
    </row>
    <row r="522" spans="13:26" ht="12.75">
      <c r="M522" s="418">
        <f>IF(ISNUMBER(SEARCH(ZAKL_DATA!$B$29,N522)),MAX($M$2:M521)+1,0)</f>
        <v>520</v>
      </c>
      <c r="N522" s="419" t="s">
        <v>2580</v>
      </c>
      <c r="O522" s="436" t="s">
        <v>2581</v>
      </c>
      <c r="P522" s="421"/>
      <c r="Q522" s="422" t="str">
        <f>IFERROR(VLOOKUP(ROWS($Q$3:Q522),$M$3:$N$992,2,0),"")</f>
        <v>Výroba drobných kovových obalů</v>
      </c>
      <c r="R522">
        <f>IF(ISNUMBER(SEARCH('1Př1'!$A$35,N522)),MAX($M$2:M521)+1,0)</f>
        <v>520</v>
      </c>
      <c r="S522" s="419" t="s">
        <v>2580</v>
      </c>
      <c r="T522" t="str">
        <f>IFERROR(VLOOKUP(ROWS($T$3:T522),$R$3:$S$992,2,0),"")</f>
        <v>Výroba drobných kovových obalů</v>
      </c>
      <c r="U522">
        <f>IF(ISNUMBER(SEARCH('1Př1'!$A$36,N522)),MAX($M$2:M521)+1,0)</f>
        <v>520</v>
      </c>
      <c r="V522" s="419" t="s">
        <v>2580</v>
      </c>
      <c r="W522" t="str">
        <f>IFERROR(VLOOKUP(ROWS($W$3:W522),$U$3:$V$992,2,0),"")</f>
        <v>Výroba drobných kovových obalů</v>
      </c>
      <c r="X522">
        <f>IF(ISNUMBER(SEARCH('1Př1'!$A$37,N522)),MAX($M$2:M521)+1,0)</f>
        <v>520</v>
      </c>
      <c r="Y522" s="419" t="s">
        <v>2580</v>
      </c>
      <c r="Z522" t="str">
        <f>IFERROR(VLOOKUP(ROWS($Z$3:Z522),$X$3:$Y$992,2,0),"")</f>
        <v>Výroba drobných kovových obalů</v>
      </c>
    </row>
    <row r="523" spans="13:26" ht="12.75">
      <c r="M523" s="418">
        <f>IF(ISNUMBER(SEARCH(ZAKL_DATA!$B$29,N523)),MAX($M$2:M522)+1,0)</f>
        <v>521</v>
      </c>
      <c r="N523" s="419" t="s">
        <v>2582</v>
      </c>
      <c r="O523" s="436" t="s">
        <v>2583</v>
      </c>
      <c r="P523" s="421"/>
      <c r="Q523" s="422" t="str">
        <f>IFERROR(VLOOKUP(ROWS($Q$3:Q523),$M$3:$N$992,2,0),"")</f>
        <v>Výroba drátěných výrobků, řetězů a pružin</v>
      </c>
      <c r="R523">
        <f>IF(ISNUMBER(SEARCH('1Př1'!$A$35,N523)),MAX($M$2:M522)+1,0)</f>
        <v>521</v>
      </c>
      <c r="S523" s="419" t="s">
        <v>2582</v>
      </c>
      <c r="T523" t="str">
        <f>IFERROR(VLOOKUP(ROWS($T$3:T523),$R$3:$S$992,2,0),"")</f>
        <v>Výroba drátěných výrobků, řetězů a pružin</v>
      </c>
      <c r="U523">
        <f>IF(ISNUMBER(SEARCH('1Př1'!$A$36,N523)),MAX($M$2:M522)+1,0)</f>
        <v>521</v>
      </c>
      <c r="V523" s="419" t="s">
        <v>2582</v>
      </c>
      <c r="W523" t="str">
        <f>IFERROR(VLOOKUP(ROWS($W$3:W523),$U$3:$V$992,2,0),"")</f>
        <v>Výroba drátěných výrobků, řetězů a pružin</v>
      </c>
      <c r="X523">
        <f>IF(ISNUMBER(SEARCH('1Př1'!$A$37,N523)),MAX($M$2:M522)+1,0)</f>
        <v>521</v>
      </c>
      <c r="Y523" s="419" t="s">
        <v>2582</v>
      </c>
      <c r="Z523" t="str">
        <f>IFERROR(VLOOKUP(ROWS($Z$3:Z523),$X$3:$Y$992,2,0),"")</f>
        <v>Výroba drátěných výrobků, řetězů a pružin</v>
      </c>
    </row>
    <row r="524" spans="13:26" ht="12.75">
      <c r="M524" s="418">
        <f>IF(ISNUMBER(SEARCH(ZAKL_DATA!$B$29,N524)),MAX($M$2:M523)+1,0)</f>
        <v>522</v>
      </c>
      <c r="N524" s="419" t="s">
        <v>2584</v>
      </c>
      <c r="O524" s="436" t="s">
        <v>2585</v>
      </c>
      <c r="P524" s="421"/>
      <c r="Q524" s="422" t="str">
        <f>IFERROR(VLOOKUP(ROWS($Q$3:Q524),$M$3:$N$992,2,0),"")</f>
        <v>Výroba spojovacích materiálů a spojovacích výrobků se závity</v>
      </c>
      <c r="R524">
        <f>IF(ISNUMBER(SEARCH('1Př1'!$A$35,N524)),MAX($M$2:M523)+1,0)</f>
        <v>522</v>
      </c>
      <c r="S524" s="419" t="s">
        <v>2584</v>
      </c>
      <c r="T524" t="str">
        <f>IFERROR(VLOOKUP(ROWS($T$3:T524),$R$3:$S$992,2,0),"")</f>
        <v>Výroba spojovacích materiálů a spojovacích výrobků se závity</v>
      </c>
      <c r="U524">
        <f>IF(ISNUMBER(SEARCH('1Př1'!$A$36,N524)),MAX($M$2:M523)+1,0)</f>
        <v>522</v>
      </c>
      <c r="V524" s="419" t="s">
        <v>2584</v>
      </c>
      <c r="W524" t="str">
        <f>IFERROR(VLOOKUP(ROWS($W$3:W524),$U$3:$V$992,2,0),"")</f>
        <v>Výroba spojovacích materiálů a spojovacích výrobků se závity</v>
      </c>
      <c r="X524">
        <f>IF(ISNUMBER(SEARCH('1Př1'!$A$37,N524)),MAX($M$2:M523)+1,0)</f>
        <v>522</v>
      </c>
      <c r="Y524" s="419" t="s">
        <v>2584</v>
      </c>
      <c r="Z524" t="str">
        <f>IFERROR(VLOOKUP(ROWS($Z$3:Z524),$X$3:$Y$992,2,0),"")</f>
        <v>Výroba spojovacích materiálů a spojovacích výrobků se závity</v>
      </c>
    </row>
    <row r="525" spans="13:26" ht="12.75">
      <c r="M525" s="418">
        <f>IF(ISNUMBER(SEARCH(ZAKL_DATA!$B$29,N525)),MAX($M$2:M524)+1,0)</f>
        <v>523</v>
      </c>
      <c r="N525" s="419" t="s">
        <v>2586</v>
      </c>
      <c r="O525" s="436" t="s">
        <v>2587</v>
      </c>
      <c r="P525" s="421"/>
      <c r="Q525" s="422" t="str">
        <f>IFERROR(VLOOKUP(ROWS($Q$3:Q525),$M$3:$N$992,2,0),"")</f>
        <v>Výroba ostatních kovodělných výrobků j. n.</v>
      </c>
      <c r="R525">
        <f>IF(ISNUMBER(SEARCH('1Př1'!$A$35,N525)),MAX($M$2:M524)+1,0)</f>
        <v>523</v>
      </c>
      <c r="S525" s="419" t="s">
        <v>2586</v>
      </c>
      <c r="T525" t="str">
        <f>IFERROR(VLOOKUP(ROWS($T$3:T525),$R$3:$S$992,2,0),"")</f>
        <v>Výroba ostatních kovodělných výrobků j. n.</v>
      </c>
      <c r="U525">
        <f>IF(ISNUMBER(SEARCH('1Př1'!$A$36,N525)),MAX($M$2:M524)+1,0)</f>
        <v>523</v>
      </c>
      <c r="V525" s="419" t="s">
        <v>2586</v>
      </c>
      <c r="W525" t="str">
        <f>IFERROR(VLOOKUP(ROWS($W$3:W525),$U$3:$V$992,2,0),"")</f>
        <v>Výroba ostatních kovodělných výrobků j. n.</v>
      </c>
      <c r="X525">
        <f>IF(ISNUMBER(SEARCH('1Př1'!$A$37,N525)),MAX($M$2:M524)+1,0)</f>
        <v>523</v>
      </c>
      <c r="Y525" s="419" t="s">
        <v>2586</v>
      </c>
      <c r="Z525" t="str">
        <f>IFERROR(VLOOKUP(ROWS($Z$3:Z525),$X$3:$Y$992,2,0),"")</f>
        <v>Výroba ostatních kovodělných výrobků j. n.</v>
      </c>
    </row>
    <row r="526" spans="13:26" ht="12.75">
      <c r="M526" s="418">
        <f>IF(ISNUMBER(SEARCH(ZAKL_DATA!$B$29,N526)),MAX($M$2:M525)+1,0)</f>
        <v>524</v>
      </c>
      <c r="N526" s="419" t="s">
        <v>2588</v>
      </c>
      <c r="O526" s="436" t="s">
        <v>2589</v>
      </c>
      <c r="P526" s="421"/>
      <c r="Q526" s="422" t="str">
        <f>IFERROR(VLOOKUP(ROWS($Q$3:Q526),$M$3:$N$992,2,0),"")</f>
        <v>Výroba elektronických součástek</v>
      </c>
      <c r="R526">
        <f>IF(ISNUMBER(SEARCH('1Př1'!$A$35,N526)),MAX($M$2:M525)+1,0)</f>
        <v>524</v>
      </c>
      <c r="S526" s="419" t="s">
        <v>2588</v>
      </c>
      <c r="T526" t="str">
        <f>IFERROR(VLOOKUP(ROWS($T$3:T526),$R$3:$S$992,2,0),"")</f>
        <v>Výroba elektronických součástek</v>
      </c>
      <c r="U526">
        <f>IF(ISNUMBER(SEARCH('1Př1'!$A$36,N526)),MAX($M$2:M525)+1,0)</f>
        <v>524</v>
      </c>
      <c r="V526" s="419" t="s">
        <v>2588</v>
      </c>
      <c r="W526" t="str">
        <f>IFERROR(VLOOKUP(ROWS($W$3:W526),$U$3:$V$992,2,0),"")</f>
        <v>Výroba elektronických součástek</v>
      </c>
      <c r="X526">
        <f>IF(ISNUMBER(SEARCH('1Př1'!$A$37,N526)),MAX($M$2:M525)+1,0)</f>
        <v>524</v>
      </c>
      <c r="Y526" s="419" t="s">
        <v>2588</v>
      </c>
      <c r="Z526" t="str">
        <f>IFERROR(VLOOKUP(ROWS($Z$3:Z526),$X$3:$Y$992,2,0),"")</f>
        <v>Výroba elektronických součástek</v>
      </c>
    </row>
    <row r="527" spans="13:26" ht="12.75">
      <c r="M527" s="418">
        <f>IF(ISNUMBER(SEARCH(ZAKL_DATA!$B$29,N527)),MAX($M$2:M526)+1,0)</f>
        <v>525</v>
      </c>
      <c r="N527" s="419" t="s">
        <v>2590</v>
      </c>
      <c r="O527" s="436" t="s">
        <v>2591</v>
      </c>
      <c r="P527" s="421"/>
      <c r="Q527" s="422" t="str">
        <f>IFERROR(VLOOKUP(ROWS($Q$3:Q527),$M$3:$N$992,2,0),"")</f>
        <v>Výroba osazených elektronických desek</v>
      </c>
      <c r="R527">
        <f>IF(ISNUMBER(SEARCH('1Př1'!$A$35,N527)),MAX($M$2:M526)+1,0)</f>
        <v>525</v>
      </c>
      <c r="S527" s="419" t="s">
        <v>2590</v>
      </c>
      <c r="T527" t="str">
        <f>IFERROR(VLOOKUP(ROWS($T$3:T527),$R$3:$S$992,2,0),"")</f>
        <v>Výroba osazených elektronických desek</v>
      </c>
      <c r="U527">
        <f>IF(ISNUMBER(SEARCH('1Př1'!$A$36,N527)),MAX($M$2:M526)+1,0)</f>
        <v>525</v>
      </c>
      <c r="V527" s="419" t="s">
        <v>2590</v>
      </c>
      <c r="W527" t="str">
        <f>IFERROR(VLOOKUP(ROWS($W$3:W527),$U$3:$V$992,2,0),"")</f>
        <v>Výroba osazených elektronických desek</v>
      </c>
      <c r="X527">
        <f>IF(ISNUMBER(SEARCH('1Př1'!$A$37,N527)),MAX($M$2:M526)+1,0)</f>
        <v>525</v>
      </c>
      <c r="Y527" s="419" t="s">
        <v>2590</v>
      </c>
      <c r="Z527" t="str">
        <f>IFERROR(VLOOKUP(ROWS($Z$3:Z527),$X$3:$Y$992,2,0),"")</f>
        <v>Výroba osazených elektronických desek</v>
      </c>
    </row>
    <row r="528" spans="13:26" ht="12.75">
      <c r="M528" s="418">
        <f>IF(ISNUMBER(SEARCH(ZAKL_DATA!$B$29,N528)),MAX($M$2:M527)+1,0)</f>
        <v>526</v>
      </c>
      <c r="N528" s="419" t="s">
        <v>2592</v>
      </c>
      <c r="O528" s="436" t="s">
        <v>2593</v>
      </c>
      <c r="P528" s="421"/>
      <c r="Q528" s="422" t="str">
        <f>IFERROR(VLOOKUP(ROWS($Q$3:Q528),$M$3:$N$992,2,0),"")</f>
        <v>Výroba měřicích, zkušebních a navigačních přístrojů</v>
      </c>
      <c r="R528">
        <f>IF(ISNUMBER(SEARCH('1Př1'!$A$35,N528)),MAX($M$2:M527)+1,0)</f>
        <v>526</v>
      </c>
      <c r="S528" s="419" t="s">
        <v>2592</v>
      </c>
      <c r="T528" t="str">
        <f>IFERROR(VLOOKUP(ROWS($T$3:T528),$R$3:$S$992,2,0),"")</f>
        <v>Výroba měřicích, zkušebních a navigačních přístrojů</v>
      </c>
      <c r="U528">
        <f>IF(ISNUMBER(SEARCH('1Př1'!$A$36,N528)),MAX($M$2:M527)+1,0)</f>
        <v>526</v>
      </c>
      <c r="V528" s="419" t="s">
        <v>2592</v>
      </c>
      <c r="W528" t="str">
        <f>IFERROR(VLOOKUP(ROWS($W$3:W528),$U$3:$V$992,2,0),"")</f>
        <v>Výroba měřicích, zkušebních a navigačních přístrojů</v>
      </c>
      <c r="X528">
        <f>IF(ISNUMBER(SEARCH('1Př1'!$A$37,N528)),MAX($M$2:M527)+1,0)</f>
        <v>526</v>
      </c>
      <c r="Y528" s="419" t="s">
        <v>2592</v>
      </c>
      <c r="Z528" t="str">
        <f>IFERROR(VLOOKUP(ROWS($Z$3:Z528),$X$3:$Y$992,2,0),"")</f>
        <v>Výroba měřicích, zkušebních a navigačních přístrojů</v>
      </c>
    </row>
    <row r="529" spans="13:26" ht="12.75">
      <c r="M529" s="418">
        <f>IF(ISNUMBER(SEARCH(ZAKL_DATA!$B$29,N529)),MAX($M$2:M528)+1,0)</f>
        <v>527</v>
      </c>
      <c r="N529" s="419" t="s">
        <v>2594</v>
      </c>
      <c r="O529" s="436" t="s">
        <v>2595</v>
      </c>
      <c r="P529" s="421"/>
      <c r="Q529" s="422" t="str">
        <f>IFERROR(VLOOKUP(ROWS($Q$3:Q529),$M$3:$N$992,2,0),"")</f>
        <v>Výroba časoměrných přístrojů</v>
      </c>
      <c r="R529">
        <f>IF(ISNUMBER(SEARCH('1Př1'!$A$35,N529)),MAX($M$2:M528)+1,0)</f>
        <v>527</v>
      </c>
      <c r="S529" s="419" t="s">
        <v>2594</v>
      </c>
      <c r="T529" t="str">
        <f>IFERROR(VLOOKUP(ROWS($T$3:T529),$R$3:$S$992,2,0),"")</f>
        <v>Výroba časoměrných přístrojů</v>
      </c>
      <c r="U529">
        <f>IF(ISNUMBER(SEARCH('1Př1'!$A$36,N529)),MAX($M$2:M528)+1,0)</f>
        <v>527</v>
      </c>
      <c r="V529" s="419" t="s">
        <v>2594</v>
      </c>
      <c r="W529" t="str">
        <f>IFERROR(VLOOKUP(ROWS($W$3:W529),$U$3:$V$992,2,0),"")</f>
        <v>Výroba časoměrných přístrojů</v>
      </c>
      <c r="X529">
        <f>IF(ISNUMBER(SEARCH('1Př1'!$A$37,N529)),MAX($M$2:M528)+1,0)</f>
        <v>527</v>
      </c>
      <c r="Y529" s="419" t="s">
        <v>2594</v>
      </c>
      <c r="Z529" t="str">
        <f>IFERROR(VLOOKUP(ROWS($Z$3:Z529),$X$3:$Y$992,2,0),"")</f>
        <v>Výroba časoměrných přístrojů</v>
      </c>
    </row>
    <row r="530" spans="13:26" ht="12.75">
      <c r="M530" s="418">
        <f>IF(ISNUMBER(SEARCH(ZAKL_DATA!$B$29,N530)),MAX($M$2:M529)+1,0)</f>
        <v>528</v>
      </c>
      <c r="N530" s="419" t="s">
        <v>2596</v>
      </c>
      <c r="O530" s="436" t="s">
        <v>2597</v>
      </c>
      <c r="P530" s="421"/>
      <c r="Q530" s="422" t="str">
        <f>IFERROR(VLOOKUP(ROWS($Q$3:Q530),$M$3:$N$992,2,0),"")</f>
        <v>Výroba elektrických motorů, generátorů a transformátorů</v>
      </c>
      <c r="R530">
        <f>IF(ISNUMBER(SEARCH('1Př1'!$A$35,N530)),MAX($M$2:M529)+1,0)</f>
        <v>528</v>
      </c>
      <c r="S530" s="419" t="s">
        <v>2596</v>
      </c>
      <c r="T530" t="str">
        <f>IFERROR(VLOOKUP(ROWS($T$3:T530),$R$3:$S$992,2,0),"")</f>
        <v>Výroba elektrických motorů, generátorů a transformátorů</v>
      </c>
      <c r="U530">
        <f>IF(ISNUMBER(SEARCH('1Př1'!$A$36,N530)),MAX($M$2:M529)+1,0)</f>
        <v>528</v>
      </c>
      <c r="V530" s="419" t="s">
        <v>2596</v>
      </c>
      <c r="W530" t="str">
        <f>IFERROR(VLOOKUP(ROWS($W$3:W530),$U$3:$V$992,2,0),"")</f>
        <v>Výroba elektrických motorů, generátorů a transformátorů</v>
      </c>
      <c r="X530">
        <f>IF(ISNUMBER(SEARCH('1Př1'!$A$37,N530)),MAX($M$2:M529)+1,0)</f>
        <v>528</v>
      </c>
      <c r="Y530" s="419" t="s">
        <v>2596</v>
      </c>
      <c r="Z530" t="str">
        <f>IFERROR(VLOOKUP(ROWS($Z$3:Z530),$X$3:$Y$992,2,0),"")</f>
        <v>Výroba elektrických motorů, generátorů a transformátorů</v>
      </c>
    </row>
    <row r="531" spans="13:26" ht="12.75">
      <c r="M531" s="418">
        <f>IF(ISNUMBER(SEARCH(ZAKL_DATA!$B$29,N531)),MAX($M$2:M530)+1,0)</f>
        <v>529</v>
      </c>
      <c r="N531" s="419" t="s">
        <v>2598</v>
      </c>
      <c r="O531" s="436" t="s">
        <v>2599</v>
      </c>
      <c r="P531" s="421"/>
      <c r="Q531" s="422" t="str">
        <f>IFERROR(VLOOKUP(ROWS($Q$3:Q531),$M$3:$N$992,2,0),"")</f>
        <v>Výroba elektrických rozvodných a kontrolních zařízení</v>
      </c>
      <c r="R531">
        <f>IF(ISNUMBER(SEARCH('1Př1'!$A$35,N531)),MAX($M$2:M530)+1,0)</f>
        <v>529</v>
      </c>
      <c r="S531" s="419" t="s">
        <v>2598</v>
      </c>
      <c r="T531" t="str">
        <f>IFERROR(VLOOKUP(ROWS($T$3:T531),$R$3:$S$992,2,0),"")</f>
        <v>Výroba elektrických rozvodných a kontrolních zařízení</v>
      </c>
      <c r="U531">
        <f>IF(ISNUMBER(SEARCH('1Př1'!$A$36,N531)),MAX($M$2:M530)+1,0)</f>
        <v>529</v>
      </c>
      <c r="V531" s="419" t="s">
        <v>2598</v>
      </c>
      <c r="W531" t="str">
        <f>IFERROR(VLOOKUP(ROWS($W$3:W531),$U$3:$V$992,2,0),"")</f>
        <v>Výroba elektrických rozvodných a kontrolních zařízení</v>
      </c>
      <c r="X531">
        <f>IF(ISNUMBER(SEARCH('1Př1'!$A$37,N531)),MAX($M$2:M530)+1,0)</f>
        <v>529</v>
      </c>
      <c r="Y531" s="419" t="s">
        <v>2598</v>
      </c>
      <c r="Z531" t="str">
        <f>IFERROR(VLOOKUP(ROWS($Z$3:Z531),$X$3:$Y$992,2,0),"")</f>
        <v>Výroba elektrických rozvodných a kontrolních zařízení</v>
      </c>
    </row>
    <row r="532" spans="13:26" ht="12.75">
      <c r="M532" s="418">
        <f>IF(ISNUMBER(SEARCH(ZAKL_DATA!$B$29,N532)),MAX($M$2:M531)+1,0)</f>
        <v>530</v>
      </c>
      <c r="N532" s="419" t="s">
        <v>2600</v>
      </c>
      <c r="O532" s="436" t="s">
        <v>2601</v>
      </c>
      <c r="P532" s="421"/>
      <c r="Q532" s="422" t="str">
        <f>IFERROR(VLOOKUP(ROWS($Q$3:Q532),$M$3:$N$992,2,0),"")</f>
        <v>Výroba optických kabelů</v>
      </c>
      <c r="R532">
        <f>IF(ISNUMBER(SEARCH('1Př1'!$A$35,N532)),MAX($M$2:M531)+1,0)</f>
        <v>530</v>
      </c>
      <c r="S532" s="419" t="s">
        <v>2600</v>
      </c>
      <c r="T532" t="str">
        <f>IFERROR(VLOOKUP(ROWS($T$3:T532),$R$3:$S$992,2,0),"")</f>
        <v>Výroba optických kabelů</v>
      </c>
      <c r="U532">
        <f>IF(ISNUMBER(SEARCH('1Př1'!$A$36,N532)),MAX($M$2:M531)+1,0)</f>
        <v>530</v>
      </c>
      <c r="V532" s="419" t="s">
        <v>2600</v>
      </c>
      <c r="W532" t="str">
        <f>IFERROR(VLOOKUP(ROWS($W$3:W532),$U$3:$V$992,2,0),"")</f>
        <v>Výroba optických kabelů</v>
      </c>
      <c r="X532">
        <f>IF(ISNUMBER(SEARCH('1Př1'!$A$37,N532)),MAX($M$2:M531)+1,0)</f>
        <v>530</v>
      </c>
      <c r="Y532" s="419" t="s">
        <v>2600</v>
      </c>
      <c r="Z532" t="str">
        <f>IFERROR(VLOOKUP(ROWS($Z$3:Z532),$X$3:$Y$992,2,0),"")</f>
        <v>Výroba optických kabelů</v>
      </c>
    </row>
    <row r="533" spans="13:26" ht="12.75">
      <c r="M533" s="418">
        <f>IF(ISNUMBER(SEARCH(ZAKL_DATA!$B$29,N533)),MAX($M$2:M532)+1,0)</f>
        <v>531</v>
      </c>
      <c r="N533" s="419" t="s">
        <v>2602</v>
      </c>
      <c r="O533" s="436" t="s">
        <v>2603</v>
      </c>
      <c r="P533" s="421"/>
      <c r="Q533" s="422" t="str">
        <f>IFERROR(VLOOKUP(ROWS($Q$3:Q533),$M$3:$N$992,2,0),"")</f>
        <v>Výroba elektrických vodičů a kabelů j. n.</v>
      </c>
      <c r="R533">
        <f>IF(ISNUMBER(SEARCH('1Př1'!$A$35,N533)),MAX($M$2:M532)+1,0)</f>
        <v>531</v>
      </c>
      <c r="S533" s="419" t="s">
        <v>2602</v>
      </c>
      <c r="T533" t="str">
        <f>IFERROR(VLOOKUP(ROWS($T$3:T533),$R$3:$S$992,2,0),"")</f>
        <v>Výroba elektrických vodičů a kabelů j. n.</v>
      </c>
      <c r="U533">
        <f>IF(ISNUMBER(SEARCH('1Př1'!$A$36,N533)),MAX($M$2:M532)+1,0)</f>
        <v>531</v>
      </c>
      <c r="V533" s="419" t="s">
        <v>2602</v>
      </c>
      <c r="W533" t="str">
        <f>IFERROR(VLOOKUP(ROWS($W$3:W533),$U$3:$V$992,2,0),"")</f>
        <v>Výroba elektrických vodičů a kabelů j. n.</v>
      </c>
      <c r="X533">
        <f>IF(ISNUMBER(SEARCH('1Př1'!$A$37,N533)),MAX($M$2:M532)+1,0)</f>
        <v>531</v>
      </c>
      <c r="Y533" s="419" t="s">
        <v>2602</v>
      </c>
      <c r="Z533" t="str">
        <f>IFERROR(VLOOKUP(ROWS($Z$3:Z533),$X$3:$Y$992,2,0),"")</f>
        <v>Výroba elektrických vodičů a kabelů j. n.</v>
      </c>
    </row>
    <row r="534" spans="13:26" ht="12.75">
      <c r="M534" s="418">
        <f>IF(ISNUMBER(SEARCH(ZAKL_DATA!$B$29,N534)),MAX($M$2:M533)+1,0)</f>
        <v>532</v>
      </c>
      <c r="N534" s="419" t="s">
        <v>2604</v>
      </c>
      <c r="O534" s="436" t="s">
        <v>2605</v>
      </c>
      <c r="P534" s="421"/>
      <c r="Q534" s="422" t="str">
        <f>IFERROR(VLOOKUP(ROWS($Q$3:Q534),$M$3:$N$992,2,0),"")</f>
        <v>Výroba elektroinstalačních zařízení</v>
      </c>
      <c r="R534">
        <f>IF(ISNUMBER(SEARCH('1Př1'!$A$35,N534)),MAX($M$2:M533)+1,0)</f>
        <v>532</v>
      </c>
      <c r="S534" s="419" t="s">
        <v>2604</v>
      </c>
      <c r="T534" t="str">
        <f>IFERROR(VLOOKUP(ROWS($T$3:T534),$R$3:$S$992,2,0),"")</f>
        <v>Výroba elektroinstalačních zařízení</v>
      </c>
      <c r="U534">
        <f>IF(ISNUMBER(SEARCH('1Př1'!$A$36,N534)),MAX($M$2:M533)+1,0)</f>
        <v>532</v>
      </c>
      <c r="V534" s="419" t="s">
        <v>2604</v>
      </c>
      <c r="W534" t="str">
        <f>IFERROR(VLOOKUP(ROWS($W$3:W534),$U$3:$V$992,2,0),"")</f>
        <v>Výroba elektroinstalačních zařízení</v>
      </c>
      <c r="X534">
        <f>IF(ISNUMBER(SEARCH('1Př1'!$A$37,N534)),MAX($M$2:M533)+1,0)</f>
        <v>532</v>
      </c>
      <c r="Y534" s="419" t="s">
        <v>2604</v>
      </c>
      <c r="Z534" t="str">
        <f>IFERROR(VLOOKUP(ROWS($Z$3:Z534),$X$3:$Y$992,2,0),"")</f>
        <v>Výroba elektroinstalačních zařízení</v>
      </c>
    </row>
    <row r="535" spans="13:26" ht="12.75">
      <c r="M535" s="418">
        <f>IF(ISNUMBER(SEARCH(ZAKL_DATA!$B$29,N535)),MAX($M$2:M534)+1,0)</f>
        <v>533</v>
      </c>
      <c r="N535" s="419" t="s">
        <v>2606</v>
      </c>
      <c r="O535" s="436" t="s">
        <v>2607</v>
      </c>
      <c r="P535" s="421"/>
      <c r="Q535" s="422" t="str">
        <f>IFERROR(VLOOKUP(ROWS($Q$3:Q535),$M$3:$N$992,2,0),"")</f>
        <v>Výroba elektrických spotřebičů převážně pro domácnost</v>
      </c>
      <c r="R535">
        <f>IF(ISNUMBER(SEARCH('1Př1'!$A$35,N535)),MAX($M$2:M534)+1,0)</f>
        <v>533</v>
      </c>
      <c r="S535" s="419" t="s">
        <v>2606</v>
      </c>
      <c r="T535" t="str">
        <f>IFERROR(VLOOKUP(ROWS($T$3:T535),$R$3:$S$992,2,0),"")</f>
        <v>Výroba elektrických spotřebičů převážně pro domácnost</v>
      </c>
      <c r="U535">
        <f>IF(ISNUMBER(SEARCH('1Př1'!$A$36,N535)),MAX($M$2:M534)+1,0)</f>
        <v>533</v>
      </c>
      <c r="V535" s="419" t="s">
        <v>2606</v>
      </c>
      <c r="W535" t="str">
        <f>IFERROR(VLOOKUP(ROWS($W$3:W535),$U$3:$V$992,2,0),"")</f>
        <v>Výroba elektrických spotřebičů převážně pro domácnost</v>
      </c>
      <c r="X535">
        <f>IF(ISNUMBER(SEARCH('1Př1'!$A$37,N535)),MAX($M$2:M534)+1,0)</f>
        <v>533</v>
      </c>
      <c r="Y535" s="419" t="s">
        <v>2606</v>
      </c>
      <c r="Z535" t="str">
        <f>IFERROR(VLOOKUP(ROWS($Z$3:Z535),$X$3:$Y$992,2,0),"")</f>
        <v>Výroba elektrických spotřebičů převážně pro domácnost</v>
      </c>
    </row>
    <row r="536" spans="13:26" ht="12.75">
      <c r="M536" s="418">
        <f>IF(ISNUMBER(SEARCH(ZAKL_DATA!$B$29,N536)),MAX($M$2:M535)+1,0)</f>
        <v>534</v>
      </c>
      <c r="N536" s="419" t="s">
        <v>2608</v>
      </c>
      <c r="O536" s="436" t="s">
        <v>2609</v>
      </c>
      <c r="P536" s="421"/>
      <c r="Q536" s="422" t="str">
        <f>IFERROR(VLOOKUP(ROWS($Q$3:Q536),$M$3:$N$992,2,0),"")</f>
        <v>Výroba neelektrických spotřebičů převážně pro domácnost</v>
      </c>
      <c r="R536">
        <f>IF(ISNUMBER(SEARCH('1Př1'!$A$35,N536)),MAX($M$2:M535)+1,0)</f>
        <v>534</v>
      </c>
      <c r="S536" s="419" t="s">
        <v>2608</v>
      </c>
      <c r="T536" t="str">
        <f>IFERROR(VLOOKUP(ROWS($T$3:T536),$R$3:$S$992,2,0),"")</f>
        <v>Výroba neelektrických spotřebičů převážně pro domácnost</v>
      </c>
      <c r="U536">
        <f>IF(ISNUMBER(SEARCH('1Př1'!$A$36,N536)),MAX($M$2:M535)+1,0)</f>
        <v>534</v>
      </c>
      <c r="V536" s="419" t="s">
        <v>2608</v>
      </c>
      <c r="W536" t="str">
        <f>IFERROR(VLOOKUP(ROWS($W$3:W536),$U$3:$V$992,2,0),"")</f>
        <v>Výroba neelektrických spotřebičů převážně pro domácnost</v>
      </c>
      <c r="X536">
        <f>IF(ISNUMBER(SEARCH('1Př1'!$A$37,N536)),MAX($M$2:M535)+1,0)</f>
        <v>534</v>
      </c>
      <c r="Y536" s="419" t="s">
        <v>2608</v>
      </c>
      <c r="Z536" t="str">
        <f>IFERROR(VLOOKUP(ROWS($Z$3:Z536),$X$3:$Y$992,2,0),"")</f>
        <v>Výroba neelektrických spotřebičů převážně pro domácnost</v>
      </c>
    </row>
    <row r="537" spans="13:26" ht="12.75">
      <c r="M537" s="418">
        <f>IF(ISNUMBER(SEARCH(ZAKL_DATA!$B$29,N537)),MAX($M$2:M536)+1,0)</f>
        <v>535</v>
      </c>
      <c r="N537" s="419" t="s">
        <v>2610</v>
      </c>
      <c r="O537" s="436" t="s">
        <v>2611</v>
      </c>
      <c r="P537" s="421"/>
      <c r="Q537" s="422" t="str">
        <f>IFERROR(VLOOKUP(ROWS($Q$3:Q537),$M$3:$N$992,2,0),"")</f>
        <v>Výroba motorů a turbín, kromě motorů pro letadla, automobily a motocykly</v>
      </c>
      <c r="R537">
        <f>IF(ISNUMBER(SEARCH('1Př1'!$A$35,N537)),MAX($M$2:M536)+1,0)</f>
        <v>535</v>
      </c>
      <c r="S537" s="419" t="s">
        <v>2610</v>
      </c>
      <c r="T537" t="str">
        <f>IFERROR(VLOOKUP(ROWS($T$3:T537),$R$3:$S$992,2,0),"")</f>
        <v>Výroba motorů a turbín, kromě motorů pro letadla, automobily a motocykly</v>
      </c>
      <c r="U537">
        <f>IF(ISNUMBER(SEARCH('1Př1'!$A$36,N537)),MAX($M$2:M536)+1,0)</f>
        <v>535</v>
      </c>
      <c r="V537" s="419" t="s">
        <v>2610</v>
      </c>
      <c r="W537" t="str">
        <f>IFERROR(VLOOKUP(ROWS($W$3:W537),$U$3:$V$992,2,0),"")</f>
        <v>Výroba motorů a turbín, kromě motorů pro letadla, automobily a motocykly</v>
      </c>
      <c r="X537">
        <f>IF(ISNUMBER(SEARCH('1Př1'!$A$37,N537)),MAX($M$2:M536)+1,0)</f>
        <v>535</v>
      </c>
      <c r="Y537" s="419" t="s">
        <v>2610</v>
      </c>
      <c r="Z537" t="str">
        <f>IFERROR(VLOOKUP(ROWS($Z$3:Z537),$X$3:$Y$992,2,0),"")</f>
        <v>Výroba motorů a turbín, kromě motorů pro letadla, automobily a motocykly</v>
      </c>
    </row>
    <row r="538" spans="13:26" ht="12.75">
      <c r="M538" s="418">
        <f>IF(ISNUMBER(SEARCH(ZAKL_DATA!$B$29,N538)),MAX($M$2:M537)+1,0)</f>
        <v>536</v>
      </c>
      <c r="N538" s="419" t="s">
        <v>2612</v>
      </c>
      <c r="O538" s="436" t="s">
        <v>2613</v>
      </c>
      <c r="P538" s="421"/>
      <c r="Q538" s="422" t="str">
        <f>IFERROR(VLOOKUP(ROWS($Q$3:Q538),$M$3:$N$992,2,0),"")</f>
        <v>Výroba hydraulických a pneumatických zařízení</v>
      </c>
      <c r="R538">
        <f>IF(ISNUMBER(SEARCH('1Př1'!$A$35,N538)),MAX($M$2:M537)+1,0)</f>
        <v>536</v>
      </c>
      <c r="S538" s="419" t="s">
        <v>2612</v>
      </c>
      <c r="T538" t="str">
        <f>IFERROR(VLOOKUP(ROWS($T$3:T538),$R$3:$S$992,2,0),"")</f>
        <v>Výroba hydraulických a pneumatických zařízení</v>
      </c>
      <c r="U538">
        <f>IF(ISNUMBER(SEARCH('1Př1'!$A$36,N538)),MAX($M$2:M537)+1,0)</f>
        <v>536</v>
      </c>
      <c r="V538" s="419" t="s">
        <v>2612</v>
      </c>
      <c r="W538" t="str">
        <f>IFERROR(VLOOKUP(ROWS($W$3:W538),$U$3:$V$992,2,0),"")</f>
        <v>Výroba hydraulických a pneumatických zařízení</v>
      </c>
      <c r="X538">
        <f>IF(ISNUMBER(SEARCH('1Př1'!$A$37,N538)),MAX($M$2:M537)+1,0)</f>
        <v>536</v>
      </c>
      <c r="Y538" s="419" t="s">
        <v>2612</v>
      </c>
      <c r="Z538" t="str">
        <f>IFERROR(VLOOKUP(ROWS($Z$3:Z538),$X$3:$Y$992,2,0),"")</f>
        <v>Výroba hydraulických a pneumatických zařízení</v>
      </c>
    </row>
    <row r="539" spans="13:26" ht="12.75">
      <c r="M539" s="418">
        <f>IF(ISNUMBER(SEARCH(ZAKL_DATA!$B$29,N539)),MAX($M$2:M538)+1,0)</f>
        <v>537</v>
      </c>
      <c r="N539" s="419" t="s">
        <v>2614</v>
      </c>
      <c r="O539" s="436" t="s">
        <v>2615</v>
      </c>
      <c r="P539" s="421"/>
      <c r="Q539" s="422" t="str">
        <f>IFERROR(VLOOKUP(ROWS($Q$3:Q539),$M$3:$N$992,2,0),"")</f>
        <v>Výroba ostatních čerpadel a kompresorů</v>
      </c>
      <c r="R539">
        <f>IF(ISNUMBER(SEARCH('1Př1'!$A$35,N539)),MAX($M$2:M538)+1,0)</f>
        <v>537</v>
      </c>
      <c r="S539" s="419" t="s">
        <v>2614</v>
      </c>
      <c r="T539" t="str">
        <f>IFERROR(VLOOKUP(ROWS($T$3:T539),$R$3:$S$992,2,0),"")</f>
        <v>Výroba ostatních čerpadel a kompresorů</v>
      </c>
      <c r="U539">
        <f>IF(ISNUMBER(SEARCH('1Př1'!$A$36,N539)),MAX($M$2:M538)+1,0)</f>
        <v>537</v>
      </c>
      <c r="V539" s="419" t="s">
        <v>2614</v>
      </c>
      <c r="W539" t="str">
        <f>IFERROR(VLOOKUP(ROWS($W$3:W539),$U$3:$V$992,2,0),"")</f>
        <v>Výroba ostatních čerpadel a kompresorů</v>
      </c>
      <c r="X539">
        <f>IF(ISNUMBER(SEARCH('1Př1'!$A$37,N539)),MAX($M$2:M538)+1,0)</f>
        <v>537</v>
      </c>
      <c r="Y539" s="419" t="s">
        <v>2614</v>
      </c>
      <c r="Z539" t="str">
        <f>IFERROR(VLOOKUP(ROWS($Z$3:Z539),$X$3:$Y$992,2,0),"")</f>
        <v>Výroba ostatních čerpadel a kompresorů</v>
      </c>
    </row>
    <row r="540" spans="13:26" ht="12.75">
      <c r="M540" s="418">
        <f>IF(ISNUMBER(SEARCH(ZAKL_DATA!$B$29,N540)),MAX($M$2:M539)+1,0)</f>
        <v>538</v>
      </c>
      <c r="N540" s="419" t="s">
        <v>2616</v>
      </c>
      <c r="O540" s="436" t="s">
        <v>2617</v>
      </c>
      <c r="P540" s="421"/>
      <c r="Q540" s="422" t="str">
        <f>IFERROR(VLOOKUP(ROWS($Q$3:Q540),$M$3:$N$992,2,0),"")</f>
        <v>Výroba ostatních potrubních armatur</v>
      </c>
      <c r="R540">
        <f>IF(ISNUMBER(SEARCH('1Př1'!$A$35,N540)),MAX($M$2:M539)+1,0)</f>
        <v>538</v>
      </c>
      <c r="S540" s="419" t="s">
        <v>2616</v>
      </c>
      <c r="T540" t="str">
        <f>IFERROR(VLOOKUP(ROWS($T$3:T540),$R$3:$S$992,2,0),"")</f>
        <v>Výroba ostatních potrubních armatur</v>
      </c>
      <c r="U540">
        <f>IF(ISNUMBER(SEARCH('1Př1'!$A$36,N540)),MAX($M$2:M539)+1,0)</f>
        <v>538</v>
      </c>
      <c r="V540" s="419" t="s">
        <v>2616</v>
      </c>
      <c r="W540" t="str">
        <f>IFERROR(VLOOKUP(ROWS($W$3:W540),$U$3:$V$992,2,0),"")</f>
        <v>Výroba ostatních potrubních armatur</v>
      </c>
      <c r="X540">
        <f>IF(ISNUMBER(SEARCH('1Př1'!$A$37,N540)),MAX($M$2:M539)+1,0)</f>
        <v>538</v>
      </c>
      <c r="Y540" s="419" t="s">
        <v>2616</v>
      </c>
      <c r="Z540" t="str">
        <f>IFERROR(VLOOKUP(ROWS($Z$3:Z540),$X$3:$Y$992,2,0),"")</f>
        <v>Výroba ostatních potrubních armatur</v>
      </c>
    </row>
    <row r="541" spans="13:26" ht="12.75">
      <c r="M541" s="418">
        <f>IF(ISNUMBER(SEARCH(ZAKL_DATA!$B$29,N541)),MAX($M$2:M540)+1,0)</f>
        <v>539</v>
      </c>
      <c r="N541" s="419" t="s">
        <v>2618</v>
      </c>
      <c r="O541" s="436" t="s">
        <v>2619</v>
      </c>
      <c r="P541" s="421"/>
      <c r="Q541" s="422" t="str">
        <f>IFERROR(VLOOKUP(ROWS($Q$3:Q541),$M$3:$N$992,2,0),"")</f>
        <v>Výroba ložisek, ozubených kol, převodů a hnacích prvků</v>
      </c>
      <c r="R541">
        <f>IF(ISNUMBER(SEARCH('1Př1'!$A$35,N541)),MAX($M$2:M540)+1,0)</f>
        <v>539</v>
      </c>
      <c r="S541" s="419" t="s">
        <v>2618</v>
      </c>
      <c r="T541" t="str">
        <f>IFERROR(VLOOKUP(ROWS($T$3:T541),$R$3:$S$992,2,0),"")</f>
        <v>Výroba ložisek, ozubených kol, převodů a hnacích prvků</v>
      </c>
      <c r="U541">
        <f>IF(ISNUMBER(SEARCH('1Př1'!$A$36,N541)),MAX($M$2:M540)+1,0)</f>
        <v>539</v>
      </c>
      <c r="V541" s="419" t="s">
        <v>2618</v>
      </c>
      <c r="W541" t="str">
        <f>IFERROR(VLOOKUP(ROWS($W$3:W541),$U$3:$V$992,2,0),"")</f>
        <v>Výroba ložisek, ozubených kol, převodů a hnacích prvků</v>
      </c>
      <c r="X541">
        <f>IF(ISNUMBER(SEARCH('1Př1'!$A$37,N541)),MAX($M$2:M540)+1,0)</f>
        <v>539</v>
      </c>
      <c r="Y541" s="419" t="s">
        <v>2618</v>
      </c>
      <c r="Z541" t="str">
        <f>IFERROR(VLOOKUP(ROWS($Z$3:Z541),$X$3:$Y$992,2,0),"")</f>
        <v>Výroba ložisek, ozubených kol, převodů a hnacích prvků</v>
      </c>
    </row>
    <row r="542" spans="13:26" ht="12.75">
      <c r="M542" s="418">
        <f>IF(ISNUMBER(SEARCH(ZAKL_DATA!$B$29,N542)),MAX($M$2:M541)+1,0)</f>
        <v>540</v>
      </c>
      <c r="N542" s="419" t="s">
        <v>2620</v>
      </c>
      <c r="O542" s="436" t="s">
        <v>2621</v>
      </c>
      <c r="P542" s="421"/>
      <c r="Q542" s="422" t="str">
        <f>IFERROR(VLOOKUP(ROWS($Q$3:Q542),$M$3:$N$992,2,0),"")</f>
        <v>Výroba pecí a hořáků pro topeniště</v>
      </c>
      <c r="R542">
        <f>IF(ISNUMBER(SEARCH('1Př1'!$A$35,N542)),MAX($M$2:M541)+1,0)</f>
        <v>540</v>
      </c>
      <c r="S542" s="419" t="s">
        <v>2620</v>
      </c>
      <c r="T542" t="str">
        <f>IFERROR(VLOOKUP(ROWS($T$3:T542),$R$3:$S$992,2,0),"")</f>
        <v>Výroba pecí a hořáků pro topeniště</v>
      </c>
      <c r="U542">
        <f>IF(ISNUMBER(SEARCH('1Př1'!$A$36,N542)),MAX($M$2:M541)+1,0)</f>
        <v>540</v>
      </c>
      <c r="V542" s="419" t="s">
        <v>2620</v>
      </c>
      <c r="W542" t="str">
        <f>IFERROR(VLOOKUP(ROWS($W$3:W542),$U$3:$V$992,2,0),"")</f>
        <v>Výroba pecí a hořáků pro topeniště</v>
      </c>
      <c r="X542">
        <f>IF(ISNUMBER(SEARCH('1Př1'!$A$37,N542)),MAX($M$2:M541)+1,0)</f>
        <v>540</v>
      </c>
      <c r="Y542" s="419" t="s">
        <v>2620</v>
      </c>
      <c r="Z542" t="str">
        <f>IFERROR(VLOOKUP(ROWS($Z$3:Z542),$X$3:$Y$992,2,0),"")</f>
        <v>Výroba pecí a hořáků pro topeniště</v>
      </c>
    </row>
    <row r="543" spans="13:26" ht="12.75">
      <c r="M543" s="418">
        <f>IF(ISNUMBER(SEARCH(ZAKL_DATA!$B$29,N543)),MAX($M$2:M542)+1,0)</f>
        <v>541</v>
      </c>
      <c r="N543" s="419" t="s">
        <v>2622</v>
      </c>
      <c r="O543" s="436" t="s">
        <v>2623</v>
      </c>
      <c r="P543" s="421"/>
      <c r="Q543" s="422" t="str">
        <f>IFERROR(VLOOKUP(ROWS($Q$3:Q543),$M$3:$N$992,2,0),"")</f>
        <v>Výroba zdvihacích a manipulačních zařízení</v>
      </c>
      <c r="R543">
        <f>IF(ISNUMBER(SEARCH('1Př1'!$A$35,N543)),MAX($M$2:M542)+1,0)</f>
        <v>541</v>
      </c>
      <c r="S543" s="419" t="s">
        <v>2622</v>
      </c>
      <c r="T543" t="str">
        <f>IFERROR(VLOOKUP(ROWS($T$3:T543),$R$3:$S$992,2,0),"")</f>
        <v>Výroba zdvihacích a manipulačních zařízení</v>
      </c>
      <c r="U543">
        <f>IF(ISNUMBER(SEARCH('1Př1'!$A$36,N543)),MAX($M$2:M542)+1,0)</f>
        <v>541</v>
      </c>
      <c r="V543" s="419" t="s">
        <v>2622</v>
      </c>
      <c r="W543" t="str">
        <f>IFERROR(VLOOKUP(ROWS($W$3:W543),$U$3:$V$992,2,0),"")</f>
        <v>Výroba zdvihacích a manipulačních zařízení</v>
      </c>
      <c r="X543">
        <f>IF(ISNUMBER(SEARCH('1Př1'!$A$37,N543)),MAX($M$2:M542)+1,0)</f>
        <v>541</v>
      </c>
      <c r="Y543" s="419" t="s">
        <v>2622</v>
      </c>
      <c r="Z543" t="str">
        <f>IFERROR(VLOOKUP(ROWS($Z$3:Z543),$X$3:$Y$992,2,0),"")</f>
        <v>Výroba zdvihacích a manipulačních zařízení</v>
      </c>
    </row>
    <row r="544" spans="13:26" ht="12.75">
      <c r="M544" s="418">
        <f>IF(ISNUMBER(SEARCH(ZAKL_DATA!$B$29,N544)),MAX($M$2:M543)+1,0)</f>
        <v>542</v>
      </c>
      <c r="N544" s="419" t="s">
        <v>2624</v>
      </c>
      <c r="O544" s="436" t="s">
        <v>2625</v>
      </c>
      <c r="P544" s="421"/>
      <c r="Q544" s="422" t="str">
        <f>IFERROR(VLOOKUP(ROWS($Q$3:Q544),$M$3:$N$992,2,0),"")</f>
        <v>Výroba kancelářských strojů a zařízení,kromě počítačů a perif.zařízení</v>
      </c>
      <c r="R544">
        <f>IF(ISNUMBER(SEARCH('1Př1'!$A$35,N544)),MAX($M$2:M543)+1,0)</f>
        <v>542</v>
      </c>
      <c r="S544" s="419" t="s">
        <v>2624</v>
      </c>
      <c r="T544" t="str">
        <f>IFERROR(VLOOKUP(ROWS($T$3:T544),$R$3:$S$992,2,0),"")</f>
        <v>Výroba kancelářských strojů a zařízení,kromě počítačů a perif.zařízení</v>
      </c>
      <c r="U544">
        <f>IF(ISNUMBER(SEARCH('1Př1'!$A$36,N544)),MAX($M$2:M543)+1,0)</f>
        <v>542</v>
      </c>
      <c r="V544" s="419" t="s">
        <v>2624</v>
      </c>
      <c r="W544" t="str">
        <f>IFERROR(VLOOKUP(ROWS($W$3:W544),$U$3:$V$992,2,0),"")</f>
        <v>Výroba kancelářských strojů a zařízení,kromě počítačů a perif.zařízení</v>
      </c>
      <c r="X544">
        <f>IF(ISNUMBER(SEARCH('1Př1'!$A$37,N544)),MAX($M$2:M543)+1,0)</f>
        <v>542</v>
      </c>
      <c r="Y544" s="419" t="s">
        <v>2624</v>
      </c>
      <c r="Z544" t="str">
        <f>IFERROR(VLOOKUP(ROWS($Z$3:Z544),$X$3:$Y$992,2,0),"")</f>
        <v>Výroba kancelářských strojů a zařízení,kromě počítačů a perif.zařízení</v>
      </c>
    </row>
    <row r="545" spans="13:26" ht="12.75">
      <c r="M545" s="418">
        <f>IF(ISNUMBER(SEARCH(ZAKL_DATA!$B$29,N545)),MAX($M$2:M544)+1,0)</f>
        <v>543</v>
      </c>
      <c r="N545" s="419" t="s">
        <v>2626</v>
      </c>
      <c r="O545" s="436" t="s">
        <v>2627</v>
      </c>
      <c r="P545" s="421"/>
      <c r="Q545" s="422" t="str">
        <f>IFERROR(VLOOKUP(ROWS($Q$3:Q545),$M$3:$N$992,2,0),"")</f>
        <v>Výroba ručních mechanizovaných nástrojů</v>
      </c>
      <c r="R545">
        <f>IF(ISNUMBER(SEARCH('1Př1'!$A$35,N545)),MAX($M$2:M544)+1,0)</f>
        <v>543</v>
      </c>
      <c r="S545" s="419" t="s">
        <v>2626</v>
      </c>
      <c r="T545" t="str">
        <f>IFERROR(VLOOKUP(ROWS($T$3:T545),$R$3:$S$992,2,0),"")</f>
        <v>Výroba ručních mechanizovaných nástrojů</v>
      </c>
      <c r="U545">
        <f>IF(ISNUMBER(SEARCH('1Př1'!$A$36,N545)),MAX($M$2:M544)+1,0)</f>
        <v>543</v>
      </c>
      <c r="V545" s="419" t="s">
        <v>2626</v>
      </c>
      <c r="W545" t="str">
        <f>IFERROR(VLOOKUP(ROWS($W$3:W545),$U$3:$V$992,2,0),"")</f>
        <v>Výroba ručních mechanizovaných nástrojů</v>
      </c>
      <c r="X545">
        <f>IF(ISNUMBER(SEARCH('1Př1'!$A$37,N545)),MAX($M$2:M544)+1,0)</f>
        <v>543</v>
      </c>
      <c r="Y545" s="419" t="s">
        <v>2626</v>
      </c>
      <c r="Z545" t="str">
        <f>IFERROR(VLOOKUP(ROWS($Z$3:Z545),$X$3:$Y$992,2,0),"")</f>
        <v>Výroba ručních mechanizovaných nástrojů</v>
      </c>
    </row>
    <row r="546" spans="13:26" ht="12.75">
      <c r="M546" s="418">
        <f>IF(ISNUMBER(SEARCH(ZAKL_DATA!$B$29,N546)),MAX($M$2:M545)+1,0)</f>
        <v>544</v>
      </c>
      <c r="N546" s="419" t="s">
        <v>2628</v>
      </c>
      <c r="O546" s="436" t="s">
        <v>2629</v>
      </c>
      <c r="P546" s="421"/>
      <c r="Q546" s="422" t="str">
        <f>IFERROR(VLOOKUP(ROWS($Q$3:Q546),$M$3:$N$992,2,0),"")</f>
        <v>Výroba průmyslových chladicích a klimatizačních zařízení</v>
      </c>
      <c r="R546">
        <f>IF(ISNUMBER(SEARCH('1Př1'!$A$35,N546)),MAX($M$2:M545)+1,0)</f>
        <v>544</v>
      </c>
      <c r="S546" s="419" t="s">
        <v>2628</v>
      </c>
      <c r="T546" t="str">
        <f>IFERROR(VLOOKUP(ROWS($T$3:T546),$R$3:$S$992,2,0),"")</f>
        <v>Výroba průmyslových chladicích a klimatizačních zařízení</v>
      </c>
      <c r="U546">
        <f>IF(ISNUMBER(SEARCH('1Př1'!$A$36,N546)),MAX($M$2:M545)+1,0)</f>
        <v>544</v>
      </c>
      <c r="V546" s="419" t="s">
        <v>2628</v>
      </c>
      <c r="W546" t="str">
        <f>IFERROR(VLOOKUP(ROWS($W$3:W546),$U$3:$V$992,2,0),"")</f>
        <v>Výroba průmyslových chladicích a klimatizačních zařízení</v>
      </c>
      <c r="X546">
        <f>IF(ISNUMBER(SEARCH('1Př1'!$A$37,N546)),MAX($M$2:M545)+1,0)</f>
        <v>544</v>
      </c>
      <c r="Y546" s="419" t="s">
        <v>2628</v>
      </c>
      <c r="Z546" t="str">
        <f>IFERROR(VLOOKUP(ROWS($Z$3:Z546),$X$3:$Y$992,2,0),"")</f>
        <v>Výroba průmyslových chladicích a klimatizačních zařízení</v>
      </c>
    </row>
    <row r="547" spans="13:26" ht="12.75">
      <c r="M547" s="418">
        <f>IF(ISNUMBER(SEARCH(ZAKL_DATA!$B$29,N547)),MAX($M$2:M546)+1,0)</f>
        <v>545</v>
      </c>
      <c r="N547" s="419" t="s">
        <v>2630</v>
      </c>
      <c r="O547" s="436" t="s">
        <v>2631</v>
      </c>
      <c r="P547" s="421"/>
      <c r="Q547" s="422" t="str">
        <f>IFERROR(VLOOKUP(ROWS($Q$3:Q547),$M$3:$N$992,2,0),"")</f>
        <v>Výroba ostatních strojů a zařízení pro všeobecné účely j. n.</v>
      </c>
      <c r="R547">
        <f>IF(ISNUMBER(SEARCH('1Př1'!$A$35,N547)),MAX($M$2:M546)+1,0)</f>
        <v>545</v>
      </c>
      <c r="S547" s="419" t="s">
        <v>2630</v>
      </c>
      <c r="T547" t="str">
        <f>IFERROR(VLOOKUP(ROWS($T$3:T547),$R$3:$S$992,2,0),"")</f>
        <v>Výroba ostatních strojů a zařízení pro všeobecné účely j. n.</v>
      </c>
      <c r="U547">
        <f>IF(ISNUMBER(SEARCH('1Př1'!$A$36,N547)),MAX($M$2:M546)+1,0)</f>
        <v>545</v>
      </c>
      <c r="V547" s="419" t="s">
        <v>2630</v>
      </c>
      <c r="W547" t="str">
        <f>IFERROR(VLOOKUP(ROWS($W$3:W547),$U$3:$V$992,2,0),"")</f>
        <v>Výroba ostatních strojů a zařízení pro všeobecné účely j. n.</v>
      </c>
      <c r="X547">
        <f>IF(ISNUMBER(SEARCH('1Př1'!$A$37,N547)),MAX($M$2:M546)+1,0)</f>
        <v>545</v>
      </c>
      <c r="Y547" s="419" t="s">
        <v>2630</v>
      </c>
      <c r="Z547" t="str">
        <f>IFERROR(VLOOKUP(ROWS($Z$3:Z547),$X$3:$Y$992,2,0),"")</f>
        <v>Výroba ostatních strojů a zařízení pro všeobecné účely j. n.</v>
      </c>
    </row>
    <row r="548" spans="13:26" ht="12.75">
      <c r="M548" s="418">
        <f>IF(ISNUMBER(SEARCH(ZAKL_DATA!$B$29,N548)),MAX($M$2:M547)+1,0)</f>
        <v>546</v>
      </c>
      <c r="N548" s="419" t="s">
        <v>2632</v>
      </c>
      <c r="O548" s="436" t="s">
        <v>2633</v>
      </c>
      <c r="P548" s="421"/>
      <c r="Q548" s="422" t="str">
        <f>IFERROR(VLOOKUP(ROWS($Q$3:Q548),$M$3:$N$992,2,0),"")</f>
        <v>Výroba kovoobráběcích strojů</v>
      </c>
      <c r="R548">
        <f>IF(ISNUMBER(SEARCH('1Př1'!$A$35,N548)),MAX($M$2:M547)+1,0)</f>
        <v>546</v>
      </c>
      <c r="S548" s="419" t="s">
        <v>2632</v>
      </c>
      <c r="T548" t="str">
        <f>IFERROR(VLOOKUP(ROWS($T$3:T548),$R$3:$S$992,2,0),"")</f>
        <v>Výroba kovoobráběcích strojů</v>
      </c>
      <c r="U548">
        <f>IF(ISNUMBER(SEARCH('1Př1'!$A$36,N548)),MAX($M$2:M547)+1,0)</f>
        <v>546</v>
      </c>
      <c r="V548" s="419" t="s">
        <v>2632</v>
      </c>
      <c r="W548" t="str">
        <f>IFERROR(VLOOKUP(ROWS($W$3:W548),$U$3:$V$992,2,0),"")</f>
        <v>Výroba kovoobráběcích strojů</v>
      </c>
      <c r="X548">
        <f>IF(ISNUMBER(SEARCH('1Př1'!$A$37,N548)),MAX($M$2:M547)+1,0)</f>
        <v>546</v>
      </c>
      <c r="Y548" s="419" t="s">
        <v>2632</v>
      </c>
      <c r="Z548" t="str">
        <f>IFERROR(VLOOKUP(ROWS($Z$3:Z548),$X$3:$Y$992,2,0),"")</f>
        <v>Výroba kovoobráběcích strojů</v>
      </c>
    </row>
    <row r="549" spans="13:26" ht="12.75">
      <c r="M549" s="418">
        <f>IF(ISNUMBER(SEARCH(ZAKL_DATA!$B$29,N549)),MAX($M$2:M548)+1,0)</f>
        <v>547</v>
      </c>
      <c r="N549" s="419" t="s">
        <v>2634</v>
      </c>
      <c r="O549" s="436" t="s">
        <v>2635</v>
      </c>
      <c r="P549" s="421"/>
      <c r="Q549" s="422" t="str">
        <f>IFERROR(VLOOKUP(ROWS($Q$3:Q549),$M$3:$N$992,2,0),"")</f>
        <v>Výroba ostatních obráběcích strojů</v>
      </c>
      <c r="R549">
        <f>IF(ISNUMBER(SEARCH('1Př1'!$A$35,N549)),MAX($M$2:M548)+1,0)</f>
        <v>547</v>
      </c>
      <c r="S549" s="419" t="s">
        <v>2634</v>
      </c>
      <c r="T549" t="str">
        <f>IFERROR(VLOOKUP(ROWS($T$3:T549),$R$3:$S$992,2,0),"")</f>
        <v>Výroba ostatních obráběcích strojů</v>
      </c>
      <c r="U549">
        <f>IF(ISNUMBER(SEARCH('1Př1'!$A$36,N549)),MAX($M$2:M548)+1,0)</f>
        <v>547</v>
      </c>
      <c r="V549" s="419" t="s">
        <v>2634</v>
      </c>
      <c r="W549" t="str">
        <f>IFERROR(VLOOKUP(ROWS($W$3:W549),$U$3:$V$992,2,0),"")</f>
        <v>Výroba ostatních obráběcích strojů</v>
      </c>
      <c r="X549">
        <f>IF(ISNUMBER(SEARCH('1Př1'!$A$37,N549)),MAX($M$2:M548)+1,0)</f>
        <v>547</v>
      </c>
      <c r="Y549" s="419" t="s">
        <v>2634</v>
      </c>
      <c r="Z549" t="str">
        <f>IFERROR(VLOOKUP(ROWS($Z$3:Z549),$X$3:$Y$992,2,0),"")</f>
        <v>Výroba ostatních obráběcích strojů</v>
      </c>
    </row>
    <row r="550" spans="13:26" ht="12.75">
      <c r="M550" s="418">
        <f>IF(ISNUMBER(SEARCH(ZAKL_DATA!$B$29,N550)),MAX($M$2:M549)+1,0)</f>
        <v>548</v>
      </c>
      <c r="N550" s="419" t="s">
        <v>2636</v>
      </c>
      <c r="O550" s="436" t="s">
        <v>2637</v>
      </c>
      <c r="P550" s="421"/>
      <c r="Q550" s="422" t="str">
        <f>IFERROR(VLOOKUP(ROWS($Q$3:Q550),$M$3:$N$992,2,0),"")</f>
        <v>Výroba strojů pro metalurgii</v>
      </c>
      <c r="R550">
        <f>IF(ISNUMBER(SEARCH('1Př1'!$A$35,N550)),MAX($M$2:M549)+1,0)</f>
        <v>548</v>
      </c>
      <c r="S550" s="419" t="s">
        <v>2636</v>
      </c>
      <c r="T550" t="str">
        <f>IFERROR(VLOOKUP(ROWS($T$3:T550),$R$3:$S$992,2,0),"")</f>
        <v>Výroba strojů pro metalurgii</v>
      </c>
      <c r="U550">
        <f>IF(ISNUMBER(SEARCH('1Př1'!$A$36,N550)),MAX($M$2:M549)+1,0)</f>
        <v>548</v>
      </c>
      <c r="V550" s="419" t="s">
        <v>2636</v>
      </c>
      <c r="W550" t="str">
        <f>IFERROR(VLOOKUP(ROWS($W$3:W550),$U$3:$V$992,2,0),"")</f>
        <v>Výroba strojů pro metalurgii</v>
      </c>
      <c r="X550">
        <f>IF(ISNUMBER(SEARCH('1Př1'!$A$37,N550)),MAX($M$2:M549)+1,0)</f>
        <v>548</v>
      </c>
      <c r="Y550" s="419" t="s">
        <v>2636</v>
      </c>
      <c r="Z550" t="str">
        <f>IFERROR(VLOOKUP(ROWS($Z$3:Z550),$X$3:$Y$992,2,0),"")</f>
        <v>Výroba strojů pro metalurgii</v>
      </c>
    </row>
    <row r="551" spans="13:26" ht="12.75">
      <c r="M551" s="418">
        <f>IF(ISNUMBER(SEARCH(ZAKL_DATA!$B$29,N551)),MAX($M$2:M550)+1,0)</f>
        <v>549</v>
      </c>
      <c r="N551" s="419" t="s">
        <v>2638</v>
      </c>
      <c r="O551" s="436" t="s">
        <v>2639</v>
      </c>
      <c r="P551" s="421"/>
      <c r="Q551" s="422" t="str">
        <f>IFERROR(VLOOKUP(ROWS($Q$3:Q551),$M$3:$N$992,2,0),"")</f>
        <v>Výroba strojů pro těžbu, dobývání a stavebnictví</v>
      </c>
      <c r="R551">
        <f>IF(ISNUMBER(SEARCH('1Př1'!$A$35,N551)),MAX($M$2:M550)+1,0)</f>
        <v>549</v>
      </c>
      <c r="S551" s="419" t="s">
        <v>2638</v>
      </c>
      <c r="T551" t="str">
        <f>IFERROR(VLOOKUP(ROWS($T$3:T551),$R$3:$S$992,2,0),"")</f>
        <v>Výroba strojů pro těžbu, dobývání a stavebnictví</v>
      </c>
      <c r="U551">
        <f>IF(ISNUMBER(SEARCH('1Př1'!$A$36,N551)),MAX($M$2:M550)+1,0)</f>
        <v>549</v>
      </c>
      <c r="V551" s="419" t="s">
        <v>2638</v>
      </c>
      <c r="W551" t="str">
        <f>IFERROR(VLOOKUP(ROWS($W$3:W551),$U$3:$V$992,2,0),"")</f>
        <v>Výroba strojů pro těžbu, dobývání a stavebnictví</v>
      </c>
      <c r="X551">
        <f>IF(ISNUMBER(SEARCH('1Př1'!$A$37,N551)),MAX($M$2:M550)+1,0)</f>
        <v>549</v>
      </c>
      <c r="Y551" s="419" t="s">
        <v>2638</v>
      </c>
      <c r="Z551" t="str">
        <f>IFERROR(VLOOKUP(ROWS($Z$3:Z551),$X$3:$Y$992,2,0),"")</f>
        <v>Výroba strojů pro těžbu, dobývání a stavebnictví</v>
      </c>
    </row>
    <row r="552" spans="13:26" ht="12.75">
      <c r="M552" s="418">
        <f>IF(ISNUMBER(SEARCH(ZAKL_DATA!$B$29,N552)),MAX($M$2:M551)+1,0)</f>
        <v>550</v>
      </c>
      <c r="N552" s="419" t="s">
        <v>2640</v>
      </c>
      <c r="O552" s="436" t="s">
        <v>2641</v>
      </c>
      <c r="P552" s="421"/>
      <c r="Q552" s="422" t="str">
        <f>IFERROR(VLOOKUP(ROWS($Q$3:Q552),$M$3:$N$992,2,0),"")</f>
        <v>Výroba strojů na výrobu potravin, nápojů a zpracování tabáku</v>
      </c>
      <c r="R552">
        <f>IF(ISNUMBER(SEARCH('1Př1'!$A$35,N552)),MAX($M$2:M551)+1,0)</f>
        <v>550</v>
      </c>
      <c r="S552" s="419" t="s">
        <v>2640</v>
      </c>
      <c r="T552" t="str">
        <f>IFERROR(VLOOKUP(ROWS($T$3:T552),$R$3:$S$992,2,0),"")</f>
        <v>Výroba strojů na výrobu potravin, nápojů a zpracování tabáku</v>
      </c>
      <c r="U552">
        <f>IF(ISNUMBER(SEARCH('1Př1'!$A$36,N552)),MAX($M$2:M551)+1,0)</f>
        <v>550</v>
      </c>
      <c r="V552" s="419" t="s">
        <v>2640</v>
      </c>
      <c r="W552" t="str">
        <f>IFERROR(VLOOKUP(ROWS($W$3:W552),$U$3:$V$992,2,0),"")</f>
        <v>Výroba strojů na výrobu potravin, nápojů a zpracování tabáku</v>
      </c>
      <c r="X552">
        <f>IF(ISNUMBER(SEARCH('1Př1'!$A$37,N552)),MAX($M$2:M551)+1,0)</f>
        <v>550</v>
      </c>
      <c r="Y552" s="419" t="s">
        <v>2640</v>
      </c>
      <c r="Z552" t="str">
        <f>IFERROR(VLOOKUP(ROWS($Z$3:Z552),$X$3:$Y$992,2,0),"")</f>
        <v>Výroba strojů na výrobu potravin, nápojů a zpracování tabáku</v>
      </c>
    </row>
    <row r="553" spans="13:26" ht="12.75">
      <c r="M553" s="418">
        <f>IF(ISNUMBER(SEARCH(ZAKL_DATA!$B$29,N553)),MAX($M$2:M552)+1,0)</f>
        <v>551</v>
      </c>
      <c r="N553" s="419" t="s">
        <v>2642</v>
      </c>
      <c r="O553" s="436" t="s">
        <v>2643</v>
      </c>
      <c r="P553" s="421"/>
      <c r="Q553" s="422" t="str">
        <f>IFERROR(VLOOKUP(ROWS($Q$3:Q553),$M$3:$N$992,2,0),"")</f>
        <v>Výroba strojů na výrobu textilu, oděvních výrobků a výrobků z usní</v>
      </c>
      <c r="R553">
        <f>IF(ISNUMBER(SEARCH('1Př1'!$A$35,N553)),MAX($M$2:M552)+1,0)</f>
        <v>551</v>
      </c>
      <c r="S553" s="419" t="s">
        <v>2642</v>
      </c>
      <c r="T553" t="str">
        <f>IFERROR(VLOOKUP(ROWS($T$3:T553),$R$3:$S$992,2,0),"")</f>
        <v>Výroba strojů na výrobu textilu, oděvních výrobků a výrobků z usní</v>
      </c>
      <c r="U553">
        <f>IF(ISNUMBER(SEARCH('1Př1'!$A$36,N553)),MAX($M$2:M552)+1,0)</f>
        <v>551</v>
      </c>
      <c r="V553" s="419" t="s">
        <v>2642</v>
      </c>
      <c r="W553" t="str">
        <f>IFERROR(VLOOKUP(ROWS($W$3:W553),$U$3:$V$992,2,0),"")</f>
        <v>Výroba strojů na výrobu textilu, oděvních výrobků a výrobků z usní</v>
      </c>
      <c r="X553">
        <f>IF(ISNUMBER(SEARCH('1Př1'!$A$37,N553)),MAX($M$2:M552)+1,0)</f>
        <v>551</v>
      </c>
      <c r="Y553" s="419" t="s">
        <v>2642</v>
      </c>
      <c r="Z553" t="str">
        <f>IFERROR(VLOOKUP(ROWS($Z$3:Z553),$X$3:$Y$992,2,0),"")</f>
        <v>Výroba strojů na výrobu textilu, oděvních výrobků a výrobků z usní</v>
      </c>
    </row>
    <row r="554" spans="13:26" ht="12.75">
      <c r="M554" s="418">
        <f>IF(ISNUMBER(SEARCH(ZAKL_DATA!$B$29,N554)),MAX($M$2:M553)+1,0)</f>
        <v>552</v>
      </c>
      <c r="N554" s="419" t="s">
        <v>2644</v>
      </c>
      <c r="O554" s="436" t="s">
        <v>2645</v>
      </c>
      <c r="P554" s="421"/>
      <c r="Q554" s="422" t="str">
        <f>IFERROR(VLOOKUP(ROWS($Q$3:Q554),$M$3:$N$992,2,0),"")</f>
        <v>Výroba strojů a přístrojů na výrobu papíru a lepenky</v>
      </c>
      <c r="R554">
        <f>IF(ISNUMBER(SEARCH('1Př1'!$A$35,N554)),MAX($M$2:M553)+1,0)</f>
        <v>552</v>
      </c>
      <c r="S554" s="419" t="s">
        <v>2644</v>
      </c>
      <c r="T554" t="str">
        <f>IFERROR(VLOOKUP(ROWS($T$3:T554),$R$3:$S$992,2,0),"")</f>
        <v>Výroba strojů a přístrojů na výrobu papíru a lepenky</v>
      </c>
      <c r="U554">
        <f>IF(ISNUMBER(SEARCH('1Př1'!$A$36,N554)),MAX($M$2:M553)+1,0)</f>
        <v>552</v>
      </c>
      <c r="V554" s="419" t="s">
        <v>2644</v>
      </c>
      <c r="W554" t="str">
        <f>IFERROR(VLOOKUP(ROWS($W$3:W554),$U$3:$V$992,2,0),"")</f>
        <v>Výroba strojů a přístrojů na výrobu papíru a lepenky</v>
      </c>
      <c r="X554">
        <f>IF(ISNUMBER(SEARCH('1Př1'!$A$37,N554)),MAX($M$2:M553)+1,0)</f>
        <v>552</v>
      </c>
      <c r="Y554" s="419" t="s">
        <v>2644</v>
      </c>
      <c r="Z554" t="str">
        <f>IFERROR(VLOOKUP(ROWS($Z$3:Z554),$X$3:$Y$992,2,0),"")</f>
        <v>Výroba strojů a přístrojů na výrobu papíru a lepenky</v>
      </c>
    </row>
    <row r="555" spans="13:26" ht="12.75">
      <c r="M555" s="418">
        <f>IF(ISNUMBER(SEARCH(ZAKL_DATA!$B$29,N555)),MAX($M$2:M554)+1,0)</f>
        <v>553</v>
      </c>
      <c r="N555" s="419" t="s">
        <v>2646</v>
      </c>
      <c r="O555" s="436" t="s">
        <v>2647</v>
      </c>
      <c r="P555" s="421"/>
      <c r="Q555" s="422" t="str">
        <f>IFERROR(VLOOKUP(ROWS($Q$3:Q555),$M$3:$N$992,2,0),"")</f>
        <v>Výroba strojů na výrobu plastů a pryže</v>
      </c>
      <c r="R555">
        <f>IF(ISNUMBER(SEARCH('1Př1'!$A$35,N555)),MAX($M$2:M554)+1,0)</f>
        <v>553</v>
      </c>
      <c r="S555" s="419" t="s">
        <v>2646</v>
      </c>
      <c r="T555" t="str">
        <f>IFERROR(VLOOKUP(ROWS($T$3:T555),$R$3:$S$992,2,0),"")</f>
        <v>Výroba strojů na výrobu plastů a pryže</v>
      </c>
      <c r="U555">
        <f>IF(ISNUMBER(SEARCH('1Př1'!$A$36,N555)),MAX($M$2:M554)+1,0)</f>
        <v>553</v>
      </c>
      <c r="V555" s="419" t="s">
        <v>2646</v>
      </c>
      <c r="W555" t="str">
        <f>IFERROR(VLOOKUP(ROWS($W$3:W555),$U$3:$V$992,2,0),"")</f>
        <v>Výroba strojů na výrobu plastů a pryže</v>
      </c>
      <c r="X555">
        <f>IF(ISNUMBER(SEARCH('1Př1'!$A$37,N555)),MAX($M$2:M554)+1,0)</f>
        <v>553</v>
      </c>
      <c r="Y555" s="419" t="s">
        <v>2646</v>
      </c>
      <c r="Z555" t="str">
        <f>IFERROR(VLOOKUP(ROWS($Z$3:Z555),$X$3:$Y$992,2,0),"")</f>
        <v>Výroba strojů na výrobu plastů a pryže</v>
      </c>
    </row>
    <row r="556" spans="13:26" ht="12.75">
      <c r="M556" s="418">
        <f>IF(ISNUMBER(SEARCH(ZAKL_DATA!$B$29,N556)),MAX($M$2:M555)+1,0)</f>
        <v>554</v>
      </c>
      <c r="N556" s="419" t="s">
        <v>2648</v>
      </c>
      <c r="O556" s="436" t="s">
        <v>2649</v>
      </c>
      <c r="P556" s="421"/>
      <c r="Q556" s="422" t="str">
        <f>IFERROR(VLOOKUP(ROWS($Q$3:Q556),$M$3:$N$992,2,0),"")</f>
        <v>Výroba ostatních strojů pro speciální účely j. n.</v>
      </c>
      <c r="R556">
        <f>IF(ISNUMBER(SEARCH('1Př1'!$A$35,N556)),MAX($M$2:M555)+1,0)</f>
        <v>554</v>
      </c>
      <c r="S556" s="419" t="s">
        <v>2648</v>
      </c>
      <c r="T556" t="str">
        <f>IFERROR(VLOOKUP(ROWS($T$3:T556),$R$3:$S$992,2,0),"")</f>
        <v>Výroba ostatních strojů pro speciální účely j. n.</v>
      </c>
      <c r="U556">
        <f>IF(ISNUMBER(SEARCH('1Př1'!$A$36,N556)),MAX($M$2:M555)+1,0)</f>
        <v>554</v>
      </c>
      <c r="V556" s="419" t="s">
        <v>2648</v>
      </c>
      <c r="W556" t="str">
        <f>IFERROR(VLOOKUP(ROWS($W$3:W556),$U$3:$V$992,2,0),"")</f>
        <v>Výroba ostatních strojů pro speciální účely j. n.</v>
      </c>
      <c r="X556">
        <f>IF(ISNUMBER(SEARCH('1Př1'!$A$37,N556)),MAX($M$2:M555)+1,0)</f>
        <v>554</v>
      </c>
      <c r="Y556" s="419" t="s">
        <v>2648</v>
      </c>
      <c r="Z556" t="str">
        <f>IFERROR(VLOOKUP(ROWS($Z$3:Z556),$X$3:$Y$992,2,0),"")</f>
        <v>Výroba ostatních strojů pro speciální účely j. n.</v>
      </c>
    </row>
    <row r="557" spans="13:26" ht="12.75">
      <c r="M557" s="418">
        <f>IF(ISNUMBER(SEARCH(ZAKL_DATA!$B$29,N557)),MAX($M$2:M556)+1,0)</f>
        <v>555</v>
      </c>
      <c r="N557" s="419" t="s">
        <v>2650</v>
      </c>
      <c r="O557" s="436" t="s">
        <v>2651</v>
      </c>
      <c r="P557" s="421"/>
      <c r="Q557" s="422" t="str">
        <f>IFERROR(VLOOKUP(ROWS($Q$3:Q557),$M$3:$N$992,2,0),"")</f>
        <v>Výroba elektrického a elektronického zařízení pro motorová vozidla</v>
      </c>
      <c r="R557">
        <f>IF(ISNUMBER(SEARCH('1Př1'!$A$35,N557)),MAX($M$2:M556)+1,0)</f>
        <v>555</v>
      </c>
      <c r="S557" s="419" t="s">
        <v>2650</v>
      </c>
      <c r="T557" t="str">
        <f>IFERROR(VLOOKUP(ROWS($T$3:T557),$R$3:$S$992,2,0),"")</f>
        <v>Výroba elektrického a elektronického zařízení pro motorová vozidla</v>
      </c>
      <c r="U557">
        <f>IF(ISNUMBER(SEARCH('1Př1'!$A$36,N557)),MAX($M$2:M556)+1,0)</f>
        <v>555</v>
      </c>
      <c r="V557" s="419" t="s">
        <v>2650</v>
      </c>
      <c r="W557" t="str">
        <f>IFERROR(VLOOKUP(ROWS($W$3:W557),$U$3:$V$992,2,0),"")</f>
        <v>Výroba elektrického a elektronického zařízení pro motorová vozidla</v>
      </c>
      <c r="X557">
        <f>IF(ISNUMBER(SEARCH('1Př1'!$A$37,N557)),MAX($M$2:M556)+1,0)</f>
        <v>555</v>
      </c>
      <c r="Y557" s="419" t="s">
        <v>2650</v>
      </c>
      <c r="Z557" t="str">
        <f>IFERROR(VLOOKUP(ROWS($Z$3:Z557),$X$3:$Y$992,2,0),"")</f>
        <v>Výroba elektrického a elektronického zařízení pro motorová vozidla</v>
      </c>
    </row>
    <row r="558" spans="13:26" ht="12.75">
      <c r="M558" s="418">
        <f>IF(ISNUMBER(SEARCH(ZAKL_DATA!$B$29,N558)),MAX($M$2:M557)+1,0)</f>
        <v>556</v>
      </c>
      <c r="N558" s="419" t="s">
        <v>2652</v>
      </c>
      <c r="O558" s="436" t="s">
        <v>2653</v>
      </c>
      <c r="P558" s="421"/>
      <c r="Q558" s="422" t="str">
        <f>IFERROR(VLOOKUP(ROWS($Q$3:Q558),$M$3:$N$992,2,0),"")</f>
        <v>Výroba ostatních dílů a příslušenství pro motorová vozidla</v>
      </c>
      <c r="R558">
        <f>IF(ISNUMBER(SEARCH('1Př1'!$A$35,N558)),MAX($M$2:M557)+1,0)</f>
        <v>556</v>
      </c>
      <c r="S558" s="419" t="s">
        <v>2652</v>
      </c>
      <c r="T558" t="str">
        <f>IFERROR(VLOOKUP(ROWS($T$3:T558),$R$3:$S$992,2,0),"")</f>
        <v>Výroba ostatních dílů a příslušenství pro motorová vozidla</v>
      </c>
      <c r="U558">
        <f>IF(ISNUMBER(SEARCH('1Př1'!$A$36,N558)),MAX($M$2:M557)+1,0)</f>
        <v>556</v>
      </c>
      <c r="V558" s="419" t="s">
        <v>2652</v>
      </c>
      <c r="W558" t="str">
        <f>IFERROR(VLOOKUP(ROWS($W$3:W558),$U$3:$V$992,2,0),"")</f>
        <v>Výroba ostatních dílů a příslušenství pro motorová vozidla</v>
      </c>
      <c r="X558">
        <f>IF(ISNUMBER(SEARCH('1Př1'!$A$37,N558)),MAX($M$2:M557)+1,0)</f>
        <v>556</v>
      </c>
      <c r="Y558" s="419" t="s">
        <v>2652</v>
      </c>
      <c r="Z558" t="str">
        <f>IFERROR(VLOOKUP(ROWS($Z$3:Z558),$X$3:$Y$992,2,0),"")</f>
        <v>Výroba ostatních dílů a příslušenství pro motorová vozidla</v>
      </c>
    </row>
    <row r="559" spans="13:26" ht="12.75">
      <c r="M559" s="418">
        <f>IF(ISNUMBER(SEARCH(ZAKL_DATA!$B$29,N559)),MAX($M$2:M558)+1,0)</f>
        <v>557</v>
      </c>
      <c r="N559" s="419" t="s">
        <v>2654</v>
      </c>
      <c r="O559" s="436" t="s">
        <v>2655</v>
      </c>
      <c r="P559" s="421"/>
      <c r="Q559" s="422" t="str">
        <f>IFERROR(VLOOKUP(ROWS($Q$3:Q559),$M$3:$N$992,2,0),"")</f>
        <v>Stavba lodí a plavidel</v>
      </c>
      <c r="R559">
        <f>IF(ISNUMBER(SEARCH('1Př1'!$A$35,N559)),MAX($M$2:M558)+1,0)</f>
        <v>557</v>
      </c>
      <c r="S559" s="419" t="s">
        <v>2654</v>
      </c>
      <c r="T559" t="str">
        <f>IFERROR(VLOOKUP(ROWS($T$3:T559),$R$3:$S$992,2,0),"")</f>
        <v>Stavba lodí a plavidel</v>
      </c>
      <c r="U559">
        <f>IF(ISNUMBER(SEARCH('1Př1'!$A$36,N559)),MAX($M$2:M558)+1,0)</f>
        <v>557</v>
      </c>
      <c r="V559" s="419" t="s">
        <v>2654</v>
      </c>
      <c r="W559" t="str">
        <f>IFERROR(VLOOKUP(ROWS($W$3:W559),$U$3:$V$992,2,0),"")</f>
        <v>Stavba lodí a plavidel</v>
      </c>
      <c r="X559">
        <f>IF(ISNUMBER(SEARCH('1Př1'!$A$37,N559)),MAX($M$2:M558)+1,0)</f>
        <v>557</v>
      </c>
      <c r="Y559" s="419" t="s">
        <v>2654</v>
      </c>
      <c r="Z559" t="str">
        <f>IFERROR(VLOOKUP(ROWS($Z$3:Z559),$X$3:$Y$992,2,0),"")</f>
        <v>Stavba lodí a plavidel</v>
      </c>
    </row>
    <row r="560" spans="13:26" ht="12.75">
      <c r="M560" s="418">
        <f>IF(ISNUMBER(SEARCH(ZAKL_DATA!$B$29,N560)),MAX($M$2:M559)+1,0)</f>
        <v>558</v>
      </c>
      <c r="N560" s="419" t="s">
        <v>2656</v>
      </c>
      <c r="O560" s="436" t="s">
        <v>2657</v>
      </c>
      <c r="P560" s="421"/>
      <c r="Q560" s="422" t="str">
        <f>IFERROR(VLOOKUP(ROWS($Q$3:Q560),$M$3:$N$992,2,0),"")</f>
        <v>Stavba rekreačních a sportovních člunů</v>
      </c>
      <c r="R560">
        <f>IF(ISNUMBER(SEARCH('1Př1'!$A$35,N560)),MAX($M$2:M559)+1,0)</f>
        <v>558</v>
      </c>
      <c r="S560" s="419" t="s">
        <v>2656</v>
      </c>
      <c r="T560" t="str">
        <f>IFERROR(VLOOKUP(ROWS($T$3:T560),$R$3:$S$992,2,0),"")</f>
        <v>Stavba rekreačních a sportovních člunů</v>
      </c>
      <c r="U560">
        <f>IF(ISNUMBER(SEARCH('1Př1'!$A$36,N560)),MAX($M$2:M559)+1,0)</f>
        <v>558</v>
      </c>
      <c r="V560" s="419" t="s">
        <v>2656</v>
      </c>
      <c r="W560" t="str">
        <f>IFERROR(VLOOKUP(ROWS($W$3:W560),$U$3:$V$992,2,0),"")</f>
        <v>Stavba rekreačních a sportovních člunů</v>
      </c>
      <c r="X560">
        <f>IF(ISNUMBER(SEARCH('1Př1'!$A$37,N560)),MAX($M$2:M559)+1,0)</f>
        <v>558</v>
      </c>
      <c r="Y560" s="419" t="s">
        <v>2656</v>
      </c>
      <c r="Z560" t="str">
        <f>IFERROR(VLOOKUP(ROWS($Z$3:Z560),$X$3:$Y$992,2,0),"")</f>
        <v>Stavba rekreačních a sportovních člunů</v>
      </c>
    </row>
    <row r="561" spans="13:26" ht="12.75">
      <c r="M561" s="418">
        <f>IF(ISNUMBER(SEARCH(ZAKL_DATA!$B$29,N561)),MAX($M$2:M560)+1,0)</f>
        <v>559</v>
      </c>
      <c r="N561" s="419" t="s">
        <v>2658</v>
      </c>
      <c r="O561" s="436" t="s">
        <v>2659</v>
      </c>
      <c r="P561" s="421"/>
      <c r="Q561" s="422" t="str">
        <f>IFERROR(VLOOKUP(ROWS($Q$3:Q561),$M$3:$N$992,2,0),"")</f>
        <v>Výroba motocyklů</v>
      </c>
      <c r="R561">
        <f>IF(ISNUMBER(SEARCH('1Př1'!$A$35,N561)),MAX($M$2:M560)+1,0)</f>
        <v>559</v>
      </c>
      <c r="S561" s="419" t="s">
        <v>2658</v>
      </c>
      <c r="T561" t="str">
        <f>IFERROR(VLOOKUP(ROWS($T$3:T561),$R$3:$S$992,2,0),"")</f>
        <v>Výroba motocyklů</v>
      </c>
      <c r="U561">
        <f>IF(ISNUMBER(SEARCH('1Př1'!$A$36,N561)),MAX($M$2:M560)+1,0)</f>
        <v>559</v>
      </c>
      <c r="V561" s="419" t="s">
        <v>2658</v>
      </c>
      <c r="W561" t="str">
        <f>IFERROR(VLOOKUP(ROWS($W$3:W561),$U$3:$V$992,2,0),"")</f>
        <v>Výroba motocyklů</v>
      </c>
      <c r="X561">
        <f>IF(ISNUMBER(SEARCH('1Př1'!$A$37,N561)),MAX($M$2:M560)+1,0)</f>
        <v>559</v>
      </c>
      <c r="Y561" s="419" t="s">
        <v>2658</v>
      </c>
      <c r="Z561" t="str">
        <f>IFERROR(VLOOKUP(ROWS($Z$3:Z561),$X$3:$Y$992,2,0),"")</f>
        <v>Výroba motocyklů</v>
      </c>
    </row>
    <row r="562" spans="13:26" ht="12.75">
      <c r="M562" s="418">
        <f>IF(ISNUMBER(SEARCH(ZAKL_DATA!$B$29,N562)),MAX($M$2:M561)+1,0)</f>
        <v>560</v>
      </c>
      <c r="N562" s="419" t="s">
        <v>2660</v>
      </c>
      <c r="O562" s="436" t="s">
        <v>2661</v>
      </c>
      <c r="P562" s="421"/>
      <c r="Q562" s="422" t="str">
        <f>IFERROR(VLOOKUP(ROWS($Q$3:Q562),$M$3:$N$992,2,0),"")</f>
        <v>Výroba jízdních kol a vozíků pro invalidy</v>
      </c>
      <c r="R562">
        <f>IF(ISNUMBER(SEARCH('1Př1'!$A$35,N562)),MAX($M$2:M561)+1,0)</f>
        <v>560</v>
      </c>
      <c r="S562" s="419" t="s">
        <v>2660</v>
      </c>
      <c r="T562" t="str">
        <f>IFERROR(VLOOKUP(ROWS($T$3:T562),$R$3:$S$992,2,0),"")</f>
        <v>Výroba jízdních kol a vozíků pro invalidy</v>
      </c>
      <c r="U562">
        <f>IF(ISNUMBER(SEARCH('1Př1'!$A$36,N562)),MAX($M$2:M561)+1,0)</f>
        <v>560</v>
      </c>
      <c r="V562" s="419" t="s">
        <v>2660</v>
      </c>
      <c r="W562" t="str">
        <f>IFERROR(VLOOKUP(ROWS($W$3:W562),$U$3:$V$992,2,0),"")</f>
        <v>Výroba jízdních kol a vozíků pro invalidy</v>
      </c>
      <c r="X562">
        <f>IF(ISNUMBER(SEARCH('1Př1'!$A$37,N562)),MAX($M$2:M561)+1,0)</f>
        <v>560</v>
      </c>
      <c r="Y562" s="419" t="s">
        <v>2660</v>
      </c>
      <c r="Z562" t="str">
        <f>IFERROR(VLOOKUP(ROWS($Z$3:Z562),$X$3:$Y$992,2,0),"")</f>
        <v>Výroba jízdních kol a vozíků pro invalidy</v>
      </c>
    </row>
    <row r="563" spans="13:26" ht="12.75">
      <c r="M563" s="418">
        <f>IF(ISNUMBER(SEARCH(ZAKL_DATA!$B$29,N563)),MAX($M$2:M562)+1,0)</f>
        <v>561</v>
      </c>
      <c r="N563" s="419" t="s">
        <v>2662</v>
      </c>
      <c r="O563" s="436" t="s">
        <v>2663</v>
      </c>
      <c r="P563" s="421"/>
      <c r="Q563" s="422" t="str">
        <f>IFERROR(VLOOKUP(ROWS($Q$3:Q563),$M$3:$N$992,2,0),"")</f>
        <v>Výroba ostatních dopravních prostředků a zařízení j. n.</v>
      </c>
      <c r="R563">
        <f>IF(ISNUMBER(SEARCH('1Př1'!$A$35,N563)),MAX($M$2:M562)+1,0)</f>
        <v>561</v>
      </c>
      <c r="S563" s="419" t="s">
        <v>2662</v>
      </c>
      <c r="T563" t="str">
        <f>IFERROR(VLOOKUP(ROWS($T$3:T563),$R$3:$S$992,2,0),"")</f>
        <v>Výroba ostatních dopravních prostředků a zařízení j. n.</v>
      </c>
      <c r="U563">
        <f>IF(ISNUMBER(SEARCH('1Př1'!$A$36,N563)),MAX($M$2:M562)+1,0)</f>
        <v>561</v>
      </c>
      <c r="V563" s="419" t="s">
        <v>2662</v>
      </c>
      <c r="W563" t="str">
        <f>IFERROR(VLOOKUP(ROWS($W$3:W563),$U$3:$V$992,2,0),"")</f>
        <v>Výroba ostatních dopravních prostředků a zařízení j. n.</v>
      </c>
      <c r="X563">
        <f>IF(ISNUMBER(SEARCH('1Př1'!$A$37,N563)),MAX($M$2:M562)+1,0)</f>
        <v>561</v>
      </c>
      <c r="Y563" s="419" t="s">
        <v>2662</v>
      </c>
      <c r="Z563" t="str">
        <f>IFERROR(VLOOKUP(ROWS($Z$3:Z563),$X$3:$Y$992,2,0),"")</f>
        <v>Výroba ostatních dopravních prostředků a zařízení j. n.</v>
      </c>
    </row>
    <row r="564" spans="13:26" ht="12.75">
      <c r="M564" s="418">
        <f>IF(ISNUMBER(SEARCH(ZAKL_DATA!$B$29,N564)),MAX($M$2:M563)+1,0)</f>
        <v>562</v>
      </c>
      <c r="N564" s="419" t="s">
        <v>2664</v>
      </c>
      <c r="O564" s="436" t="s">
        <v>2665</v>
      </c>
      <c r="P564" s="421"/>
      <c r="Q564" s="422" t="str">
        <f>IFERROR(VLOOKUP(ROWS($Q$3:Q564),$M$3:$N$992,2,0),"")</f>
        <v>Výroba kancelářského nábytku a zařízení obchodů</v>
      </c>
      <c r="R564">
        <f>IF(ISNUMBER(SEARCH('1Př1'!$A$35,N564)),MAX($M$2:M563)+1,0)</f>
        <v>562</v>
      </c>
      <c r="S564" s="419" t="s">
        <v>2664</v>
      </c>
      <c r="T564" t="str">
        <f>IFERROR(VLOOKUP(ROWS($T$3:T564),$R$3:$S$992,2,0),"")</f>
        <v>Výroba kancelářského nábytku a zařízení obchodů</v>
      </c>
      <c r="U564">
        <f>IF(ISNUMBER(SEARCH('1Př1'!$A$36,N564)),MAX($M$2:M563)+1,0)</f>
        <v>562</v>
      </c>
      <c r="V564" s="419" t="s">
        <v>2664</v>
      </c>
      <c r="W564" t="str">
        <f>IFERROR(VLOOKUP(ROWS($W$3:W564),$U$3:$V$992,2,0),"")</f>
        <v>Výroba kancelářského nábytku a zařízení obchodů</v>
      </c>
      <c r="X564">
        <f>IF(ISNUMBER(SEARCH('1Př1'!$A$37,N564)),MAX($M$2:M563)+1,0)</f>
        <v>562</v>
      </c>
      <c r="Y564" s="419" t="s">
        <v>2664</v>
      </c>
      <c r="Z564" t="str">
        <f>IFERROR(VLOOKUP(ROWS($Z$3:Z564),$X$3:$Y$992,2,0),"")</f>
        <v>Výroba kancelářského nábytku a zařízení obchodů</v>
      </c>
    </row>
    <row r="565" spans="13:26" ht="12.75">
      <c r="M565" s="418">
        <f>IF(ISNUMBER(SEARCH(ZAKL_DATA!$B$29,N565)),MAX($M$2:M564)+1,0)</f>
        <v>563</v>
      </c>
      <c r="N565" s="419" t="s">
        <v>2666</v>
      </c>
      <c r="O565" s="436" t="s">
        <v>2667</v>
      </c>
      <c r="P565" s="421"/>
      <c r="Q565" s="422" t="str">
        <f>IFERROR(VLOOKUP(ROWS($Q$3:Q565),$M$3:$N$992,2,0),"")</f>
        <v>Výroba kuchyňského nábytku</v>
      </c>
      <c r="R565">
        <f>IF(ISNUMBER(SEARCH('1Př1'!$A$35,N565)),MAX($M$2:M564)+1,0)</f>
        <v>563</v>
      </c>
      <c r="S565" s="419" t="s">
        <v>2666</v>
      </c>
      <c r="T565" t="str">
        <f>IFERROR(VLOOKUP(ROWS($T$3:T565),$R$3:$S$992,2,0),"")</f>
        <v>Výroba kuchyňského nábytku</v>
      </c>
      <c r="U565">
        <f>IF(ISNUMBER(SEARCH('1Př1'!$A$36,N565)),MAX($M$2:M564)+1,0)</f>
        <v>563</v>
      </c>
      <c r="V565" s="419" t="s">
        <v>2666</v>
      </c>
      <c r="W565" t="str">
        <f>IFERROR(VLOOKUP(ROWS($W$3:W565),$U$3:$V$992,2,0),"")</f>
        <v>Výroba kuchyňského nábytku</v>
      </c>
      <c r="X565">
        <f>IF(ISNUMBER(SEARCH('1Př1'!$A$37,N565)),MAX($M$2:M564)+1,0)</f>
        <v>563</v>
      </c>
      <c r="Y565" s="419" t="s">
        <v>2666</v>
      </c>
      <c r="Z565" t="str">
        <f>IFERROR(VLOOKUP(ROWS($Z$3:Z565),$X$3:$Y$992,2,0),"")</f>
        <v>Výroba kuchyňského nábytku</v>
      </c>
    </row>
    <row r="566" spans="13:26" ht="12.75">
      <c r="M566" s="418">
        <f>IF(ISNUMBER(SEARCH(ZAKL_DATA!$B$29,N566)),MAX($M$2:M565)+1,0)</f>
        <v>564</v>
      </c>
      <c r="N566" s="419" t="s">
        <v>2668</v>
      </c>
      <c r="O566" s="436" t="s">
        <v>2669</v>
      </c>
      <c r="P566" s="421"/>
      <c r="Q566" s="422" t="str">
        <f>IFERROR(VLOOKUP(ROWS($Q$3:Q566),$M$3:$N$992,2,0),"")</f>
        <v>Výroba matrací</v>
      </c>
      <c r="R566">
        <f>IF(ISNUMBER(SEARCH('1Př1'!$A$35,N566)),MAX($M$2:M565)+1,0)</f>
        <v>564</v>
      </c>
      <c r="S566" s="419" t="s">
        <v>2668</v>
      </c>
      <c r="T566" t="str">
        <f>IFERROR(VLOOKUP(ROWS($T$3:T566),$R$3:$S$992,2,0),"")</f>
        <v>Výroba matrací</v>
      </c>
      <c r="U566">
        <f>IF(ISNUMBER(SEARCH('1Př1'!$A$36,N566)),MAX($M$2:M565)+1,0)</f>
        <v>564</v>
      </c>
      <c r="V566" s="419" t="s">
        <v>2668</v>
      </c>
      <c r="W566" t="str">
        <f>IFERROR(VLOOKUP(ROWS($W$3:W566),$U$3:$V$992,2,0),"")</f>
        <v>Výroba matrací</v>
      </c>
      <c r="X566">
        <f>IF(ISNUMBER(SEARCH('1Př1'!$A$37,N566)),MAX($M$2:M565)+1,0)</f>
        <v>564</v>
      </c>
      <c r="Y566" s="419" t="s">
        <v>2668</v>
      </c>
      <c r="Z566" t="str">
        <f>IFERROR(VLOOKUP(ROWS($Z$3:Z566),$X$3:$Y$992,2,0),"")</f>
        <v>Výroba matrací</v>
      </c>
    </row>
    <row r="567" spans="13:26" ht="12.75">
      <c r="M567" s="418">
        <f>IF(ISNUMBER(SEARCH(ZAKL_DATA!$B$29,N567)),MAX($M$2:M566)+1,0)</f>
        <v>565</v>
      </c>
      <c r="N567" s="419" t="s">
        <v>2670</v>
      </c>
      <c r="O567" s="436" t="s">
        <v>2671</v>
      </c>
      <c r="P567" s="421"/>
      <c r="Q567" s="422" t="str">
        <f>IFERROR(VLOOKUP(ROWS($Q$3:Q567),$M$3:$N$992,2,0),"")</f>
        <v>Výroba ostatního nábytku</v>
      </c>
      <c r="R567">
        <f>IF(ISNUMBER(SEARCH('1Př1'!$A$35,N567)),MAX($M$2:M566)+1,0)</f>
        <v>565</v>
      </c>
      <c r="S567" s="419" t="s">
        <v>2670</v>
      </c>
      <c r="T567" t="str">
        <f>IFERROR(VLOOKUP(ROWS($T$3:T567),$R$3:$S$992,2,0),"")</f>
        <v>Výroba ostatního nábytku</v>
      </c>
      <c r="U567">
        <f>IF(ISNUMBER(SEARCH('1Př1'!$A$36,N567)),MAX($M$2:M566)+1,0)</f>
        <v>565</v>
      </c>
      <c r="V567" s="419" t="s">
        <v>2670</v>
      </c>
      <c r="W567" t="str">
        <f>IFERROR(VLOOKUP(ROWS($W$3:W567),$U$3:$V$992,2,0),"")</f>
        <v>Výroba ostatního nábytku</v>
      </c>
      <c r="X567">
        <f>IF(ISNUMBER(SEARCH('1Př1'!$A$37,N567)),MAX($M$2:M566)+1,0)</f>
        <v>565</v>
      </c>
      <c r="Y567" s="419" t="s">
        <v>2670</v>
      </c>
      <c r="Z567" t="str">
        <f>IFERROR(VLOOKUP(ROWS($Z$3:Z567),$X$3:$Y$992,2,0),"")</f>
        <v>Výroba ostatního nábytku</v>
      </c>
    </row>
    <row r="568" spans="13:26" ht="12.75">
      <c r="M568" s="418">
        <f>IF(ISNUMBER(SEARCH(ZAKL_DATA!$B$29,N568)),MAX($M$2:M567)+1,0)</f>
        <v>566</v>
      </c>
      <c r="N568" s="419" t="s">
        <v>2672</v>
      </c>
      <c r="O568" s="436" t="s">
        <v>2673</v>
      </c>
      <c r="P568" s="421"/>
      <c r="Q568" s="422" t="str">
        <f>IFERROR(VLOOKUP(ROWS($Q$3:Q568),$M$3:$N$992,2,0),"")</f>
        <v>Ražení mincí</v>
      </c>
      <c r="R568">
        <f>IF(ISNUMBER(SEARCH('1Př1'!$A$35,N568)),MAX($M$2:M567)+1,0)</f>
        <v>566</v>
      </c>
      <c r="S568" s="419" t="s">
        <v>2672</v>
      </c>
      <c r="T568" t="str">
        <f>IFERROR(VLOOKUP(ROWS($T$3:T568),$R$3:$S$992,2,0),"")</f>
        <v>Ražení mincí</v>
      </c>
      <c r="U568">
        <f>IF(ISNUMBER(SEARCH('1Př1'!$A$36,N568)),MAX($M$2:M567)+1,0)</f>
        <v>566</v>
      </c>
      <c r="V568" s="419" t="s">
        <v>2672</v>
      </c>
      <c r="W568" t="str">
        <f>IFERROR(VLOOKUP(ROWS($W$3:W568),$U$3:$V$992,2,0),"")</f>
        <v>Ražení mincí</v>
      </c>
      <c r="X568">
        <f>IF(ISNUMBER(SEARCH('1Př1'!$A$37,N568)),MAX($M$2:M567)+1,0)</f>
        <v>566</v>
      </c>
      <c r="Y568" s="419" t="s">
        <v>2672</v>
      </c>
      <c r="Z568" t="str">
        <f>IFERROR(VLOOKUP(ROWS($Z$3:Z568),$X$3:$Y$992,2,0),"")</f>
        <v>Ražení mincí</v>
      </c>
    </row>
    <row r="569" spans="13:26" ht="12.75">
      <c r="M569" s="418">
        <f>IF(ISNUMBER(SEARCH(ZAKL_DATA!$B$29,N569)),MAX($M$2:M568)+1,0)</f>
        <v>567</v>
      </c>
      <c r="N569" s="419" t="s">
        <v>2674</v>
      </c>
      <c r="O569" s="436" t="s">
        <v>2675</v>
      </c>
      <c r="P569" s="421"/>
      <c r="Q569" s="422" t="str">
        <f>IFERROR(VLOOKUP(ROWS($Q$3:Q569),$M$3:$N$992,2,0),"")</f>
        <v>Výroba klenotů a příbuzných výrobků</v>
      </c>
      <c r="R569">
        <f>IF(ISNUMBER(SEARCH('1Př1'!$A$35,N569)),MAX($M$2:M568)+1,0)</f>
        <v>567</v>
      </c>
      <c r="S569" s="419" t="s">
        <v>2674</v>
      </c>
      <c r="T569" t="str">
        <f>IFERROR(VLOOKUP(ROWS($T$3:T569),$R$3:$S$992,2,0),"")</f>
        <v>Výroba klenotů a příbuzných výrobků</v>
      </c>
      <c r="U569">
        <f>IF(ISNUMBER(SEARCH('1Př1'!$A$36,N569)),MAX($M$2:M568)+1,0)</f>
        <v>567</v>
      </c>
      <c r="V569" s="419" t="s">
        <v>2674</v>
      </c>
      <c r="W569" t="str">
        <f>IFERROR(VLOOKUP(ROWS($W$3:W569),$U$3:$V$992,2,0),"")</f>
        <v>Výroba klenotů a příbuzných výrobků</v>
      </c>
      <c r="X569">
        <f>IF(ISNUMBER(SEARCH('1Př1'!$A$37,N569)),MAX($M$2:M568)+1,0)</f>
        <v>567</v>
      </c>
      <c r="Y569" s="419" t="s">
        <v>2674</v>
      </c>
      <c r="Z569" t="str">
        <f>IFERROR(VLOOKUP(ROWS($Z$3:Z569),$X$3:$Y$992,2,0),"")</f>
        <v>Výroba klenotů a příbuzných výrobků</v>
      </c>
    </row>
    <row r="570" spans="13:26" ht="12.75">
      <c r="M570" s="418">
        <f>IF(ISNUMBER(SEARCH(ZAKL_DATA!$B$29,N570)),MAX($M$2:M569)+1,0)</f>
        <v>568</v>
      </c>
      <c r="N570" s="419" t="s">
        <v>2676</v>
      </c>
      <c r="O570" s="436" t="s">
        <v>2677</v>
      </c>
      <c r="P570" s="421"/>
      <c r="Q570" s="422" t="str">
        <f>IFERROR(VLOOKUP(ROWS($Q$3:Q570),$M$3:$N$992,2,0),"")</f>
        <v>Výroba bižuterie a příbuzných výrobků</v>
      </c>
      <c r="R570">
        <f>IF(ISNUMBER(SEARCH('1Př1'!$A$35,N570)),MAX($M$2:M569)+1,0)</f>
        <v>568</v>
      </c>
      <c r="S570" s="419" t="s">
        <v>2676</v>
      </c>
      <c r="T570" t="str">
        <f>IFERROR(VLOOKUP(ROWS($T$3:T570),$R$3:$S$992,2,0),"")</f>
        <v>Výroba bižuterie a příbuzných výrobků</v>
      </c>
      <c r="U570">
        <f>IF(ISNUMBER(SEARCH('1Př1'!$A$36,N570)),MAX($M$2:M569)+1,0)</f>
        <v>568</v>
      </c>
      <c r="V570" s="419" t="s">
        <v>2676</v>
      </c>
      <c r="W570" t="str">
        <f>IFERROR(VLOOKUP(ROWS($W$3:W570),$U$3:$V$992,2,0),"")</f>
        <v>Výroba bižuterie a příbuzných výrobků</v>
      </c>
      <c r="X570">
        <f>IF(ISNUMBER(SEARCH('1Př1'!$A$37,N570)),MAX($M$2:M569)+1,0)</f>
        <v>568</v>
      </c>
      <c r="Y570" s="419" t="s">
        <v>2676</v>
      </c>
      <c r="Z570" t="str">
        <f>IFERROR(VLOOKUP(ROWS($Z$3:Z570),$X$3:$Y$992,2,0),"")</f>
        <v>Výroba bižuterie a příbuzných výrobků</v>
      </c>
    </row>
    <row r="571" spans="13:26" ht="12.75">
      <c r="M571" s="418">
        <f>IF(ISNUMBER(SEARCH(ZAKL_DATA!$B$29,N571)),MAX($M$2:M570)+1,0)</f>
        <v>569</v>
      </c>
      <c r="N571" s="419" t="s">
        <v>2678</v>
      </c>
      <c r="O571" s="436" t="s">
        <v>2679</v>
      </c>
      <c r="P571" s="421"/>
      <c r="Q571" s="422" t="str">
        <f>IFERROR(VLOOKUP(ROWS($Q$3:Q571),$M$3:$N$992,2,0),"")</f>
        <v>Výroba košťat a kartáčnických výrobků</v>
      </c>
      <c r="R571">
        <f>IF(ISNUMBER(SEARCH('1Př1'!$A$35,N571)),MAX($M$2:M570)+1,0)</f>
        <v>569</v>
      </c>
      <c r="S571" s="419" t="s">
        <v>2678</v>
      </c>
      <c r="T571" t="str">
        <f>IFERROR(VLOOKUP(ROWS($T$3:T571),$R$3:$S$992,2,0),"")</f>
        <v>Výroba košťat a kartáčnických výrobků</v>
      </c>
      <c r="U571">
        <f>IF(ISNUMBER(SEARCH('1Př1'!$A$36,N571)),MAX($M$2:M570)+1,0)</f>
        <v>569</v>
      </c>
      <c r="V571" s="419" t="s">
        <v>2678</v>
      </c>
      <c r="W571" t="str">
        <f>IFERROR(VLOOKUP(ROWS($W$3:W571),$U$3:$V$992,2,0),"")</f>
        <v>Výroba košťat a kartáčnických výrobků</v>
      </c>
      <c r="X571">
        <f>IF(ISNUMBER(SEARCH('1Př1'!$A$37,N571)),MAX($M$2:M570)+1,0)</f>
        <v>569</v>
      </c>
      <c r="Y571" s="419" t="s">
        <v>2678</v>
      </c>
      <c r="Z571" t="str">
        <f>IFERROR(VLOOKUP(ROWS($Z$3:Z571),$X$3:$Y$992,2,0),"")</f>
        <v>Výroba košťat a kartáčnických výrobků</v>
      </c>
    </row>
    <row r="572" spans="13:26" ht="12.75">
      <c r="M572" s="418">
        <f>IF(ISNUMBER(SEARCH(ZAKL_DATA!$B$29,N572)),MAX($M$2:M571)+1,0)</f>
        <v>570</v>
      </c>
      <c r="N572" s="419" t="s">
        <v>2680</v>
      </c>
      <c r="O572" s="436" t="s">
        <v>2681</v>
      </c>
      <c r="P572" s="421"/>
      <c r="Q572" s="422" t="str">
        <f>IFERROR(VLOOKUP(ROWS($Q$3:Q572),$M$3:$N$992,2,0),"")</f>
        <v>Ostatní zpracovatelský průmysl j. n.</v>
      </c>
      <c r="R572">
        <f>IF(ISNUMBER(SEARCH('1Př1'!$A$35,N572)),MAX($M$2:M571)+1,0)</f>
        <v>570</v>
      </c>
      <c r="S572" s="419" t="s">
        <v>2680</v>
      </c>
      <c r="T572" t="str">
        <f>IFERROR(VLOOKUP(ROWS($T$3:T572),$R$3:$S$992,2,0),"")</f>
        <v>Ostatní zpracovatelský průmysl j. n.</v>
      </c>
      <c r="U572">
        <f>IF(ISNUMBER(SEARCH('1Př1'!$A$36,N572)),MAX($M$2:M571)+1,0)</f>
        <v>570</v>
      </c>
      <c r="V572" s="419" t="s">
        <v>2680</v>
      </c>
      <c r="W572" t="str">
        <f>IFERROR(VLOOKUP(ROWS($W$3:W572),$U$3:$V$992,2,0),"")</f>
        <v>Ostatní zpracovatelský průmysl j. n.</v>
      </c>
      <c r="X572">
        <f>IF(ISNUMBER(SEARCH('1Př1'!$A$37,N572)),MAX($M$2:M571)+1,0)</f>
        <v>570</v>
      </c>
      <c r="Y572" s="419" t="s">
        <v>2680</v>
      </c>
      <c r="Z572" t="str">
        <f>IFERROR(VLOOKUP(ROWS($Z$3:Z572),$X$3:$Y$992,2,0),"")</f>
        <v>Ostatní zpracovatelský průmysl j. n.</v>
      </c>
    </row>
    <row r="573" spans="13:26" ht="12.75">
      <c r="M573" s="418">
        <f>IF(ISNUMBER(SEARCH(ZAKL_DATA!$B$29,N573)),MAX($M$2:M572)+1,0)</f>
        <v>571</v>
      </c>
      <c r="N573" s="419" t="s">
        <v>2682</v>
      </c>
      <c r="O573" s="436" t="s">
        <v>2683</v>
      </c>
      <c r="P573" s="421"/>
      <c r="Q573" s="422" t="str">
        <f>IFERROR(VLOOKUP(ROWS($Q$3:Q573),$M$3:$N$992,2,0),"")</f>
        <v>Opravy kovodělných výrobků</v>
      </c>
      <c r="R573">
        <f>IF(ISNUMBER(SEARCH('1Př1'!$A$35,N573)),MAX($M$2:M572)+1,0)</f>
        <v>571</v>
      </c>
      <c r="S573" s="419" t="s">
        <v>2682</v>
      </c>
      <c r="T573" t="str">
        <f>IFERROR(VLOOKUP(ROWS($T$3:T573),$R$3:$S$992,2,0),"")</f>
        <v>Opravy kovodělných výrobků</v>
      </c>
      <c r="U573">
        <f>IF(ISNUMBER(SEARCH('1Př1'!$A$36,N573)),MAX($M$2:M572)+1,0)</f>
        <v>571</v>
      </c>
      <c r="V573" s="419" t="s">
        <v>2682</v>
      </c>
      <c r="W573" t="str">
        <f>IFERROR(VLOOKUP(ROWS($W$3:W573),$U$3:$V$992,2,0),"")</f>
        <v>Opravy kovodělných výrobků</v>
      </c>
      <c r="X573">
        <f>IF(ISNUMBER(SEARCH('1Př1'!$A$37,N573)),MAX($M$2:M572)+1,0)</f>
        <v>571</v>
      </c>
      <c r="Y573" s="419" t="s">
        <v>2682</v>
      </c>
      <c r="Z573" t="str">
        <f>IFERROR(VLOOKUP(ROWS($Z$3:Z573),$X$3:$Y$992,2,0),"")</f>
        <v>Opravy kovodělných výrobků</v>
      </c>
    </row>
    <row r="574" spans="13:26" ht="12.75">
      <c r="M574" s="418">
        <f>IF(ISNUMBER(SEARCH(ZAKL_DATA!$B$29,N574)),MAX($M$2:M573)+1,0)</f>
        <v>572</v>
      </c>
      <c r="N574" s="419" t="s">
        <v>2684</v>
      </c>
      <c r="O574" s="436" t="s">
        <v>2685</v>
      </c>
      <c r="P574" s="421"/>
      <c r="Q574" s="422" t="str">
        <f>IFERROR(VLOOKUP(ROWS($Q$3:Q574),$M$3:$N$992,2,0),"")</f>
        <v>Opravy strojů</v>
      </c>
      <c r="R574">
        <f>IF(ISNUMBER(SEARCH('1Př1'!$A$35,N574)),MAX($M$2:M573)+1,0)</f>
        <v>572</v>
      </c>
      <c r="S574" s="419" t="s">
        <v>2684</v>
      </c>
      <c r="T574" t="str">
        <f>IFERROR(VLOOKUP(ROWS($T$3:T574),$R$3:$S$992,2,0),"")</f>
        <v>Opravy strojů</v>
      </c>
      <c r="U574">
        <f>IF(ISNUMBER(SEARCH('1Př1'!$A$36,N574)),MAX($M$2:M573)+1,0)</f>
        <v>572</v>
      </c>
      <c r="V574" s="419" t="s">
        <v>2684</v>
      </c>
      <c r="W574" t="str">
        <f>IFERROR(VLOOKUP(ROWS($W$3:W574),$U$3:$V$992,2,0),"")</f>
        <v>Opravy strojů</v>
      </c>
      <c r="X574">
        <f>IF(ISNUMBER(SEARCH('1Př1'!$A$37,N574)),MAX($M$2:M573)+1,0)</f>
        <v>572</v>
      </c>
      <c r="Y574" s="419" t="s">
        <v>2684</v>
      </c>
      <c r="Z574" t="str">
        <f>IFERROR(VLOOKUP(ROWS($Z$3:Z574),$X$3:$Y$992,2,0),"")</f>
        <v>Opravy strojů</v>
      </c>
    </row>
    <row r="575" spans="13:26" ht="12.75">
      <c r="M575" s="418">
        <f>IF(ISNUMBER(SEARCH(ZAKL_DATA!$B$29,N575)),MAX($M$2:M574)+1,0)</f>
        <v>573</v>
      </c>
      <c r="N575" s="419" t="s">
        <v>2686</v>
      </c>
      <c r="O575" s="436" t="s">
        <v>2687</v>
      </c>
      <c r="P575" s="421"/>
      <c r="Q575" s="422" t="str">
        <f>IFERROR(VLOOKUP(ROWS($Q$3:Q575),$M$3:$N$992,2,0),"")</f>
        <v>Opravy elektronických a optických přístrojů a zařízení</v>
      </c>
      <c r="R575">
        <f>IF(ISNUMBER(SEARCH('1Př1'!$A$35,N575)),MAX($M$2:M574)+1,0)</f>
        <v>573</v>
      </c>
      <c r="S575" s="419" t="s">
        <v>2686</v>
      </c>
      <c r="T575" t="str">
        <f>IFERROR(VLOOKUP(ROWS($T$3:T575),$R$3:$S$992,2,0),"")</f>
        <v>Opravy elektronických a optických přístrojů a zařízení</v>
      </c>
      <c r="U575">
        <f>IF(ISNUMBER(SEARCH('1Př1'!$A$36,N575)),MAX($M$2:M574)+1,0)</f>
        <v>573</v>
      </c>
      <c r="V575" s="419" t="s">
        <v>2686</v>
      </c>
      <c r="W575" t="str">
        <f>IFERROR(VLOOKUP(ROWS($W$3:W575),$U$3:$V$992,2,0),"")</f>
        <v>Opravy elektronických a optických přístrojů a zařízení</v>
      </c>
      <c r="X575">
        <f>IF(ISNUMBER(SEARCH('1Př1'!$A$37,N575)),MAX($M$2:M574)+1,0)</f>
        <v>573</v>
      </c>
      <c r="Y575" s="419" t="s">
        <v>2686</v>
      </c>
      <c r="Z575" t="str">
        <f>IFERROR(VLOOKUP(ROWS($Z$3:Z575),$X$3:$Y$992,2,0),"")</f>
        <v>Opravy elektronických a optických přístrojů a zařízení</v>
      </c>
    </row>
    <row r="576" spans="13:26" ht="12.75">
      <c r="M576" s="418">
        <f>IF(ISNUMBER(SEARCH(ZAKL_DATA!$B$29,N576)),MAX($M$2:M575)+1,0)</f>
        <v>574</v>
      </c>
      <c r="N576" s="419" t="s">
        <v>2688</v>
      </c>
      <c r="O576" s="436" t="s">
        <v>2689</v>
      </c>
      <c r="P576" s="421"/>
      <c r="Q576" s="422" t="str">
        <f>IFERROR(VLOOKUP(ROWS($Q$3:Q576),$M$3:$N$992,2,0),"")</f>
        <v>Opravy elektrických zařízen</v>
      </c>
      <c r="R576">
        <f>IF(ISNUMBER(SEARCH('1Př1'!$A$35,N576)),MAX($M$2:M575)+1,0)</f>
        <v>574</v>
      </c>
      <c r="S576" s="419" t="s">
        <v>2688</v>
      </c>
      <c r="T576" t="str">
        <f>IFERROR(VLOOKUP(ROWS($T$3:T576),$R$3:$S$992,2,0),"")</f>
        <v>Opravy elektrických zařízen</v>
      </c>
      <c r="U576">
        <f>IF(ISNUMBER(SEARCH('1Př1'!$A$36,N576)),MAX($M$2:M575)+1,0)</f>
        <v>574</v>
      </c>
      <c r="V576" s="419" t="s">
        <v>2688</v>
      </c>
      <c r="W576" t="str">
        <f>IFERROR(VLOOKUP(ROWS($W$3:W576),$U$3:$V$992,2,0),"")</f>
        <v>Opravy elektrických zařízen</v>
      </c>
      <c r="X576">
        <f>IF(ISNUMBER(SEARCH('1Př1'!$A$37,N576)),MAX($M$2:M575)+1,0)</f>
        <v>574</v>
      </c>
      <c r="Y576" s="419" t="s">
        <v>2688</v>
      </c>
      <c r="Z576" t="str">
        <f>IFERROR(VLOOKUP(ROWS($Z$3:Z576),$X$3:$Y$992,2,0),"")</f>
        <v>Opravy elektrických zařízen</v>
      </c>
    </row>
    <row r="577" spans="13:26" ht="12.75">
      <c r="M577" s="418">
        <f>IF(ISNUMBER(SEARCH(ZAKL_DATA!$B$29,N577)),MAX($M$2:M576)+1,0)</f>
        <v>575</v>
      </c>
      <c r="N577" s="419" t="s">
        <v>2690</v>
      </c>
      <c r="O577" s="436" t="s">
        <v>2691</v>
      </c>
      <c r="P577" s="421"/>
      <c r="Q577" s="422" t="str">
        <f>IFERROR(VLOOKUP(ROWS($Q$3:Q577),$M$3:$N$992,2,0),"")</f>
        <v>Opravy a údržba lodí a člunů</v>
      </c>
      <c r="R577">
        <f>IF(ISNUMBER(SEARCH('1Př1'!$A$35,N577)),MAX($M$2:M576)+1,0)</f>
        <v>575</v>
      </c>
      <c r="S577" s="419" t="s">
        <v>2690</v>
      </c>
      <c r="T577" t="str">
        <f>IFERROR(VLOOKUP(ROWS($T$3:T577),$R$3:$S$992,2,0),"")</f>
        <v>Opravy a údržba lodí a člunů</v>
      </c>
      <c r="U577">
        <f>IF(ISNUMBER(SEARCH('1Př1'!$A$36,N577)),MAX($M$2:M576)+1,0)</f>
        <v>575</v>
      </c>
      <c r="V577" s="419" t="s">
        <v>2690</v>
      </c>
      <c r="W577" t="str">
        <f>IFERROR(VLOOKUP(ROWS($W$3:W577),$U$3:$V$992,2,0),"")</f>
        <v>Opravy a údržba lodí a člunů</v>
      </c>
      <c r="X577">
        <f>IF(ISNUMBER(SEARCH('1Př1'!$A$37,N577)),MAX($M$2:M576)+1,0)</f>
        <v>575</v>
      </c>
      <c r="Y577" s="419" t="s">
        <v>2690</v>
      </c>
      <c r="Z577" t="str">
        <f>IFERROR(VLOOKUP(ROWS($Z$3:Z577),$X$3:$Y$992,2,0),"")</f>
        <v>Opravy a údržba lodí a člunů</v>
      </c>
    </row>
    <row r="578" spans="13:26" ht="12.75">
      <c r="M578" s="418">
        <f>IF(ISNUMBER(SEARCH(ZAKL_DATA!$B$29,N578)),MAX($M$2:M577)+1,0)</f>
        <v>576</v>
      </c>
      <c r="N578" s="419" t="s">
        <v>2692</v>
      </c>
      <c r="O578" s="436" t="s">
        <v>2693</v>
      </c>
      <c r="P578" s="421"/>
      <c r="Q578" s="422" t="str">
        <f>IFERROR(VLOOKUP(ROWS($Q$3:Q578),$M$3:$N$992,2,0),"")</f>
        <v>Opravy a údržba letadel a kosmických lodí</v>
      </c>
      <c r="R578">
        <f>IF(ISNUMBER(SEARCH('1Př1'!$A$35,N578)),MAX($M$2:M577)+1,0)</f>
        <v>576</v>
      </c>
      <c r="S578" s="419" t="s">
        <v>2692</v>
      </c>
      <c r="T578" t="str">
        <f>IFERROR(VLOOKUP(ROWS($T$3:T578),$R$3:$S$992,2,0),"")</f>
        <v>Opravy a údržba letadel a kosmických lodí</v>
      </c>
      <c r="U578">
        <f>IF(ISNUMBER(SEARCH('1Př1'!$A$36,N578)),MAX($M$2:M577)+1,0)</f>
        <v>576</v>
      </c>
      <c r="V578" s="419" t="s">
        <v>2692</v>
      </c>
      <c r="W578" t="str">
        <f>IFERROR(VLOOKUP(ROWS($W$3:W578),$U$3:$V$992,2,0),"")</f>
        <v>Opravy a údržba letadel a kosmických lodí</v>
      </c>
      <c r="X578">
        <f>IF(ISNUMBER(SEARCH('1Př1'!$A$37,N578)),MAX($M$2:M577)+1,0)</f>
        <v>576</v>
      </c>
      <c r="Y578" s="419" t="s">
        <v>2692</v>
      </c>
      <c r="Z578" t="str">
        <f>IFERROR(VLOOKUP(ROWS($Z$3:Z578),$X$3:$Y$992,2,0),"")</f>
        <v>Opravy a údržba letadel a kosmických lodí</v>
      </c>
    </row>
    <row r="579" spans="13:26" ht="12.75">
      <c r="M579" s="418">
        <f>IF(ISNUMBER(SEARCH(ZAKL_DATA!$B$29,N579)),MAX($M$2:M578)+1,0)</f>
        <v>577</v>
      </c>
      <c r="N579" s="419" t="s">
        <v>2694</v>
      </c>
      <c r="O579" s="436" t="s">
        <v>2695</v>
      </c>
      <c r="P579" s="421"/>
      <c r="Q579" s="422" t="str">
        <f>IFERROR(VLOOKUP(ROWS($Q$3:Q579),$M$3:$N$992,2,0),"")</f>
        <v>Opravy a údržba ostatních dopravních prostředků a zařízení j. n.</v>
      </c>
      <c r="R579">
        <f>IF(ISNUMBER(SEARCH('1Př1'!$A$35,N579)),MAX($M$2:M578)+1,0)</f>
        <v>577</v>
      </c>
      <c r="S579" s="419" t="s">
        <v>2694</v>
      </c>
      <c r="T579" t="str">
        <f>IFERROR(VLOOKUP(ROWS($T$3:T579),$R$3:$S$992,2,0),"")</f>
        <v>Opravy a údržba ostatních dopravních prostředků a zařízení j. n.</v>
      </c>
      <c r="U579">
        <f>IF(ISNUMBER(SEARCH('1Př1'!$A$36,N579)),MAX($M$2:M578)+1,0)</f>
        <v>577</v>
      </c>
      <c r="V579" s="419" t="s">
        <v>2694</v>
      </c>
      <c r="W579" t="str">
        <f>IFERROR(VLOOKUP(ROWS($W$3:W579),$U$3:$V$992,2,0),"")</f>
        <v>Opravy a údržba ostatních dopravních prostředků a zařízení j. n.</v>
      </c>
      <c r="X579">
        <f>IF(ISNUMBER(SEARCH('1Př1'!$A$37,N579)),MAX($M$2:M578)+1,0)</f>
        <v>577</v>
      </c>
      <c r="Y579" s="419" t="s">
        <v>2694</v>
      </c>
      <c r="Z579" t="str">
        <f>IFERROR(VLOOKUP(ROWS($Z$3:Z579),$X$3:$Y$992,2,0),"")</f>
        <v>Opravy a údržba ostatních dopravních prostředků a zařízení j. n.</v>
      </c>
    </row>
    <row r="580" spans="13:26" ht="12.75">
      <c r="M580" s="418">
        <f>IF(ISNUMBER(SEARCH(ZAKL_DATA!$B$29,N580)),MAX($M$2:M579)+1,0)</f>
        <v>578</v>
      </c>
      <c r="N580" s="419" t="s">
        <v>2696</v>
      </c>
      <c r="O580" s="436" t="s">
        <v>2697</v>
      </c>
      <c r="P580" s="421"/>
      <c r="Q580" s="422" t="str">
        <f>IFERROR(VLOOKUP(ROWS($Q$3:Q580),$M$3:$N$992,2,0),"")</f>
        <v>Opravy ostatních zařízení</v>
      </c>
      <c r="R580">
        <f>IF(ISNUMBER(SEARCH('1Př1'!$A$35,N580)),MAX($M$2:M579)+1,0)</f>
        <v>578</v>
      </c>
      <c r="S580" s="419" t="s">
        <v>2696</v>
      </c>
      <c r="T580" t="str">
        <f>IFERROR(VLOOKUP(ROWS($T$3:T580),$R$3:$S$992,2,0),"")</f>
        <v>Opravy ostatních zařízení</v>
      </c>
      <c r="U580">
        <f>IF(ISNUMBER(SEARCH('1Př1'!$A$36,N580)),MAX($M$2:M579)+1,0)</f>
        <v>578</v>
      </c>
      <c r="V580" s="419" t="s">
        <v>2696</v>
      </c>
      <c r="W580" t="str">
        <f>IFERROR(VLOOKUP(ROWS($W$3:W580),$U$3:$V$992,2,0),"")</f>
        <v>Opravy ostatních zařízení</v>
      </c>
      <c r="X580">
        <f>IF(ISNUMBER(SEARCH('1Př1'!$A$37,N580)),MAX($M$2:M579)+1,0)</f>
        <v>578</v>
      </c>
      <c r="Y580" s="419" t="s">
        <v>2696</v>
      </c>
      <c r="Z580" t="str">
        <f>IFERROR(VLOOKUP(ROWS($Z$3:Z580),$X$3:$Y$992,2,0),"")</f>
        <v>Opravy ostatních zařízení</v>
      </c>
    </row>
    <row r="581" spans="13:26" ht="12.75">
      <c r="M581" s="418">
        <f>IF(ISNUMBER(SEARCH(ZAKL_DATA!$B$29,N581)),MAX($M$2:M580)+1,0)</f>
        <v>579</v>
      </c>
      <c r="N581" s="419" t="s">
        <v>2698</v>
      </c>
      <c r="O581" s="436" t="s">
        <v>2699</v>
      </c>
      <c r="P581" s="421"/>
      <c r="Q581" s="422" t="str">
        <f>IFERROR(VLOOKUP(ROWS($Q$3:Q581),$M$3:$N$992,2,0),"")</f>
        <v>Výroba elektřiny</v>
      </c>
      <c r="R581">
        <f>IF(ISNUMBER(SEARCH('1Př1'!$A$35,N581)),MAX($M$2:M580)+1,0)</f>
        <v>579</v>
      </c>
      <c r="S581" s="419" t="s">
        <v>2698</v>
      </c>
      <c r="T581" t="str">
        <f>IFERROR(VLOOKUP(ROWS($T$3:T581),$R$3:$S$992,2,0),"")</f>
        <v>Výroba elektřiny</v>
      </c>
      <c r="U581">
        <f>IF(ISNUMBER(SEARCH('1Př1'!$A$36,N581)),MAX($M$2:M580)+1,0)</f>
        <v>579</v>
      </c>
      <c r="V581" s="419" t="s">
        <v>2698</v>
      </c>
      <c r="W581" t="str">
        <f>IFERROR(VLOOKUP(ROWS($W$3:W581),$U$3:$V$992,2,0),"")</f>
        <v>Výroba elektřiny</v>
      </c>
      <c r="X581">
        <f>IF(ISNUMBER(SEARCH('1Př1'!$A$37,N581)),MAX($M$2:M580)+1,0)</f>
        <v>579</v>
      </c>
      <c r="Y581" s="419" t="s">
        <v>2698</v>
      </c>
      <c r="Z581" t="str">
        <f>IFERROR(VLOOKUP(ROWS($Z$3:Z581),$X$3:$Y$992,2,0),"")</f>
        <v>Výroba elektřiny</v>
      </c>
    </row>
    <row r="582" spans="13:26" ht="12.75">
      <c r="M582" s="418">
        <f>IF(ISNUMBER(SEARCH(ZAKL_DATA!$B$29,N582)),MAX($M$2:M581)+1,0)</f>
        <v>580</v>
      </c>
      <c r="N582" s="419" t="s">
        <v>2700</v>
      </c>
      <c r="O582" s="436" t="s">
        <v>2701</v>
      </c>
      <c r="P582" s="421"/>
      <c r="Q582" s="422" t="str">
        <f>IFERROR(VLOOKUP(ROWS($Q$3:Q582),$M$3:$N$992,2,0),"")</f>
        <v>Přenos elektřiny</v>
      </c>
      <c r="R582">
        <f>IF(ISNUMBER(SEARCH('1Př1'!$A$35,N582)),MAX($M$2:M581)+1,0)</f>
        <v>580</v>
      </c>
      <c r="S582" s="419" t="s">
        <v>2700</v>
      </c>
      <c r="T582" t="str">
        <f>IFERROR(VLOOKUP(ROWS($T$3:T582),$R$3:$S$992,2,0),"")</f>
        <v>Přenos elektřiny</v>
      </c>
      <c r="U582">
        <f>IF(ISNUMBER(SEARCH('1Př1'!$A$36,N582)),MAX($M$2:M581)+1,0)</f>
        <v>580</v>
      </c>
      <c r="V582" s="419" t="s">
        <v>2700</v>
      </c>
      <c r="W582" t="str">
        <f>IFERROR(VLOOKUP(ROWS($W$3:W582),$U$3:$V$992,2,0),"")</f>
        <v>Přenos elektřiny</v>
      </c>
      <c r="X582">
        <f>IF(ISNUMBER(SEARCH('1Př1'!$A$37,N582)),MAX($M$2:M581)+1,0)</f>
        <v>580</v>
      </c>
      <c r="Y582" s="419" t="s">
        <v>2700</v>
      </c>
      <c r="Z582" t="str">
        <f>IFERROR(VLOOKUP(ROWS($Z$3:Z582),$X$3:$Y$992,2,0),"")</f>
        <v>Přenos elektřiny</v>
      </c>
    </row>
    <row r="583" spans="13:26" ht="12.75">
      <c r="M583" s="418">
        <f>IF(ISNUMBER(SEARCH(ZAKL_DATA!$B$29,N583)),MAX($M$2:M582)+1,0)</f>
        <v>581</v>
      </c>
      <c r="N583" s="419" t="s">
        <v>2702</v>
      </c>
      <c r="O583" s="436" t="s">
        <v>2703</v>
      </c>
      <c r="P583" s="421"/>
      <c r="Q583" s="422" t="str">
        <f>IFERROR(VLOOKUP(ROWS($Q$3:Q583),$M$3:$N$992,2,0),"")</f>
        <v>Rozvod elektřiny</v>
      </c>
      <c r="R583">
        <f>IF(ISNUMBER(SEARCH('1Př1'!$A$35,N583)),MAX($M$2:M582)+1,0)</f>
        <v>581</v>
      </c>
      <c r="S583" s="419" t="s">
        <v>2702</v>
      </c>
      <c r="T583" t="str">
        <f>IFERROR(VLOOKUP(ROWS($T$3:T583),$R$3:$S$992,2,0),"")</f>
        <v>Rozvod elektřiny</v>
      </c>
      <c r="U583">
        <f>IF(ISNUMBER(SEARCH('1Př1'!$A$36,N583)),MAX($M$2:M582)+1,0)</f>
        <v>581</v>
      </c>
      <c r="V583" s="419" t="s">
        <v>2702</v>
      </c>
      <c r="W583" t="str">
        <f>IFERROR(VLOOKUP(ROWS($W$3:W583),$U$3:$V$992,2,0),"")</f>
        <v>Rozvod elektřiny</v>
      </c>
      <c r="X583">
        <f>IF(ISNUMBER(SEARCH('1Př1'!$A$37,N583)),MAX($M$2:M582)+1,0)</f>
        <v>581</v>
      </c>
      <c r="Y583" s="419" t="s">
        <v>2702</v>
      </c>
      <c r="Z583" t="str">
        <f>IFERROR(VLOOKUP(ROWS($Z$3:Z583),$X$3:$Y$992,2,0),"")</f>
        <v>Rozvod elektřiny</v>
      </c>
    </row>
    <row r="584" spans="13:26" ht="12.75">
      <c r="M584" s="418">
        <f>IF(ISNUMBER(SEARCH(ZAKL_DATA!$B$29,N584)),MAX($M$2:M583)+1,0)</f>
        <v>582</v>
      </c>
      <c r="N584" s="419" t="s">
        <v>2704</v>
      </c>
      <c r="O584" s="436" t="s">
        <v>2705</v>
      </c>
      <c r="P584" s="421"/>
      <c r="Q584" s="422" t="str">
        <f>IFERROR(VLOOKUP(ROWS($Q$3:Q584),$M$3:$N$992,2,0),"")</f>
        <v>Obchod s elektřinou</v>
      </c>
      <c r="R584">
        <f>IF(ISNUMBER(SEARCH('1Př1'!$A$35,N584)),MAX($M$2:M583)+1,0)</f>
        <v>582</v>
      </c>
      <c r="S584" s="419" t="s">
        <v>2704</v>
      </c>
      <c r="T584" t="str">
        <f>IFERROR(VLOOKUP(ROWS($T$3:T584),$R$3:$S$992,2,0),"")</f>
        <v>Obchod s elektřinou</v>
      </c>
      <c r="U584">
        <f>IF(ISNUMBER(SEARCH('1Př1'!$A$36,N584)),MAX($M$2:M583)+1,0)</f>
        <v>582</v>
      </c>
      <c r="V584" s="419" t="s">
        <v>2704</v>
      </c>
      <c r="W584" t="str">
        <f>IFERROR(VLOOKUP(ROWS($W$3:W584),$U$3:$V$992,2,0),"")</f>
        <v>Obchod s elektřinou</v>
      </c>
      <c r="X584">
        <f>IF(ISNUMBER(SEARCH('1Př1'!$A$37,N584)),MAX($M$2:M583)+1,0)</f>
        <v>582</v>
      </c>
      <c r="Y584" s="419" t="s">
        <v>2704</v>
      </c>
      <c r="Z584" t="str">
        <f>IFERROR(VLOOKUP(ROWS($Z$3:Z584),$X$3:$Y$992,2,0),"")</f>
        <v>Obchod s elektřinou</v>
      </c>
    </row>
    <row r="585" spans="13:26" ht="12.75">
      <c r="M585" s="418">
        <f>IF(ISNUMBER(SEARCH(ZAKL_DATA!$B$29,N585)),MAX($M$2:M584)+1,0)</f>
        <v>583</v>
      </c>
      <c r="N585" s="419" t="s">
        <v>2706</v>
      </c>
      <c r="O585" s="436" t="s">
        <v>2707</v>
      </c>
      <c r="P585" s="421"/>
      <c r="Q585" s="422" t="str">
        <f>IFERROR(VLOOKUP(ROWS($Q$3:Q585),$M$3:$N$992,2,0),"")</f>
        <v>Výroba plynu</v>
      </c>
      <c r="R585">
        <f>IF(ISNUMBER(SEARCH('1Př1'!$A$35,N585)),MAX($M$2:M584)+1,0)</f>
        <v>583</v>
      </c>
      <c r="S585" s="419" t="s">
        <v>2706</v>
      </c>
      <c r="T585" t="str">
        <f>IFERROR(VLOOKUP(ROWS($T$3:T585),$R$3:$S$992,2,0),"")</f>
        <v>Výroba plynu</v>
      </c>
      <c r="U585">
        <f>IF(ISNUMBER(SEARCH('1Př1'!$A$36,N585)),MAX($M$2:M584)+1,0)</f>
        <v>583</v>
      </c>
      <c r="V585" s="419" t="s">
        <v>2706</v>
      </c>
      <c r="W585" t="str">
        <f>IFERROR(VLOOKUP(ROWS($W$3:W585),$U$3:$V$992,2,0),"")</f>
        <v>Výroba plynu</v>
      </c>
      <c r="X585">
        <f>IF(ISNUMBER(SEARCH('1Př1'!$A$37,N585)),MAX($M$2:M584)+1,0)</f>
        <v>583</v>
      </c>
      <c r="Y585" s="419" t="s">
        <v>2706</v>
      </c>
      <c r="Z585" t="str">
        <f>IFERROR(VLOOKUP(ROWS($Z$3:Z585),$X$3:$Y$992,2,0),"")</f>
        <v>Výroba plynu</v>
      </c>
    </row>
    <row r="586" spans="13:26" ht="12.75">
      <c r="M586" s="418">
        <f>IF(ISNUMBER(SEARCH(ZAKL_DATA!$B$29,N586)),MAX($M$2:M585)+1,0)</f>
        <v>584</v>
      </c>
      <c r="N586" s="419" t="s">
        <v>2708</v>
      </c>
      <c r="O586" s="436" t="s">
        <v>2709</v>
      </c>
      <c r="P586" s="421"/>
      <c r="Q586" s="422" t="str">
        <f>IFERROR(VLOOKUP(ROWS($Q$3:Q586),$M$3:$N$992,2,0),"")</f>
        <v>Rozvod plynných paliv prostřednictvím sítí</v>
      </c>
      <c r="R586">
        <f>IF(ISNUMBER(SEARCH('1Př1'!$A$35,N586)),MAX($M$2:M585)+1,0)</f>
        <v>584</v>
      </c>
      <c r="S586" s="419" t="s">
        <v>2708</v>
      </c>
      <c r="T586" t="str">
        <f>IFERROR(VLOOKUP(ROWS($T$3:T586),$R$3:$S$992,2,0),"")</f>
        <v>Rozvod plynných paliv prostřednictvím sítí</v>
      </c>
      <c r="U586">
        <f>IF(ISNUMBER(SEARCH('1Př1'!$A$36,N586)),MAX($M$2:M585)+1,0)</f>
        <v>584</v>
      </c>
      <c r="V586" s="419" t="s">
        <v>2708</v>
      </c>
      <c r="W586" t="str">
        <f>IFERROR(VLOOKUP(ROWS($W$3:W586),$U$3:$V$992,2,0),"")</f>
        <v>Rozvod plynných paliv prostřednictvím sítí</v>
      </c>
      <c r="X586">
        <f>IF(ISNUMBER(SEARCH('1Př1'!$A$37,N586)),MAX($M$2:M585)+1,0)</f>
        <v>584</v>
      </c>
      <c r="Y586" s="419" t="s">
        <v>2708</v>
      </c>
      <c r="Z586" t="str">
        <f>IFERROR(VLOOKUP(ROWS($Z$3:Z586),$X$3:$Y$992,2,0),"")</f>
        <v>Rozvod plynných paliv prostřednictvím sítí</v>
      </c>
    </row>
    <row r="587" spans="13:26" ht="12.75">
      <c r="M587" s="418">
        <f>IF(ISNUMBER(SEARCH(ZAKL_DATA!$B$29,N587)),MAX($M$2:M586)+1,0)</f>
        <v>585</v>
      </c>
      <c r="N587" s="419" t="s">
        <v>2710</v>
      </c>
      <c r="O587" s="436" t="s">
        <v>2711</v>
      </c>
      <c r="P587" s="421"/>
      <c r="Q587" s="422" t="str">
        <f>IFERROR(VLOOKUP(ROWS($Q$3:Q587),$M$3:$N$992,2,0),"")</f>
        <v>Obchod s plynem prostřednictvím sítí</v>
      </c>
      <c r="R587">
        <f>IF(ISNUMBER(SEARCH('1Př1'!$A$35,N587)),MAX($M$2:M586)+1,0)</f>
        <v>585</v>
      </c>
      <c r="S587" s="419" t="s">
        <v>2710</v>
      </c>
      <c r="T587" t="str">
        <f>IFERROR(VLOOKUP(ROWS($T$3:T587),$R$3:$S$992,2,0),"")</f>
        <v>Obchod s plynem prostřednictvím sítí</v>
      </c>
      <c r="U587">
        <f>IF(ISNUMBER(SEARCH('1Př1'!$A$36,N587)),MAX($M$2:M586)+1,0)</f>
        <v>585</v>
      </c>
      <c r="V587" s="419" t="s">
        <v>2710</v>
      </c>
      <c r="W587" t="str">
        <f>IFERROR(VLOOKUP(ROWS($W$3:W587),$U$3:$V$992,2,0),"")</f>
        <v>Obchod s plynem prostřednictvím sítí</v>
      </c>
      <c r="X587">
        <f>IF(ISNUMBER(SEARCH('1Př1'!$A$37,N587)),MAX($M$2:M586)+1,0)</f>
        <v>585</v>
      </c>
      <c r="Y587" s="419" t="s">
        <v>2710</v>
      </c>
      <c r="Z587" t="str">
        <f>IFERROR(VLOOKUP(ROWS($Z$3:Z587),$X$3:$Y$992,2,0),"")</f>
        <v>Obchod s plynem prostřednictvím sítí</v>
      </c>
    </row>
    <row r="588" spans="13:26" ht="12.75">
      <c r="M588" s="418">
        <f>IF(ISNUMBER(SEARCH(ZAKL_DATA!$B$29,N588)),MAX($M$2:M587)+1,0)</f>
        <v>586</v>
      </c>
      <c r="N588" s="419" t="s">
        <v>2712</v>
      </c>
      <c r="O588" s="436" t="s">
        <v>2713</v>
      </c>
      <c r="P588" s="421"/>
      <c r="Q588" s="422" t="str">
        <f>IFERROR(VLOOKUP(ROWS($Q$3:Q588),$M$3:$N$992,2,0),"")</f>
        <v>Shromažďování a sběr odpadů, kromě nebezpečných</v>
      </c>
      <c r="R588">
        <f>IF(ISNUMBER(SEARCH('1Př1'!$A$35,N588)),MAX($M$2:M587)+1,0)</f>
        <v>586</v>
      </c>
      <c r="S588" s="419" t="s">
        <v>2712</v>
      </c>
      <c r="T588" t="str">
        <f>IFERROR(VLOOKUP(ROWS($T$3:T588),$R$3:$S$992,2,0),"")</f>
        <v>Shromažďování a sběr odpadů, kromě nebezpečných</v>
      </c>
      <c r="U588">
        <f>IF(ISNUMBER(SEARCH('1Př1'!$A$36,N588)),MAX($M$2:M587)+1,0)</f>
        <v>586</v>
      </c>
      <c r="V588" s="419" t="s">
        <v>2712</v>
      </c>
      <c r="W588" t="str">
        <f>IFERROR(VLOOKUP(ROWS($W$3:W588),$U$3:$V$992,2,0),"")</f>
        <v>Shromažďování a sběr odpadů, kromě nebezpečných</v>
      </c>
      <c r="X588">
        <f>IF(ISNUMBER(SEARCH('1Př1'!$A$37,N588)),MAX($M$2:M587)+1,0)</f>
        <v>586</v>
      </c>
      <c r="Y588" s="419" t="s">
        <v>2712</v>
      </c>
      <c r="Z588" t="str">
        <f>IFERROR(VLOOKUP(ROWS($Z$3:Z588),$X$3:$Y$992,2,0),"")</f>
        <v>Shromažďování a sběr odpadů, kromě nebezpečných</v>
      </c>
    </row>
    <row r="589" spans="13:26" ht="12.75">
      <c r="M589" s="418">
        <f>IF(ISNUMBER(SEARCH(ZAKL_DATA!$B$29,N589)),MAX($M$2:M588)+1,0)</f>
        <v>587</v>
      </c>
      <c r="N589" s="419" t="s">
        <v>2714</v>
      </c>
      <c r="O589" s="436" t="s">
        <v>2715</v>
      </c>
      <c r="P589" s="421"/>
      <c r="Q589" s="422" t="str">
        <f>IFERROR(VLOOKUP(ROWS($Q$3:Q589),$M$3:$N$992,2,0),"")</f>
        <v>Shromažďování a sběr nebezpečných odpadů</v>
      </c>
      <c r="R589">
        <f>IF(ISNUMBER(SEARCH('1Př1'!$A$35,N589)),MAX($M$2:M588)+1,0)</f>
        <v>587</v>
      </c>
      <c r="S589" s="419" t="s">
        <v>2714</v>
      </c>
      <c r="T589" t="str">
        <f>IFERROR(VLOOKUP(ROWS($T$3:T589),$R$3:$S$992,2,0),"")</f>
        <v>Shromažďování a sběr nebezpečných odpadů</v>
      </c>
      <c r="U589">
        <f>IF(ISNUMBER(SEARCH('1Př1'!$A$36,N589)),MAX($M$2:M588)+1,0)</f>
        <v>587</v>
      </c>
      <c r="V589" s="419" t="s">
        <v>2714</v>
      </c>
      <c r="W589" t="str">
        <f>IFERROR(VLOOKUP(ROWS($W$3:W589),$U$3:$V$992,2,0),"")</f>
        <v>Shromažďování a sběr nebezpečných odpadů</v>
      </c>
      <c r="X589">
        <f>IF(ISNUMBER(SEARCH('1Př1'!$A$37,N589)),MAX($M$2:M588)+1,0)</f>
        <v>587</v>
      </c>
      <c r="Y589" s="419" t="s">
        <v>2714</v>
      </c>
      <c r="Z589" t="str">
        <f>IFERROR(VLOOKUP(ROWS($Z$3:Z589),$X$3:$Y$992,2,0),"")</f>
        <v>Shromažďování a sběr nebezpečných odpadů</v>
      </c>
    </row>
    <row r="590" spans="13:26" ht="12.75">
      <c r="M590" s="418">
        <f>IF(ISNUMBER(SEARCH(ZAKL_DATA!$B$29,N590)),MAX($M$2:M589)+1,0)</f>
        <v>588</v>
      </c>
      <c r="N590" s="419" t="s">
        <v>2716</v>
      </c>
      <c r="O590" s="436" t="s">
        <v>2717</v>
      </c>
      <c r="P590" s="421"/>
      <c r="Q590" s="422" t="str">
        <f>IFERROR(VLOOKUP(ROWS($Q$3:Q590),$M$3:$N$992,2,0),"")</f>
        <v>Odstraňování odpadů, kromě nebezpečných</v>
      </c>
      <c r="R590">
        <f>IF(ISNUMBER(SEARCH('1Př1'!$A$35,N590)),MAX($M$2:M589)+1,0)</f>
        <v>588</v>
      </c>
      <c r="S590" s="419" t="s">
        <v>2716</v>
      </c>
      <c r="T590" t="str">
        <f>IFERROR(VLOOKUP(ROWS($T$3:T590),$R$3:$S$992,2,0),"")</f>
        <v>Odstraňování odpadů, kromě nebezpečných</v>
      </c>
      <c r="U590">
        <f>IF(ISNUMBER(SEARCH('1Př1'!$A$36,N590)),MAX($M$2:M589)+1,0)</f>
        <v>588</v>
      </c>
      <c r="V590" s="419" t="s">
        <v>2716</v>
      </c>
      <c r="W590" t="str">
        <f>IFERROR(VLOOKUP(ROWS($W$3:W590),$U$3:$V$992,2,0),"")</f>
        <v>Odstraňování odpadů, kromě nebezpečných</v>
      </c>
      <c r="X590">
        <f>IF(ISNUMBER(SEARCH('1Př1'!$A$37,N590)),MAX($M$2:M589)+1,0)</f>
        <v>588</v>
      </c>
      <c r="Y590" s="419" t="s">
        <v>2716</v>
      </c>
      <c r="Z590" t="str">
        <f>IFERROR(VLOOKUP(ROWS($Z$3:Z590),$X$3:$Y$992,2,0),"")</f>
        <v>Odstraňování odpadů, kromě nebezpečných</v>
      </c>
    </row>
    <row r="591" spans="13:26" ht="12.75">
      <c r="M591" s="418">
        <f>IF(ISNUMBER(SEARCH(ZAKL_DATA!$B$29,N591)),MAX($M$2:M590)+1,0)</f>
        <v>589</v>
      </c>
      <c r="N591" s="419" t="s">
        <v>2718</v>
      </c>
      <c r="O591" s="436" t="s">
        <v>2719</v>
      </c>
      <c r="P591" s="421"/>
      <c r="Q591" s="422" t="str">
        <f>IFERROR(VLOOKUP(ROWS($Q$3:Q591),$M$3:$N$992,2,0),"")</f>
        <v>Odstraňování nebezpečných odpadů</v>
      </c>
      <c r="R591">
        <f>IF(ISNUMBER(SEARCH('1Př1'!$A$35,N591)),MAX($M$2:M590)+1,0)</f>
        <v>589</v>
      </c>
      <c r="S591" s="419" t="s">
        <v>2718</v>
      </c>
      <c r="T591" t="str">
        <f>IFERROR(VLOOKUP(ROWS($T$3:T591),$R$3:$S$992,2,0),"")</f>
        <v>Odstraňování nebezpečných odpadů</v>
      </c>
      <c r="U591">
        <f>IF(ISNUMBER(SEARCH('1Př1'!$A$36,N591)),MAX($M$2:M590)+1,0)</f>
        <v>589</v>
      </c>
      <c r="V591" s="419" t="s">
        <v>2718</v>
      </c>
      <c r="W591" t="str">
        <f>IFERROR(VLOOKUP(ROWS($W$3:W591),$U$3:$V$992,2,0),"")</f>
        <v>Odstraňování nebezpečných odpadů</v>
      </c>
      <c r="X591">
        <f>IF(ISNUMBER(SEARCH('1Př1'!$A$37,N591)),MAX($M$2:M590)+1,0)</f>
        <v>589</v>
      </c>
      <c r="Y591" s="419" t="s">
        <v>2718</v>
      </c>
      <c r="Z591" t="str">
        <f>IFERROR(VLOOKUP(ROWS($Z$3:Z591),$X$3:$Y$992,2,0),"")</f>
        <v>Odstraňování nebezpečných odpadů</v>
      </c>
    </row>
    <row r="592" spans="13:26" ht="12.75">
      <c r="M592" s="418">
        <f>IF(ISNUMBER(SEARCH(ZAKL_DATA!$B$29,N592)),MAX($M$2:M591)+1,0)</f>
        <v>590</v>
      </c>
      <c r="N592" s="419" t="s">
        <v>2720</v>
      </c>
      <c r="O592" s="436" t="s">
        <v>2721</v>
      </c>
      <c r="P592" s="421"/>
      <c r="Q592" s="422" t="str">
        <f>IFERROR(VLOOKUP(ROWS($Q$3:Q592),$M$3:$N$992,2,0),"")</f>
        <v>Demontáž vraků a vyřazených strojů a zařízení pro účely recyklace</v>
      </c>
      <c r="R592">
        <f>IF(ISNUMBER(SEARCH('1Př1'!$A$35,N592)),MAX($M$2:M591)+1,0)</f>
        <v>590</v>
      </c>
      <c r="S592" s="419" t="s">
        <v>2720</v>
      </c>
      <c r="T592" t="str">
        <f>IFERROR(VLOOKUP(ROWS($T$3:T592),$R$3:$S$992,2,0),"")</f>
        <v>Demontáž vraků a vyřazených strojů a zařízení pro účely recyklace</v>
      </c>
      <c r="U592">
        <f>IF(ISNUMBER(SEARCH('1Př1'!$A$36,N592)),MAX($M$2:M591)+1,0)</f>
        <v>590</v>
      </c>
      <c r="V592" s="419" t="s">
        <v>2720</v>
      </c>
      <c r="W592" t="str">
        <f>IFERROR(VLOOKUP(ROWS($W$3:W592),$U$3:$V$992,2,0),"")</f>
        <v>Demontáž vraků a vyřazených strojů a zařízení pro účely recyklace</v>
      </c>
      <c r="X592">
        <f>IF(ISNUMBER(SEARCH('1Př1'!$A$37,N592)),MAX($M$2:M591)+1,0)</f>
        <v>590</v>
      </c>
      <c r="Y592" s="419" t="s">
        <v>2720</v>
      </c>
      <c r="Z592" t="str">
        <f>IFERROR(VLOOKUP(ROWS($Z$3:Z592),$X$3:$Y$992,2,0),"")</f>
        <v>Demontáž vraků a vyřazených strojů a zařízení pro účely recyklace</v>
      </c>
    </row>
    <row r="593" spans="13:26" ht="12.75">
      <c r="M593" s="418">
        <f>IF(ISNUMBER(SEARCH(ZAKL_DATA!$B$29,N593)),MAX($M$2:M592)+1,0)</f>
        <v>591</v>
      </c>
      <c r="N593" s="419" t="s">
        <v>2722</v>
      </c>
      <c r="O593" s="436" t="s">
        <v>2723</v>
      </c>
      <c r="P593" s="421"/>
      <c r="Q593" s="422" t="str">
        <f>IFERROR(VLOOKUP(ROWS($Q$3:Q593),$M$3:$N$992,2,0),"")</f>
        <v>Úprava odpadů k dalšímu využití,kromě demontáže vraků,strojů a zařízení</v>
      </c>
      <c r="R593">
        <f>IF(ISNUMBER(SEARCH('1Př1'!$A$35,N593)),MAX($M$2:M592)+1,0)</f>
        <v>591</v>
      </c>
      <c r="S593" s="419" t="s">
        <v>2722</v>
      </c>
      <c r="T593" t="str">
        <f>IFERROR(VLOOKUP(ROWS($T$3:T593),$R$3:$S$992,2,0),"")</f>
        <v>Úprava odpadů k dalšímu využití,kromě demontáže vraků,strojů a zařízení</v>
      </c>
      <c r="U593">
        <f>IF(ISNUMBER(SEARCH('1Př1'!$A$36,N593)),MAX($M$2:M592)+1,0)</f>
        <v>591</v>
      </c>
      <c r="V593" s="419" t="s">
        <v>2722</v>
      </c>
      <c r="W593" t="str">
        <f>IFERROR(VLOOKUP(ROWS($W$3:W593),$U$3:$V$992,2,0),"")</f>
        <v>Úprava odpadů k dalšímu využití,kromě demontáže vraků,strojů a zařízení</v>
      </c>
      <c r="X593">
        <f>IF(ISNUMBER(SEARCH('1Př1'!$A$37,N593)),MAX($M$2:M592)+1,0)</f>
        <v>591</v>
      </c>
      <c r="Y593" s="419" t="s">
        <v>2722</v>
      </c>
      <c r="Z593" t="str">
        <f>IFERROR(VLOOKUP(ROWS($Z$3:Z593),$X$3:$Y$992,2,0),"")</f>
        <v>Úprava odpadů k dalšímu využití,kromě demontáže vraků,strojů a zařízení</v>
      </c>
    </row>
    <row r="594" spans="13:26" ht="12.75">
      <c r="M594" s="418">
        <f>IF(ISNUMBER(SEARCH(ZAKL_DATA!$B$29,N594)),MAX($M$2:M593)+1,0)</f>
        <v>592</v>
      </c>
      <c r="N594" s="419" t="s">
        <v>2724</v>
      </c>
      <c r="O594" s="436" t="s">
        <v>2013</v>
      </c>
      <c r="P594" s="421"/>
      <c r="Q594" s="422" t="str">
        <f>IFERROR(VLOOKUP(ROWS($Q$3:Q594),$M$3:$N$992,2,0),"")</f>
        <v>Výstavba bytových budov</v>
      </c>
      <c r="R594">
        <f>IF(ISNUMBER(SEARCH('1Př1'!$A$35,N594)),MAX($M$2:M593)+1,0)</f>
        <v>592</v>
      </c>
      <c r="S594" s="419" t="s">
        <v>2724</v>
      </c>
      <c r="T594" t="str">
        <f>IFERROR(VLOOKUP(ROWS($T$3:T594),$R$3:$S$992,2,0),"")</f>
        <v>Výstavba bytových budov</v>
      </c>
      <c r="U594">
        <f>IF(ISNUMBER(SEARCH('1Př1'!$A$36,N594)),MAX($M$2:M593)+1,0)</f>
        <v>592</v>
      </c>
      <c r="V594" s="419" t="s">
        <v>2724</v>
      </c>
      <c r="W594" t="str">
        <f>IFERROR(VLOOKUP(ROWS($W$3:W594),$U$3:$V$992,2,0),"")</f>
        <v>Výstavba bytových budov</v>
      </c>
      <c r="X594">
        <f>IF(ISNUMBER(SEARCH('1Př1'!$A$37,N594)),MAX($M$2:M593)+1,0)</f>
        <v>592</v>
      </c>
      <c r="Y594" s="419" t="s">
        <v>2724</v>
      </c>
      <c r="Z594" t="str">
        <f>IFERROR(VLOOKUP(ROWS($Z$3:Z594),$X$3:$Y$992,2,0),"")</f>
        <v>Výstavba bytových budov</v>
      </c>
    </row>
    <row r="595" spans="13:26" ht="12.75">
      <c r="M595" s="418">
        <f>IF(ISNUMBER(SEARCH(ZAKL_DATA!$B$29,N595)),MAX($M$2:M594)+1,0)</f>
        <v>593</v>
      </c>
      <c r="N595" s="419" t="s">
        <v>2725</v>
      </c>
      <c r="O595" s="436" t="s">
        <v>2726</v>
      </c>
      <c r="P595" s="421"/>
      <c r="Q595" s="422" t="str">
        <f>IFERROR(VLOOKUP(ROWS($Q$3:Q595),$M$3:$N$992,2,0),"")</f>
        <v>Výstavba silnic a dálnic</v>
      </c>
      <c r="R595">
        <f>IF(ISNUMBER(SEARCH('1Př1'!$A$35,N595)),MAX($M$2:M594)+1,0)</f>
        <v>593</v>
      </c>
      <c r="S595" s="419" t="s">
        <v>2725</v>
      </c>
      <c r="T595" t="str">
        <f>IFERROR(VLOOKUP(ROWS($T$3:T595),$R$3:$S$992,2,0),"")</f>
        <v>Výstavba silnic a dálnic</v>
      </c>
      <c r="U595">
        <f>IF(ISNUMBER(SEARCH('1Př1'!$A$36,N595)),MAX($M$2:M594)+1,0)</f>
        <v>593</v>
      </c>
      <c r="V595" s="419" t="s">
        <v>2725</v>
      </c>
      <c r="W595" t="str">
        <f>IFERROR(VLOOKUP(ROWS($W$3:W595),$U$3:$V$992,2,0),"")</f>
        <v>Výstavba silnic a dálnic</v>
      </c>
      <c r="X595">
        <f>IF(ISNUMBER(SEARCH('1Př1'!$A$37,N595)),MAX($M$2:M594)+1,0)</f>
        <v>593</v>
      </c>
      <c r="Y595" s="419" t="s">
        <v>2725</v>
      </c>
      <c r="Z595" t="str">
        <f>IFERROR(VLOOKUP(ROWS($Z$3:Z595),$X$3:$Y$992,2,0),"")</f>
        <v>Výstavba silnic a dálnic</v>
      </c>
    </row>
    <row r="596" spans="13:26" ht="12.75">
      <c r="M596" s="418">
        <f>IF(ISNUMBER(SEARCH(ZAKL_DATA!$B$29,N596)),MAX($M$2:M595)+1,0)</f>
        <v>594</v>
      </c>
      <c r="N596" s="419" t="s">
        <v>2727</v>
      </c>
      <c r="O596" s="436" t="s">
        <v>2728</v>
      </c>
      <c r="P596" s="421"/>
      <c r="Q596" s="422" t="str">
        <f>IFERROR(VLOOKUP(ROWS($Q$3:Q596),$M$3:$N$992,2,0),"")</f>
        <v>Výstavba železnic a podzemních drah</v>
      </c>
      <c r="R596">
        <f>IF(ISNUMBER(SEARCH('1Př1'!$A$35,N596)),MAX($M$2:M595)+1,0)</f>
        <v>594</v>
      </c>
      <c r="S596" s="419" t="s">
        <v>2727</v>
      </c>
      <c r="T596" t="str">
        <f>IFERROR(VLOOKUP(ROWS($T$3:T596),$R$3:$S$992,2,0),"")</f>
        <v>Výstavba železnic a podzemních drah</v>
      </c>
      <c r="U596">
        <f>IF(ISNUMBER(SEARCH('1Př1'!$A$36,N596)),MAX($M$2:M595)+1,0)</f>
        <v>594</v>
      </c>
      <c r="V596" s="419" t="s">
        <v>2727</v>
      </c>
      <c r="W596" t="str">
        <f>IFERROR(VLOOKUP(ROWS($W$3:W596),$U$3:$V$992,2,0),"")</f>
        <v>Výstavba železnic a podzemních drah</v>
      </c>
      <c r="X596">
        <f>IF(ISNUMBER(SEARCH('1Př1'!$A$37,N596)),MAX($M$2:M595)+1,0)</f>
        <v>594</v>
      </c>
      <c r="Y596" s="419" t="s">
        <v>2727</v>
      </c>
      <c r="Z596" t="str">
        <f>IFERROR(VLOOKUP(ROWS($Z$3:Z596),$X$3:$Y$992,2,0),"")</f>
        <v>Výstavba železnic a podzemních drah</v>
      </c>
    </row>
    <row r="597" spans="13:26" ht="12.75">
      <c r="M597" s="418">
        <f>IF(ISNUMBER(SEARCH(ZAKL_DATA!$B$29,N597)),MAX($M$2:M596)+1,0)</f>
        <v>595</v>
      </c>
      <c r="N597" s="419" t="s">
        <v>2729</v>
      </c>
      <c r="O597" s="436" t="s">
        <v>2730</v>
      </c>
      <c r="P597" s="421"/>
      <c r="Q597" s="422" t="str">
        <f>IFERROR(VLOOKUP(ROWS($Q$3:Q597),$M$3:$N$992,2,0),"")</f>
        <v>Výstavba mostů a tunelů</v>
      </c>
      <c r="R597">
        <f>IF(ISNUMBER(SEARCH('1Př1'!$A$35,N597)),MAX($M$2:M596)+1,0)</f>
        <v>595</v>
      </c>
      <c r="S597" s="419" t="s">
        <v>2729</v>
      </c>
      <c r="T597" t="str">
        <f>IFERROR(VLOOKUP(ROWS($T$3:T597),$R$3:$S$992,2,0),"")</f>
        <v>Výstavba mostů a tunelů</v>
      </c>
      <c r="U597">
        <f>IF(ISNUMBER(SEARCH('1Př1'!$A$36,N597)),MAX($M$2:M596)+1,0)</f>
        <v>595</v>
      </c>
      <c r="V597" s="419" t="s">
        <v>2729</v>
      </c>
      <c r="W597" t="str">
        <f>IFERROR(VLOOKUP(ROWS($W$3:W597),$U$3:$V$992,2,0),"")</f>
        <v>Výstavba mostů a tunelů</v>
      </c>
      <c r="X597">
        <f>IF(ISNUMBER(SEARCH('1Př1'!$A$37,N597)),MAX($M$2:M596)+1,0)</f>
        <v>595</v>
      </c>
      <c r="Y597" s="419" t="s">
        <v>2729</v>
      </c>
      <c r="Z597" t="str">
        <f>IFERROR(VLOOKUP(ROWS($Z$3:Z597),$X$3:$Y$992,2,0),"")</f>
        <v>Výstavba mostů a tunelů</v>
      </c>
    </row>
    <row r="598" spans="13:26" ht="12.75">
      <c r="M598" s="418">
        <f>IF(ISNUMBER(SEARCH(ZAKL_DATA!$B$29,N598)),MAX($M$2:M597)+1,0)</f>
        <v>596</v>
      </c>
      <c r="N598" s="419" t="s">
        <v>2731</v>
      </c>
      <c r="O598" s="436" t="s">
        <v>2732</v>
      </c>
      <c r="P598" s="421"/>
      <c r="Q598" s="422" t="str">
        <f>IFERROR(VLOOKUP(ROWS($Q$3:Q598),$M$3:$N$992,2,0),"")</f>
        <v>Výstavba inženýrských sítí pro kapaliny a plyny</v>
      </c>
      <c r="R598">
        <f>IF(ISNUMBER(SEARCH('1Př1'!$A$35,N598)),MAX($M$2:M597)+1,0)</f>
        <v>596</v>
      </c>
      <c r="S598" s="419" t="s">
        <v>2731</v>
      </c>
      <c r="T598" t="str">
        <f>IFERROR(VLOOKUP(ROWS($T$3:T598),$R$3:$S$992,2,0),"")</f>
        <v>Výstavba inženýrských sítí pro kapaliny a plyny</v>
      </c>
      <c r="U598">
        <f>IF(ISNUMBER(SEARCH('1Př1'!$A$36,N598)),MAX($M$2:M597)+1,0)</f>
        <v>596</v>
      </c>
      <c r="V598" s="419" t="s">
        <v>2731</v>
      </c>
      <c r="W598" t="str">
        <f>IFERROR(VLOOKUP(ROWS($W$3:W598),$U$3:$V$992,2,0),"")</f>
        <v>Výstavba inženýrských sítí pro kapaliny a plyny</v>
      </c>
      <c r="X598">
        <f>IF(ISNUMBER(SEARCH('1Př1'!$A$37,N598)),MAX($M$2:M597)+1,0)</f>
        <v>596</v>
      </c>
      <c r="Y598" s="419" t="s">
        <v>2731</v>
      </c>
      <c r="Z598" t="str">
        <f>IFERROR(VLOOKUP(ROWS($Z$3:Z598),$X$3:$Y$992,2,0),"")</f>
        <v>Výstavba inženýrských sítí pro kapaliny a plyny</v>
      </c>
    </row>
    <row r="599" spans="13:26" ht="12.75">
      <c r="M599" s="418">
        <f>IF(ISNUMBER(SEARCH(ZAKL_DATA!$B$29,N599)),MAX($M$2:M598)+1,0)</f>
        <v>597</v>
      </c>
      <c r="N599" s="419" t="s">
        <v>2733</v>
      </c>
      <c r="O599" s="436" t="s">
        <v>2734</v>
      </c>
      <c r="P599" s="421"/>
      <c r="Q599" s="422" t="str">
        <f>IFERROR(VLOOKUP(ROWS($Q$3:Q599),$M$3:$N$992,2,0),"")</f>
        <v>Výstavba inženýrských sítí pro elektřinu a telekomunikace</v>
      </c>
      <c r="R599">
        <f>IF(ISNUMBER(SEARCH('1Př1'!$A$35,N599)),MAX($M$2:M598)+1,0)</f>
        <v>597</v>
      </c>
      <c r="S599" s="419" t="s">
        <v>2733</v>
      </c>
      <c r="T599" t="str">
        <f>IFERROR(VLOOKUP(ROWS($T$3:T599),$R$3:$S$992,2,0),"")</f>
        <v>Výstavba inženýrských sítí pro elektřinu a telekomunikace</v>
      </c>
      <c r="U599">
        <f>IF(ISNUMBER(SEARCH('1Př1'!$A$36,N599)),MAX($M$2:M598)+1,0)</f>
        <v>597</v>
      </c>
      <c r="V599" s="419" t="s">
        <v>2733</v>
      </c>
      <c r="W599" t="str">
        <f>IFERROR(VLOOKUP(ROWS($W$3:W599),$U$3:$V$992,2,0),"")</f>
        <v>Výstavba inženýrských sítí pro elektřinu a telekomunikace</v>
      </c>
      <c r="X599">
        <f>IF(ISNUMBER(SEARCH('1Př1'!$A$37,N599)),MAX($M$2:M598)+1,0)</f>
        <v>597</v>
      </c>
      <c r="Y599" s="419" t="s">
        <v>2733</v>
      </c>
      <c r="Z599" t="str">
        <f>IFERROR(VLOOKUP(ROWS($Z$3:Z599),$X$3:$Y$992,2,0),"")</f>
        <v>Výstavba inženýrských sítí pro elektřinu a telekomunikace</v>
      </c>
    </row>
    <row r="600" spans="13:26" ht="12.75">
      <c r="M600" s="418">
        <f>IF(ISNUMBER(SEARCH(ZAKL_DATA!$B$29,N600)),MAX($M$2:M599)+1,0)</f>
        <v>598</v>
      </c>
      <c r="N600" s="419" t="s">
        <v>2735</v>
      </c>
      <c r="O600" s="436" t="s">
        <v>2736</v>
      </c>
      <c r="P600" s="421"/>
      <c r="Q600" s="422" t="str">
        <f>IFERROR(VLOOKUP(ROWS($Q$3:Q600),$M$3:$N$992,2,0),"")</f>
        <v>Výstavba vodních děl</v>
      </c>
      <c r="R600">
        <f>IF(ISNUMBER(SEARCH('1Př1'!$A$35,N600)),MAX($M$2:M599)+1,0)</f>
        <v>598</v>
      </c>
      <c r="S600" s="419" t="s">
        <v>2735</v>
      </c>
      <c r="T600" t="str">
        <f>IFERROR(VLOOKUP(ROWS($T$3:T600),$R$3:$S$992,2,0),"")</f>
        <v>Výstavba vodních děl</v>
      </c>
      <c r="U600">
        <f>IF(ISNUMBER(SEARCH('1Př1'!$A$36,N600)),MAX($M$2:M599)+1,0)</f>
        <v>598</v>
      </c>
      <c r="V600" s="419" t="s">
        <v>2735</v>
      </c>
      <c r="W600" t="str">
        <f>IFERROR(VLOOKUP(ROWS($W$3:W600),$U$3:$V$992,2,0),"")</f>
        <v>Výstavba vodních děl</v>
      </c>
      <c r="X600">
        <f>IF(ISNUMBER(SEARCH('1Př1'!$A$37,N600)),MAX($M$2:M599)+1,0)</f>
        <v>598</v>
      </c>
      <c r="Y600" s="419" t="s">
        <v>2735</v>
      </c>
      <c r="Z600" t="str">
        <f>IFERROR(VLOOKUP(ROWS($Z$3:Z600),$X$3:$Y$992,2,0),"")</f>
        <v>Výstavba vodních děl</v>
      </c>
    </row>
    <row r="601" spans="13:26" ht="12.75">
      <c r="M601" s="418">
        <f>IF(ISNUMBER(SEARCH(ZAKL_DATA!$B$29,N601)),MAX($M$2:M600)+1,0)</f>
        <v>599</v>
      </c>
      <c r="N601" s="419" t="s">
        <v>2737</v>
      </c>
      <c r="O601" s="436" t="s">
        <v>2738</v>
      </c>
      <c r="P601" s="421"/>
      <c r="Q601" s="422" t="str">
        <f>IFERROR(VLOOKUP(ROWS($Q$3:Q601),$M$3:$N$992,2,0),"")</f>
        <v>Výstavba ostatních staveb j. n.</v>
      </c>
      <c r="R601">
        <f>IF(ISNUMBER(SEARCH('1Př1'!$A$35,N601)),MAX($M$2:M600)+1,0)</f>
        <v>599</v>
      </c>
      <c r="S601" s="419" t="s">
        <v>2737</v>
      </c>
      <c r="T601" t="str">
        <f>IFERROR(VLOOKUP(ROWS($T$3:T601),$R$3:$S$992,2,0),"")</f>
        <v>Výstavba ostatních staveb j. n.</v>
      </c>
      <c r="U601">
        <f>IF(ISNUMBER(SEARCH('1Př1'!$A$36,N601)),MAX($M$2:M600)+1,0)</f>
        <v>599</v>
      </c>
      <c r="V601" s="419" t="s">
        <v>2737</v>
      </c>
      <c r="W601" t="str">
        <f>IFERROR(VLOOKUP(ROWS($W$3:W601),$U$3:$V$992,2,0),"")</f>
        <v>Výstavba ostatních staveb j. n.</v>
      </c>
      <c r="X601">
        <f>IF(ISNUMBER(SEARCH('1Př1'!$A$37,N601)),MAX($M$2:M600)+1,0)</f>
        <v>599</v>
      </c>
      <c r="Y601" s="419" t="s">
        <v>2737</v>
      </c>
      <c r="Z601" t="str">
        <f>IFERROR(VLOOKUP(ROWS($Z$3:Z601),$X$3:$Y$992,2,0),"")</f>
        <v>Výstavba ostatních staveb j. n.</v>
      </c>
    </row>
    <row r="602" spans="13:26" ht="12.75">
      <c r="M602" s="418">
        <f>IF(ISNUMBER(SEARCH(ZAKL_DATA!$B$29,N602)),MAX($M$2:M601)+1,0)</f>
        <v>600</v>
      </c>
      <c r="N602" s="419" t="s">
        <v>2739</v>
      </c>
      <c r="O602" s="436" t="s">
        <v>2740</v>
      </c>
      <c r="P602" s="421"/>
      <c r="Q602" s="422" t="str">
        <f>IFERROR(VLOOKUP(ROWS($Q$3:Q602),$M$3:$N$992,2,0),"")</f>
        <v>Demolice</v>
      </c>
      <c r="R602">
        <f>IF(ISNUMBER(SEARCH('1Př1'!$A$35,N602)),MAX($M$2:M601)+1,0)</f>
        <v>600</v>
      </c>
      <c r="S602" s="419" t="s">
        <v>2739</v>
      </c>
      <c r="T602" t="str">
        <f>IFERROR(VLOOKUP(ROWS($T$3:T602),$R$3:$S$992,2,0),"")</f>
        <v>Demolice</v>
      </c>
      <c r="U602">
        <f>IF(ISNUMBER(SEARCH('1Př1'!$A$36,N602)),MAX($M$2:M601)+1,0)</f>
        <v>600</v>
      </c>
      <c r="V602" s="419" t="s">
        <v>2739</v>
      </c>
      <c r="W602" t="str">
        <f>IFERROR(VLOOKUP(ROWS($W$3:W602),$U$3:$V$992,2,0),"")</f>
        <v>Demolice</v>
      </c>
      <c r="X602">
        <f>IF(ISNUMBER(SEARCH('1Př1'!$A$37,N602)),MAX($M$2:M601)+1,0)</f>
        <v>600</v>
      </c>
      <c r="Y602" s="419" t="s">
        <v>2739</v>
      </c>
      <c r="Z602" t="str">
        <f>IFERROR(VLOOKUP(ROWS($Z$3:Z602),$X$3:$Y$992,2,0),"")</f>
        <v>Demolice</v>
      </c>
    </row>
    <row r="603" spans="13:26" ht="12.75">
      <c r="M603" s="418">
        <f>IF(ISNUMBER(SEARCH(ZAKL_DATA!$B$29,N603)),MAX($M$2:M602)+1,0)</f>
        <v>601</v>
      </c>
      <c r="N603" s="419" t="s">
        <v>2741</v>
      </c>
      <c r="O603" s="436" t="s">
        <v>2742</v>
      </c>
      <c r="P603" s="421"/>
      <c r="Q603" s="422" t="str">
        <f>IFERROR(VLOOKUP(ROWS($Q$3:Q603),$M$3:$N$992,2,0),"")</f>
        <v>Příprava staveniště</v>
      </c>
      <c r="R603">
        <f>IF(ISNUMBER(SEARCH('1Př1'!$A$35,N603)),MAX($M$2:M602)+1,0)</f>
        <v>601</v>
      </c>
      <c r="S603" s="419" t="s">
        <v>2741</v>
      </c>
      <c r="T603" t="str">
        <f>IFERROR(VLOOKUP(ROWS($T$3:T603),$R$3:$S$992,2,0),"")</f>
        <v>Příprava staveniště</v>
      </c>
      <c r="U603">
        <f>IF(ISNUMBER(SEARCH('1Př1'!$A$36,N603)),MAX($M$2:M602)+1,0)</f>
        <v>601</v>
      </c>
      <c r="V603" s="419" t="s">
        <v>2741</v>
      </c>
      <c r="W603" t="str">
        <f>IFERROR(VLOOKUP(ROWS($W$3:W603),$U$3:$V$992,2,0),"")</f>
        <v>Příprava staveniště</v>
      </c>
      <c r="X603">
        <f>IF(ISNUMBER(SEARCH('1Př1'!$A$37,N603)),MAX($M$2:M602)+1,0)</f>
        <v>601</v>
      </c>
      <c r="Y603" s="419" t="s">
        <v>2741</v>
      </c>
      <c r="Z603" t="str">
        <f>IFERROR(VLOOKUP(ROWS($Z$3:Z603),$X$3:$Y$992,2,0),"")</f>
        <v>Příprava staveniště</v>
      </c>
    </row>
    <row r="604" spans="13:26" ht="12.75">
      <c r="M604" s="418">
        <f>IF(ISNUMBER(SEARCH(ZAKL_DATA!$B$29,N604)),MAX($M$2:M603)+1,0)</f>
        <v>602</v>
      </c>
      <c r="N604" s="419" t="s">
        <v>2743</v>
      </c>
      <c r="O604" s="436" t="s">
        <v>2744</v>
      </c>
      <c r="P604" s="421"/>
      <c r="Q604" s="422" t="str">
        <f>IFERROR(VLOOKUP(ROWS($Q$3:Q604),$M$3:$N$992,2,0),"")</f>
        <v>Průzkumné vrtné práce</v>
      </c>
      <c r="R604">
        <f>IF(ISNUMBER(SEARCH('1Př1'!$A$35,N604)),MAX($M$2:M603)+1,0)</f>
        <v>602</v>
      </c>
      <c r="S604" s="419" t="s">
        <v>2743</v>
      </c>
      <c r="T604" t="str">
        <f>IFERROR(VLOOKUP(ROWS($T$3:T604),$R$3:$S$992,2,0),"")</f>
        <v>Průzkumné vrtné práce</v>
      </c>
      <c r="U604">
        <f>IF(ISNUMBER(SEARCH('1Př1'!$A$36,N604)),MAX($M$2:M603)+1,0)</f>
        <v>602</v>
      </c>
      <c r="V604" s="419" t="s">
        <v>2743</v>
      </c>
      <c r="W604" t="str">
        <f>IFERROR(VLOOKUP(ROWS($W$3:W604),$U$3:$V$992,2,0),"")</f>
        <v>Průzkumné vrtné práce</v>
      </c>
      <c r="X604">
        <f>IF(ISNUMBER(SEARCH('1Př1'!$A$37,N604)),MAX($M$2:M603)+1,0)</f>
        <v>602</v>
      </c>
      <c r="Y604" s="419" t="s">
        <v>2743</v>
      </c>
      <c r="Z604" t="str">
        <f>IFERROR(VLOOKUP(ROWS($Z$3:Z604),$X$3:$Y$992,2,0),"")</f>
        <v>Průzkumné vrtné práce</v>
      </c>
    </row>
    <row r="605" spans="13:26" ht="12.75">
      <c r="M605" s="418">
        <f>IF(ISNUMBER(SEARCH(ZAKL_DATA!$B$29,N605)),MAX($M$2:M604)+1,0)</f>
        <v>603</v>
      </c>
      <c r="N605" s="419" t="s">
        <v>2745</v>
      </c>
      <c r="O605" s="436" t="s">
        <v>2746</v>
      </c>
      <c r="P605" s="421"/>
      <c r="Q605" s="422" t="str">
        <f>IFERROR(VLOOKUP(ROWS($Q$3:Q605),$M$3:$N$992,2,0),"")</f>
        <v>Elektrické instalace</v>
      </c>
      <c r="R605">
        <f>IF(ISNUMBER(SEARCH('1Př1'!$A$35,N605)),MAX($M$2:M604)+1,0)</f>
        <v>603</v>
      </c>
      <c r="S605" s="419" t="s">
        <v>2745</v>
      </c>
      <c r="T605" t="str">
        <f>IFERROR(VLOOKUP(ROWS($T$3:T605),$R$3:$S$992,2,0),"")</f>
        <v>Elektrické instalace</v>
      </c>
      <c r="U605">
        <f>IF(ISNUMBER(SEARCH('1Př1'!$A$36,N605)),MAX($M$2:M604)+1,0)</f>
        <v>603</v>
      </c>
      <c r="V605" s="419" t="s">
        <v>2745</v>
      </c>
      <c r="W605" t="str">
        <f>IFERROR(VLOOKUP(ROWS($W$3:W605),$U$3:$V$992,2,0),"")</f>
        <v>Elektrické instalace</v>
      </c>
      <c r="X605">
        <f>IF(ISNUMBER(SEARCH('1Př1'!$A$37,N605)),MAX($M$2:M604)+1,0)</f>
        <v>603</v>
      </c>
      <c r="Y605" s="419" t="s">
        <v>2745</v>
      </c>
      <c r="Z605" t="str">
        <f>IFERROR(VLOOKUP(ROWS($Z$3:Z605),$X$3:$Y$992,2,0),"")</f>
        <v>Elektrické instalace</v>
      </c>
    </row>
    <row r="606" spans="13:26" ht="12.75">
      <c r="M606" s="418">
        <f>IF(ISNUMBER(SEARCH(ZAKL_DATA!$B$29,N606)),MAX($M$2:M605)+1,0)</f>
        <v>604</v>
      </c>
      <c r="N606" s="419" t="s">
        <v>2747</v>
      </c>
      <c r="O606" s="436" t="s">
        <v>2748</v>
      </c>
      <c r="P606" s="421"/>
      <c r="Q606" s="422" t="str">
        <f>IFERROR(VLOOKUP(ROWS($Q$3:Q606),$M$3:$N$992,2,0),"")</f>
        <v>Instalace vody, odpadu, plynu, topení a klimatizace</v>
      </c>
      <c r="R606">
        <f>IF(ISNUMBER(SEARCH('1Př1'!$A$35,N606)),MAX($M$2:M605)+1,0)</f>
        <v>604</v>
      </c>
      <c r="S606" s="419" t="s">
        <v>2747</v>
      </c>
      <c r="T606" t="str">
        <f>IFERROR(VLOOKUP(ROWS($T$3:T606),$R$3:$S$992,2,0),"")</f>
        <v>Instalace vody, odpadu, plynu, topení a klimatizace</v>
      </c>
      <c r="U606">
        <f>IF(ISNUMBER(SEARCH('1Př1'!$A$36,N606)),MAX($M$2:M605)+1,0)</f>
        <v>604</v>
      </c>
      <c r="V606" s="419" t="s">
        <v>2747</v>
      </c>
      <c r="W606" t="str">
        <f>IFERROR(VLOOKUP(ROWS($W$3:W606),$U$3:$V$992,2,0),"")</f>
        <v>Instalace vody, odpadu, plynu, topení a klimatizace</v>
      </c>
      <c r="X606">
        <f>IF(ISNUMBER(SEARCH('1Př1'!$A$37,N606)),MAX($M$2:M605)+1,0)</f>
        <v>604</v>
      </c>
      <c r="Y606" s="419" t="s">
        <v>2747</v>
      </c>
      <c r="Z606" t="str">
        <f>IFERROR(VLOOKUP(ROWS($Z$3:Z606),$X$3:$Y$992,2,0),"")</f>
        <v>Instalace vody, odpadu, plynu, topení a klimatizace</v>
      </c>
    </row>
    <row r="607" spans="13:26" ht="12.75">
      <c r="M607" s="418">
        <f>IF(ISNUMBER(SEARCH(ZAKL_DATA!$B$29,N607)),MAX($M$2:M606)+1,0)</f>
        <v>605</v>
      </c>
      <c r="N607" s="419" t="s">
        <v>2749</v>
      </c>
      <c r="O607" s="436" t="s">
        <v>2750</v>
      </c>
      <c r="P607" s="421"/>
      <c r="Q607" s="422" t="str">
        <f>IFERROR(VLOOKUP(ROWS($Q$3:Q607),$M$3:$N$992,2,0),"")</f>
        <v>Ostatní stavební instalace</v>
      </c>
      <c r="R607">
        <f>IF(ISNUMBER(SEARCH('1Př1'!$A$35,N607)),MAX($M$2:M606)+1,0)</f>
        <v>605</v>
      </c>
      <c r="S607" s="419" t="s">
        <v>2749</v>
      </c>
      <c r="T607" t="str">
        <f>IFERROR(VLOOKUP(ROWS($T$3:T607),$R$3:$S$992,2,0),"")</f>
        <v>Ostatní stavební instalace</v>
      </c>
      <c r="U607">
        <f>IF(ISNUMBER(SEARCH('1Př1'!$A$36,N607)),MAX($M$2:M606)+1,0)</f>
        <v>605</v>
      </c>
      <c r="V607" s="419" t="s">
        <v>2749</v>
      </c>
      <c r="W607" t="str">
        <f>IFERROR(VLOOKUP(ROWS($W$3:W607),$U$3:$V$992,2,0),"")</f>
        <v>Ostatní stavební instalace</v>
      </c>
      <c r="X607">
        <f>IF(ISNUMBER(SEARCH('1Př1'!$A$37,N607)),MAX($M$2:M606)+1,0)</f>
        <v>605</v>
      </c>
      <c r="Y607" s="419" t="s">
        <v>2749</v>
      </c>
      <c r="Z607" t="str">
        <f>IFERROR(VLOOKUP(ROWS($Z$3:Z607),$X$3:$Y$992,2,0),"")</f>
        <v>Ostatní stavební instalace</v>
      </c>
    </row>
    <row r="608" spans="13:26" ht="12.75">
      <c r="M608" s="418">
        <f>IF(ISNUMBER(SEARCH(ZAKL_DATA!$B$29,N608)),MAX($M$2:M607)+1,0)</f>
        <v>606</v>
      </c>
      <c r="N608" s="419" t="s">
        <v>2751</v>
      </c>
      <c r="O608" s="436" t="s">
        <v>2752</v>
      </c>
      <c r="P608" s="421"/>
      <c r="Q608" s="422" t="str">
        <f>IFERROR(VLOOKUP(ROWS($Q$3:Q608),$M$3:$N$992,2,0),"")</f>
        <v>Omítkářské práce</v>
      </c>
      <c r="R608">
        <f>IF(ISNUMBER(SEARCH('1Př1'!$A$35,N608)),MAX($M$2:M607)+1,0)</f>
        <v>606</v>
      </c>
      <c r="S608" s="419" t="s">
        <v>2751</v>
      </c>
      <c r="T608" t="str">
        <f>IFERROR(VLOOKUP(ROWS($T$3:T608),$R$3:$S$992,2,0),"")</f>
        <v>Omítkářské práce</v>
      </c>
      <c r="U608">
        <f>IF(ISNUMBER(SEARCH('1Př1'!$A$36,N608)),MAX($M$2:M607)+1,0)</f>
        <v>606</v>
      </c>
      <c r="V608" s="419" t="s">
        <v>2751</v>
      </c>
      <c r="W608" t="str">
        <f>IFERROR(VLOOKUP(ROWS($W$3:W608),$U$3:$V$992,2,0),"")</f>
        <v>Omítkářské práce</v>
      </c>
      <c r="X608">
        <f>IF(ISNUMBER(SEARCH('1Př1'!$A$37,N608)),MAX($M$2:M607)+1,0)</f>
        <v>606</v>
      </c>
      <c r="Y608" s="419" t="s">
        <v>2751</v>
      </c>
      <c r="Z608" t="str">
        <f>IFERROR(VLOOKUP(ROWS($Z$3:Z608),$X$3:$Y$992,2,0),"")</f>
        <v>Omítkářské práce</v>
      </c>
    </row>
    <row r="609" spans="13:26" ht="12.75">
      <c r="M609" s="418">
        <f>IF(ISNUMBER(SEARCH(ZAKL_DATA!$B$29,N609)),MAX($M$2:M608)+1,0)</f>
        <v>607</v>
      </c>
      <c r="N609" s="419" t="s">
        <v>2753</v>
      </c>
      <c r="O609" s="436" t="s">
        <v>2754</v>
      </c>
      <c r="P609" s="421"/>
      <c r="Q609" s="422" t="str">
        <f>IFERROR(VLOOKUP(ROWS($Q$3:Q609),$M$3:$N$992,2,0),"")</f>
        <v>Truhlářské práce</v>
      </c>
      <c r="R609">
        <f>IF(ISNUMBER(SEARCH('1Př1'!$A$35,N609)),MAX($M$2:M608)+1,0)</f>
        <v>607</v>
      </c>
      <c r="S609" s="419" t="s">
        <v>2753</v>
      </c>
      <c r="T609" t="str">
        <f>IFERROR(VLOOKUP(ROWS($T$3:T609),$R$3:$S$992,2,0),"")</f>
        <v>Truhlářské práce</v>
      </c>
      <c r="U609">
        <f>IF(ISNUMBER(SEARCH('1Př1'!$A$36,N609)),MAX($M$2:M608)+1,0)</f>
        <v>607</v>
      </c>
      <c r="V609" s="419" t="s">
        <v>2753</v>
      </c>
      <c r="W609" t="str">
        <f>IFERROR(VLOOKUP(ROWS($W$3:W609),$U$3:$V$992,2,0),"")</f>
        <v>Truhlářské práce</v>
      </c>
      <c r="X609">
        <f>IF(ISNUMBER(SEARCH('1Př1'!$A$37,N609)),MAX($M$2:M608)+1,0)</f>
        <v>607</v>
      </c>
      <c r="Y609" s="419" t="s">
        <v>2753</v>
      </c>
      <c r="Z609" t="str">
        <f>IFERROR(VLOOKUP(ROWS($Z$3:Z609),$X$3:$Y$992,2,0),"")</f>
        <v>Truhlářské práce</v>
      </c>
    </row>
    <row r="610" spans="13:26" ht="12.75">
      <c r="M610" s="418">
        <f>IF(ISNUMBER(SEARCH(ZAKL_DATA!$B$29,N610)),MAX($M$2:M609)+1,0)</f>
        <v>608</v>
      </c>
      <c r="N610" s="419" t="s">
        <v>2755</v>
      </c>
      <c r="O610" s="436" t="s">
        <v>2756</v>
      </c>
      <c r="P610" s="421"/>
      <c r="Q610" s="422" t="str">
        <f>IFERROR(VLOOKUP(ROWS($Q$3:Q610),$M$3:$N$992,2,0),"")</f>
        <v>Obkládání stěn a pokládání podlahových krytin</v>
      </c>
      <c r="R610">
        <f>IF(ISNUMBER(SEARCH('1Př1'!$A$35,N610)),MAX($M$2:M609)+1,0)</f>
        <v>608</v>
      </c>
      <c r="S610" s="419" t="s">
        <v>2755</v>
      </c>
      <c r="T610" t="str">
        <f>IFERROR(VLOOKUP(ROWS($T$3:T610),$R$3:$S$992,2,0),"")</f>
        <v>Obkládání stěn a pokládání podlahových krytin</v>
      </c>
      <c r="U610">
        <f>IF(ISNUMBER(SEARCH('1Př1'!$A$36,N610)),MAX($M$2:M609)+1,0)</f>
        <v>608</v>
      </c>
      <c r="V610" s="419" t="s">
        <v>2755</v>
      </c>
      <c r="W610" t="str">
        <f>IFERROR(VLOOKUP(ROWS($W$3:W610),$U$3:$V$992,2,0),"")</f>
        <v>Obkládání stěn a pokládání podlahových krytin</v>
      </c>
      <c r="X610">
        <f>IF(ISNUMBER(SEARCH('1Př1'!$A$37,N610)),MAX($M$2:M609)+1,0)</f>
        <v>608</v>
      </c>
      <c r="Y610" s="419" t="s">
        <v>2755</v>
      </c>
      <c r="Z610" t="str">
        <f>IFERROR(VLOOKUP(ROWS($Z$3:Z610),$X$3:$Y$992,2,0),"")</f>
        <v>Obkládání stěn a pokládání podlahových krytin</v>
      </c>
    </row>
    <row r="611" spans="13:26" ht="12.75">
      <c r="M611" s="418">
        <f>IF(ISNUMBER(SEARCH(ZAKL_DATA!$B$29,N611)),MAX($M$2:M610)+1,0)</f>
        <v>609</v>
      </c>
      <c r="N611" s="419" t="s">
        <v>2757</v>
      </c>
      <c r="O611" s="436" t="s">
        <v>2758</v>
      </c>
      <c r="P611" s="421"/>
      <c r="Q611" s="422" t="str">
        <f>IFERROR(VLOOKUP(ROWS($Q$3:Q611),$M$3:$N$992,2,0),"")</f>
        <v>Sklenářské, malířské a natěračské práce</v>
      </c>
      <c r="R611">
        <f>IF(ISNUMBER(SEARCH('1Př1'!$A$35,N611)),MAX($M$2:M610)+1,0)</f>
        <v>609</v>
      </c>
      <c r="S611" s="419" t="s">
        <v>2757</v>
      </c>
      <c r="T611" t="str">
        <f>IFERROR(VLOOKUP(ROWS($T$3:T611),$R$3:$S$992,2,0),"")</f>
        <v>Sklenářské, malířské a natěračské práce</v>
      </c>
      <c r="U611">
        <f>IF(ISNUMBER(SEARCH('1Př1'!$A$36,N611)),MAX($M$2:M610)+1,0)</f>
        <v>609</v>
      </c>
      <c r="V611" s="419" t="s">
        <v>2757</v>
      </c>
      <c r="W611" t="str">
        <f>IFERROR(VLOOKUP(ROWS($W$3:W611),$U$3:$V$992,2,0),"")</f>
        <v>Sklenářské, malířské a natěračské práce</v>
      </c>
      <c r="X611">
        <f>IF(ISNUMBER(SEARCH('1Př1'!$A$37,N611)),MAX($M$2:M610)+1,0)</f>
        <v>609</v>
      </c>
      <c r="Y611" s="419" t="s">
        <v>2757</v>
      </c>
      <c r="Z611" t="str">
        <f>IFERROR(VLOOKUP(ROWS($Z$3:Z611),$X$3:$Y$992,2,0),"")</f>
        <v>Sklenářské, malířské a natěračské práce</v>
      </c>
    </row>
    <row r="612" spans="13:26" ht="12.75">
      <c r="M612" s="418">
        <f>IF(ISNUMBER(SEARCH(ZAKL_DATA!$B$29,N612)),MAX($M$2:M611)+1,0)</f>
        <v>610</v>
      </c>
      <c r="N612" s="419" t="s">
        <v>2759</v>
      </c>
      <c r="O612" s="436" t="s">
        <v>2760</v>
      </c>
      <c r="P612" s="421"/>
      <c r="Q612" s="422" t="str">
        <f>IFERROR(VLOOKUP(ROWS($Q$3:Q612),$M$3:$N$992,2,0),"")</f>
        <v>Ostatní kompletační a dokončovací práce</v>
      </c>
      <c r="R612">
        <f>IF(ISNUMBER(SEARCH('1Př1'!$A$35,N612)),MAX($M$2:M611)+1,0)</f>
        <v>610</v>
      </c>
      <c r="S612" s="419" t="s">
        <v>2759</v>
      </c>
      <c r="T612" t="str">
        <f>IFERROR(VLOOKUP(ROWS($T$3:T612),$R$3:$S$992,2,0),"")</f>
        <v>Ostatní kompletační a dokončovací práce</v>
      </c>
      <c r="U612">
        <f>IF(ISNUMBER(SEARCH('1Př1'!$A$36,N612)),MAX($M$2:M611)+1,0)</f>
        <v>610</v>
      </c>
      <c r="V612" s="419" t="s">
        <v>2759</v>
      </c>
      <c r="W612" t="str">
        <f>IFERROR(VLOOKUP(ROWS($W$3:W612),$U$3:$V$992,2,0),"")</f>
        <v>Ostatní kompletační a dokončovací práce</v>
      </c>
      <c r="X612">
        <f>IF(ISNUMBER(SEARCH('1Př1'!$A$37,N612)),MAX($M$2:M611)+1,0)</f>
        <v>610</v>
      </c>
      <c r="Y612" s="419" t="s">
        <v>2759</v>
      </c>
      <c r="Z612" t="str">
        <f>IFERROR(VLOOKUP(ROWS($Z$3:Z612),$X$3:$Y$992,2,0),"")</f>
        <v>Ostatní kompletační a dokončovací práce</v>
      </c>
    </row>
    <row r="613" spans="13:26" ht="12.75">
      <c r="M613" s="418">
        <f>IF(ISNUMBER(SEARCH(ZAKL_DATA!$B$29,N613)),MAX($M$2:M612)+1,0)</f>
        <v>611</v>
      </c>
      <c r="N613" s="419" t="s">
        <v>2761</v>
      </c>
      <c r="O613" s="436" t="s">
        <v>2762</v>
      </c>
      <c r="P613" s="421"/>
      <c r="Q613" s="422" t="str">
        <f>IFERROR(VLOOKUP(ROWS($Q$3:Q613),$M$3:$N$992,2,0),"")</f>
        <v>Pokrývačské práce</v>
      </c>
      <c r="R613">
        <f>IF(ISNUMBER(SEARCH('1Př1'!$A$35,N613)),MAX($M$2:M612)+1,0)</f>
        <v>611</v>
      </c>
      <c r="S613" s="419" t="s">
        <v>2761</v>
      </c>
      <c r="T613" t="str">
        <f>IFERROR(VLOOKUP(ROWS($T$3:T613),$R$3:$S$992,2,0),"")</f>
        <v>Pokrývačské práce</v>
      </c>
      <c r="U613">
        <f>IF(ISNUMBER(SEARCH('1Př1'!$A$36,N613)),MAX($M$2:M612)+1,0)</f>
        <v>611</v>
      </c>
      <c r="V613" s="419" t="s">
        <v>2761</v>
      </c>
      <c r="W613" t="str">
        <f>IFERROR(VLOOKUP(ROWS($W$3:W613),$U$3:$V$992,2,0),"")</f>
        <v>Pokrývačské práce</v>
      </c>
      <c r="X613">
        <f>IF(ISNUMBER(SEARCH('1Př1'!$A$37,N613)),MAX($M$2:M612)+1,0)</f>
        <v>611</v>
      </c>
      <c r="Y613" s="419" t="s">
        <v>2761</v>
      </c>
      <c r="Z613" t="str">
        <f>IFERROR(VLOOKUP(ROWS($Z$3:Z613),$X$3:$Y$992,2,0),"")</f>
        <v>Pokrývačské práce</v>
      </c>
    </row>
    <row r="614" spans="13:26" ht="12.75">
      <c r="M614" s="418">
        <f>IF(ISNUMBER(SEARCH(ZAKL_DATA!$B$29,N614)),MAX($M$2:M613)+1,0)</f>
        <v>612</v>
      </c>
      <c r="N614" s="419" t="s">
        <v>2763</v>
      </c>
      <c r="O614" s="436" t="s">
        <v>2764</v>
      </c>
      <c r="P614" s="421"/>
      <c r="Q614" s="422" t="str">
        <f>IFERROR(VLOOKUP(ROWS($Q$3:Q614),$M$3:$N$992,2,0),"")</f>
        <v>Ostatní specializované stavební činnosti j. n.</v>
      </c>
      <c r="R614">
        <f>IF(ISNUMBER(SEARCH('1Př1'!$A$35,N614)),MAX($M$2:M613)+1,0)</f>
        <v>612</v>
      </c>
      <c r="S614" s="419" t="s">
        <v>2763</v>
      </c>
      <c r="T614" t="str">
        <f>IFERROR(VLOOKUP(ROWS($T$3:T614),$R$3:$S$992,2,0),"")</f>
        <v>Ostatní specializované stavební činnosti j. n.</v>
      </c>
      <c r="U614">
        <f>IF(ISNUMBER(SEARCH('1Př1'!$A$36,N614)),MAX($M$2:M613)+1,0)</f>
        <v>612</v>
      </c>
      <c r="V614" s="419" t="s">
        <v>2763</v>
      </c>
      <c r="W614" t="str">
        <f>IFERROR(VLOOKUP(ROWS($W$3:W614),$U$3:$V$992,2,0),"")</f>
        <v>Ostatní specializované stavební činnosti j. n.</v>
      </c>
      <c r="X614">
        <f>IF(ISNUMBER(SEARCH('1Př1'!$A$37,N614)),MAX($M$2:M613)+1,0)</f>
        <v>612</v>
      </c>
      <c r="Y614" s="419" t="s">
        <v>2763</v>
      </c>
      <c r="Z614" t="str">
        <f>IFERROR(VLOOKUP(ROWS($Z$3:Z614),$X$3:$Y$992,2,0),"")</f>
        <v>Ostatní specializované stavební činnosti j. n.</v>
      </c>
    </row>
    <row r="615" spans="13:26" ht="12.75">
      <c r="M615" s="418">
        <f>IF(ISNUMBER(SEARCH(ZAKL_DATA!$B$29,N615)),MAX($M$2:M614)+1,0)</f>
        <v>613</v>
      </c>
      <c r="N615" s="419" t="s">
        <v>2765</v>
      </c>
      <c r="O615" s="436" t="s">
        <v>2766</v>
      </c>
      <c r="P615" s="421"/>
      <c r="Q615" s="422" t="str">
        <f>IFERROR(VLOOKUP(ROWS($Q$3:Q615),$M$3:$N$992,2,0),"")</f>
        <v>Obchod s automobily a jinými lehkými motorovými vozidly</v>
      </c>
      <c r="R615">
        <f>IF(ISNUMBER(SEARCH('1Př1'!$A$35,N615)),MAX($M$2:M614)+1,0)</f>
        <v>613</v>
      </c>
      <c r="S615" s="419" t="s">
        <v>2765</v>
      </c>
      <c r="T615" t="str">
        <f>IFERROR(VLOOKUP(ROWS($T$3:T615),$R$3:$S$992,2,0),"")</f>
        <v>Obchod s automobily a jinými lehkými motorovými vozidly</v>
      </c>
      <c r="U615">
        <f>IF(ISNUMBER(SEARCH('1Př1'!$A$36,N615)),MAX($M$2:M614)+1,0)</f>
        <v>613</v>
      </c>
      <c r="V615" s="419" t="s">
        <v>2765</v>
      </c>
      <c r="W615" t="str">
        <f>IFERROR(VLOOKUP(ROWS($W$3:W615),$U$3:$V$992,2,0),"")</f>
        <v>Obchod s automobily a jinými lehkými motorovými vozidly</v>
      </c>
      <c r="X615">
        <f>IF(ISNUMBER(SEARCH('1Př1'!$A$37,N615)),MAX($M$2:M614)+1,0)</f>
        <v>613</v>
      </c>
      <c r="Y615" s="419" t="s">
        <v>2765</v>
      </c>
      <c r="Z615" t="str">
        <f>IFERROR(VLOOKUP(ROWS($Z$3:Z615),$X$3:$Y$992,2,0),"")</f>
        <v>Obchod s automobily a jinými lehkými motorovými vozidly</v>
      </c>
    </row>
    <row r="616" spans="13:26" ht="12.75">
      <c r="M616" s="418">
        <f>IF(ISNUMBER(SEARCH(ZAKL_DATA!$B$29,N616)),MAX($M$2:M615)+1,0)</f>
        <v>614</v>
      </c>
      <c r="N616" s="419" t="s">
        <v>2767</v>
      </c>
      <c r="O616" s="436" t="s">
        <v>2768</v>
      </c>
      <c r="P616" s="421"/>
      <c r="Q616" s="422" t="str">
        <f>IFERROR(VLOOKUP(ROWS($Q$3:Q616),$M$3:$N$992,2,0),"")</f>
        <v>Obchod s ostatními motorovými vozidly, kromě motocyklů</v>
      </c>
      <c r="R616">
        <f>IF(ISNUMBER(SEARCH('1Př1'!$A$35,N616)),MAX($M$2:M615)+1,0)</f>
        <v>614</v>
      </c>
      <c r="S616" s="419" t="s">
        <v>2767</v>
      </c>
      <c r="T616" t="str">
        <f>IFERROR(VLOOKUP(ROWS($T$3:T616),$R$3:$S$992,2,0),"")</f>
        <v>Obchod s ostatními motorovými vozidly, kromě motocyklů</v>
      </c>
      <c r="U616">
        <f>IF(ISNUMBER(SEARCH('1Př1'!$A$36,N616)),MAX($M$2:M615)+1,0)</f>
        <v>614</v>
      </c>
      <c r="V616" s="419" t="s">
        <v>2767</v>
      </c>
      <c r="W616" t="str">
        <f>IFERROR(VLOOKUP(ROWS($W$3:W616),$U$3:$V$992,2,0),"")</f>
        <v>Obchod s ostatními motorovými vozidly, kromě motocyklů</v>
      </c>
      <c r="X616">
        <f>IF(ISNUMBER(SEARCH('1Př1'!$A$37,N616)),MAX($M$2:M615)+1,0)</f>
        <v>614</v>
      </c>
      <c r="Y616" s="419" t="s">
        <v>2767</v>
      </c>
      <c r="Z616" t="str">
        <f>IFERROR(VLOOKUP(ROWS($Z$3:Z616),$X$3:$Y$992,2,0),"")</f>
        <v>Obchod s ostatními motorovými vozidly, kromě motocyklů</v>
      </c>
    </row>
    <row r="617" spans="13:26" ht="12.75">
      <c r="M617" s="418">
        <f>IF(ISNUMBER(SEARCH(ZAKL_DATA!$B$29,N617)),MAX($M$2:M616)+1,0)</f>
        <v>615</v>
      </c>
      <c r="N617" s="419" t="s">
        <v>2769</v>
      </c>
      <c r="O617" s="436" t="s">
        <v>2770</v>
      </c>
      <c r="P617" s="421"/>
      <c r="Q617" s="422" t="str">
        <f>IFERROR(VLOOKUP(ROWS($Q$3:Q617),$M$3:$N$992,2,0),"")</f>
        <v>Velkoobchod s díly a příslušenstvím pro motorová vozidla,kromě motocyklů</v>
      </c>
      <c r="R617">
        <f>IF(ISNUMBER(SEARCH('1Př1'!$A$35,N617)),MAX($M$2:M616)+1,0)</f>
        <v>615</v>
      </c>
      <c r="S617" s="419" t="s">
        <v>2769</v>
      </c>
      <c r="T617" t="str">
        <f>IFERROR(VLOOKUP(ROWS($T$3:T617),$R$3:$S$992,2,0),"")</f>
        <v>Velkoobchod s díly a příslušenstvím pro motorová vozidla,kromě motocyklů</v>
      </c>
      <c r="U617">
        <f>IF(ISNUMBER(SEARCH('1Př1'!$A$36,N617)),MAX($M$2:M616)+1,0)</f>
        <v>615</v>
      </c>
      <c r="V617" s="419" t="s">
        <v>2769</v>
      </c>
      <c r="W617" t="str">
        <f>IFERROR(VLOOKUP(ROWS($W$3:W617),$U$3:$V$992,2,0),"")</f>
        <v>Velkoobchod s díly a příslušenstvím pro motorová vozidla,kromě motocyklů</v>
      </c>
      <c r="X617">
        <f>IF(ISNUMBER(SEARCH('1Př1'!$A$37,N617)),MAX($M$2:M616)+1,0)</f>
        <v>615</v>
      </c>
      <c r="Y617" s="419" t="s">
        <v>2769</v>
      </c>
      <c r="Z617" t="str">
        <f>IFERROR(VLOOKUP(ROWS($Z$3:Z617),$X$3:$Y$992,2,0),"")</f>
        <v>Velkoobchod s díly a příslušenstvím pro motorová vozidla,kromě motocyklů</v>
      </c>
    </row>
    <row r="618" spans="13:26" ht="12.75">
      <c r="M618" s="418">
        <f>IF(ISNUMBER(SEARCH(ZAKL_DATA!$B$29,N618)),MAX($M$2:M617)+1,0)</f>
        <v>616</v>
      </c>
      <c r="N618" s="419" t="s">
        <v>2771</v>
      </c>
      <c r="O618" s="436" t="s">
        <v>2772</v>
      </c>
      <c r="P618" s="421"/>
      <c r="Q618" s="422" t="str">
        <f>IFERROR(VLOOKUP(ROWS($Q$3:Q618),$M$3:$N$992,2,0),"")</f>
        <v>Maloobchod s díly a příslušenstvím pro motorová vozidla,kromě motocyklů</v>
      </c>
      <c r="R618">
        <f>IF(ISNUMBER(SEARCH('1Př1'!$A$35,N618)),MAX($M$2:M617)+1,0)</f>
        <v>616</v>
      </c>
      <c r="S618" s="419" t="s">
        <v>2771</v>
      </c>
      <c r="T618" t="str">
        <f>IFERROR(VLOOKUP(ROWS($T$3:T618),$R$3:$S$992,2,0),"")</f>
        <v>Maloobchod s díly a příslušenstvím pro motorová vozidla,kromě motocyklů</v>
      </c>
      <c r="U618">
        <f>IF(ISNUMBER(SEARCH('1Př1'!$A$36,N618)),MAX($M$2:M617)+1,0)</f>
        <v>616</v>
      </c>
      <c r="V618" s="419" t="s">
        <v>2771</v>
      </c>
      <c r="W618" t="str">
        <f>IFERROR(VLOOKUP(ROWS($W$3:W618),$U$3:$V$992,2,0),"")</f>
        <v>Maloobchod s díly a příslušenstvím pro motorová vozidla,kromě motocyklů</v>
      </c>
      <c r="X618">
        <f>IF(ISNUMBER(SEARCH('1Př1'!$A$37,N618)),MAX($M$2:M617)+1,0)</f>
        <v>616</v>
      </c>
      <c r="Y618" s="419" t="s">
        <v>2771</v>
      </c>
      <c r="Z618" t="str">
        <f>IFERROR(VLOOKUP(ROWS($Z$3:Z618),$X$3:$Y$992,2,0),"")</f>
        <v>Maloobchod s díly a příslušenstvím pro motorová vozidla,kromě motocyklů</v>
      </c>
    </row>
    <row r="619" spans="13:26" ht="12.75">
      <c r="M619" s="418">
        <f>IF(ISNUMBER(SEARCH(ZAKL_DATA!$B$29,N619)),MAX($M$2:M618)+1,0)</f>
        <v>617</v>
      </c>
      <c r="N619" s="419" t="s">
        <v>2773</v>
      </c>
      <c r="O619" s="436" t="s">
        <v>2774</v>
      </c>
      <c r="P619" s="421"/>
      <c r="Q619" s="422" t="str">
        <f>IFERROR(VLOOKUP(ROWS($Q$3:Q619),$M$3:$N$992,2,0),"")</f>
        <v>Zprostř.velkoob.a velkoob.v zast.se zákl.zem.pr.,živými zv.,text.sur.a pol.</v>
      </c>
      <c r="R619">
        <f>IF(ISNUMBER(SEARCH('1Př1'!$A$35,N619)),MAX($M$2:M618)+1,0)</f>
        <v>617</v>
      </c>
      <c r="S619" s="419" t="s">
        <v>2773</v>
      </c>
      <c r="T619" t="str">
        <f>IFERROR(VLOOKUP(ROWS($T$3:T619),$R$3:$S$992,2,0),"")</f>
        <v>Zprostř.velkoob.a velkoob.v zast.se zákl.zem.pr.,živými zv.,text.sur.a pol.</v>
      </c>
      <c r="U619">
        <f>IF(ISNUMBER(SEARCH('1Př1'!$A$36,N619)),MAX($M$2:M618)+1,0)</f>
        <v>617</v>
      </c>
      <c r="V619" s="419" t="s">
        <v>2773</v>
      </c>
      <c r="W619" t="str">
        <f>IFERROR(VLOOKUP(ROWS($W$3:W619),$U$3:$V$992,2,0),"")</f>
        <v>Zprostř.velkoob.a velkoob.v zast.se zákl.zem.pr.,živými zv.,text.sur.a pol.</v>
      </c>
      <c r="X619">
        <f>IF(ISNUMBER(SEARCH('1Př1'!$A$37,N619)),MAX($M$2:M618)+1,0)</f>
        <v>617</v>
      </c>
      <c r="Y619" s="419" t="s">
        <v>2773</v>
      </c>
      <c r="Z619" t="str">
        <f>IFERROR(VLOOKUP(ROWS($Z$3:Z619),$X$3:$Y$992,2,0),"")</f>
        <v>Zprostř.velkoob.a velkoob.v zast.se zákl.zem.pr.,živými zv.,text.sur.a pol.</v>
      </c>
    </row>
    <row r="620" spans="13:26" ht="12.75">
      <c r="M620" s="418">
        <f>IF(ISNUMBER(SEARCH(ZAKL_DATA!$B$29,N620)),MAX($M$2:M619)+1,0)</f>
        <v>618</v>
      </c>
      <c r="N620" s="419" t="s">
        <v>2775</v>
      </c>
      <c r="O620" s="436" t="s">
        <v>2776</v>
      </c>
      <c r="P620" s="421"/>
      <c r="Q620" s="422" t="str">
        <f>IFERROR(VLOOKUP(ROWS($Q$3:Q620),$M$3:$N$992,2,0),"")</f>
        <v>Zprostř.velkoob.a velkoob.v zast.s palivy,rudami,kovy a prům.chemikáliemi</v>
      </c>
      <c r="R620">
        <f>IF(ISNUMBER(SEARCH('1Př1'!$A$35,N620)),MAX($M$2:M619)+1,0)</f>
        <v>618</v>
      </c>
      <c r="S620" s="419" t="s">
        <v>2775</v>
      </c>
      <c r="T620" t="str">
        <f>IFERROR(VLOOKUP(ROWS($T$3:T620),$R$3:$S$992,2,0),"")</f>
        <v>Zprostř.velkoob.a velkoob.v zast.s palivy,rudami,kovy a prům.chemikáliemi</v>
      </c>
      <c r="U620">
        <f>IF(ISNUMBER(SEARCH('1Př1'!$A$36,N620)),MAX($M$2:M619)+1,0)</f>
        <v>618</v>
      </c>
      <c r="V620" s="419" t="s">
        <v>2775</v>
      </c>
      <c r="W620" t="str">
        <f>IFERROR(VLOOKUP(ROWS($W$3:W620),$U$3:$V$992,2,0),"")</f>
        <v>Zprostř.velkoob.a velkoob.v zast.s palivy,rudami,kovy a prům.chemikáliemi</v>
      </c>
      <c r="X620">
        <f>IF(ISNUMBER(SEARCH('1Př1'!$A$37,N620)),MAX($M$2:M619)+1,0)</f>
        <v>618</v>
      </c>
      <c r="Y620" s="419" t="s">
        <v>2775</v>
      </c>
      <c r="Z620" t="str">
        <f>IFERROR(VLOOKUP(ROWS($Z$3:Z620),$X$3:$Y$992,2,0),"")</f>
        <v>Zprostř.velkoob.a velkoob.v zast.s palivy,rudami,kovy a prům.chemikáliemi</v>
      </c>
    </row>
    <row r="621" spans="13:26" ht="12.75">
      <c r="M621" s="418">
        <f>IF(ISNUMBER(SEARCH(ZAKL_DATA!$B$29,N621)),MAX($M$2:M620)+1,0)</f>
        <v>619</v>
      </c>
      <c r="N621" s="419" t="s">
        <v>2777</v>
      </c>
      <c r="O621" s="436" t="s">
        <v>2778</v>
      </c>
      <c r="P621" s="421"/>
      <c r="Q621" s="422" t="str">
        <f>IFERROR(VLOOKUP(ROWS($Q$3:Q621),$M$3:$N$992,2,0),"")</f>
        <v>Zprostř.velkoobchodu a velkoobchod v zast.se dřevem a staveb.materiály</v>
      </c>
      <c r="R621">
        <f>IF(ISNUMBER(SEARCH('1Př1'!$A$35,N621)),MAX($M$2:M620)+1,0)</f>
        <v>619</v>
      </c>
      <c r="S621" s="419" t="s">
        <v>2777</v>
      </c>
      <c r="T621" t="str">
        <f>IFERROR(VLOOKUP(ROWS($T$3:T621),$R$3:$S$992,2,0),"")</f>
        <v>Zprostř.velkoobchodu a velkoobchod v zast.se dřevem a staveb.materiály</v>
      </c>
      <c r="U621">
        <f>IF(ISNUMBER(SEARCH('1Př1'!$A$36,N621)),MAX($M$2:M620)+1,0)</f>
        <v>619</v>
      </c>
      <c r="V621" s="419" t="s">
        <v>2777</v>
      </c>
      <c r="W621" t="str">
        <f>IFERROR(VLOOKUP(ROWS($W$3:W621),$U$3:$V$992,2,0),"")</f>
        <v>Zprostř.velkoobchodu a velkoobchod v zast.se dřevem a staveb.materiály</v>
      </c>
      <c r="X621">
        <f>IF(ISNUMBER(SEARCH('1Př1'!$A$37,N621)),MAX($M$2:M620)+1,0)</f>
        <v>619</v>
      </c>
      <c r="Y621" s="419" t="s">
        <v>2777</v>
      </c>
      <c r="Z621" t="str">
        <f>IFERROR(VLOOKUP(ROWS($Z$3:Z621),$X$3:$Y$992,2,0),"")</f>
        <v>Zprostř.velkoobchodu a velkoobchod v zast.se dřevem a staveb.materiály</v>
      </c>
    </row>
    <row r="622" spans="13:26" ht="12.75">
      <c r="M622" s="418">
        <f>IF(ISNUMBER(SEARCH(ZAKL_DATA!$B$29,N622)),MAX($M$2:M621)+1,0)</f>
        <v>620</v>
      </c>
      <c r="N622" s="419" t="s">
        <v>2779</v>
      </c>
      <c r="O622" s="436" t="s">
        <v>2780</v>
      </c>
      <c r="P622" s="421"/>
      <c r="Q622" s="422" t="str">
        <f>IFERROR(VLOOKUP(ROWS($Q$3:Q622),$M$3:$N$992,2,0),"")</f>
        <v>Zprostř.velkoobchodu a velkoob.v zast.se stroji,prům.zař.,loděmi a letadly</v>
      </c>
      <c r="R622">
        <f>IF(ISNUMBER(SEARCH('1Př1'!$A$35,N622)),MAX($M$2:M621)+1,0)</f>
        <v>620</v>
      </c>
      <c r="S622" s="419" t="s">
        <v>2779</v>
      </c>
      <c r="T622" t="str">
        <f>IFERROR(VLOOKUP(ROWS($T$3:T622),$R$3:$S$992,2,0),"")</f>
        <v>Zprostř.velkoobchodu a velkoob.v zast.se stroji,prům.zař.,loděmi a letadly</v>
      </c>
      <c r="U622">
        <f>IF(ISNUMBER(SEARCH('1Př1'!$A$36,N622)),MAX($M$2:M621)+1,0)</f>
        <v>620</v>
      </c>
      <c r="V622" s="419" t="s">
        <v>2779</v>
      </c>
      <c r="W622" t="str">
        <f>IFERROR(VLOOKUP(ROWS($W$3:W622),$U$3:$V$992,2,0),"")</f>
        <v>Zprostř.velkoobchodu a velkoob.v zast.se stroji,prům.zař.,loděmi a letadly</v>
      </c>
      <c r="X622">
        <f>IF(ISNUMBER(SEARCH('1Př1'!$A$37,N622)),MAX($M$2:M621)+1,0)</f>
        <v>620</v>
      </c>
      <c r="Y622" s="419" t="s">
        <v>2779</v>
      </c>
      <c r="Z622" t="str">
        <f>IFERROR(VLOOKUP(ROWS($Z$3:Z622),$X$3:$Y$992,2,0),"")</f>
        <v>Zprostř.velkoobchodu a velkoob.v zast.se stroji,prům.zař.,loděmi a letadly</v>
      </c>
    </row>
    <row r="623" spans="13:26" ht="12.75">
      <c r="M623" s="418">
        <f>IF(ISNUMBER(SEARCH(ZAKL_DATA!$B$29,N623)),MAX($M$2:M622)+1,0)</f>
        <v>621</v>
      </c>
      <c r="N623" s="419" t="s">
        <v>2781</v>
      </c>
      <c r="O623" s="436" t="s">
        <v>2782</v>
      </c>
      <c r="P623" s="421"/>
      <c r="Q623" s="422" t="str">
        <f>IFERROR(VLOOKUP(ROWS($Q$3:Q623),$M$3:$N$992,2,0),"")</f>
        <v>Zprostř.velkoob.a velkoob.v zast.s náb.,želez.zbožím a potř.převáž.pro dom.</v>
      </c>
      <c r="R623">
        <f>IF(ISNUMBER(SEARCH('1Př1'!$A$35,N623)),MAX($M$2:M622)+1,0)</f>
        <v>621</v>
      </c>
      <c r="S623" s="419" t="s">
        <v>2781</v>
      </c>
      <c r="T623" t="str">
        <f>IFERROR(VLOOKUP(ROWS($T$3:T623),$R$3:$S$992,2,0),"")</f>
        <v>Zprostř.velkoob.a velkoob.v zast.s náb.,želez.zbožím a potř.převáž.pro dom.</v>
      </c>
      <c r="U623">
        <f>IF(ISNUMBER(SEARCH('1Př1'!$A$36,N623)),MAX($M$2:M622)+1,0)</f>
        <v>621</v>
      </c>
      <c r="V623" s="419" t="s">
        <v>2781</v>
      </c>
      <c r="W623" t="str">
        <f>IFERROR(VLOOKUP(ROWS($W$3:W623),$U$3:$V$992,2,0),"")</f>
        <v>Zprostř.velkoob.a velkoob.v zast.s náb.,želez.zbožím a potř.převáž.pro dom.</v>
      </c>
      <c r="X623">
        <f>IF(ISNUMBER(SEARCH('1Př1'!$A$37,N623)),MAX($M$2:M622)+1,0)</f>
        <v>621</v>
      </c>
      <c r="Y623" s="419" t="s">
        <v>2781</v>
      </c>
      <c r="Z623" t="str">
        <f>IFERROR(VLOOKUP(ROWS($Z$3:Z623),$X$3:$Y$992,2,0),"")</f>
        <v>Zprostř.velkoob.a velkoob.v zast.s náb.,želez.zbožím a potř.převáž.pro dom.</v>
      </c>
    </row>
    <row r="624" spans="13:26" ht="12.75">
      <c r="M624" s="418">
        <f>IF(ISNUMBER(SEARCH(ZAKL_DATA!$B$29,N624)),MAX($M$2:M623)+1,0)</f>
        <v>622</v>
      </c>
      <c r="N624" s="419" t="s">
        <v>2783</v>
      </c>
      <c r="O624" s="436" t="s">
        <v>2784</v>
      </c>
      <c r="P624" s="421"/>
      <c r="Q624" s="422" t="str">
        <f>IFERROR(VLOOKUP(ROWS($Q$3:Q624),$M$3:$N$992,2,0),"")</f>
        <v>Zprostř.velkoob.a velkoob.v zast.s text.,oděvy,kožešinami,obuví a kož.výr.</v>
      </c>
      <c r="R624">
        <f>IF(ISNUMBER(SEARCH('1Př1'!$A$35,N624)),MAX($M$2:M623)+1,0)</f>
        <v>622</v>
      </c>
      <c r="S624" s="419" t="s">
        <v>2783</v>
      </c>
      <c r="T624" t="str">
        <f>IFERROR(VLOOKUP(ROWS($T$3:T624),$R$3:$S$992,2,0),"")</f>
        <v>Zprostř.velkoob.a velkoob.v zast.s text.,oděvy,kožešinami,obuví a kož.výr.</v>
      </c>
      <c r="U624">
        <f>IF(ISNUMBER(SEARCH('1Př1'!$A$36,N624)),MAX($M$2:M623)+1,0)</f>
        <v>622</v>
      </c>
      <c r="V624" s="419" t="s">
        <v>2783</v>
      </c>
      <c r="W624" t="str">
        <f>IFERROR(VLOOKUP(ROWS($W$3:W624),$U$3:$V$992,2,0),"")</f>
        <v>Zprostř.velkoob.a velkoob.v zast.s text.,oděvy,kožešinami,obuví a kož.výr.</v>
      </c>
      <c r="X624">
        <f>IF(ISNUMBER(SEARCH('1Př1'!$A$37,N624)),MAX($M$2:M623)+1,0)</f>
        <v>622</v>
      </c>
      <c r="Y624" s="419" t="s">
        <v>2783</v>
      </c>
      <c r="Z624" t="str">
        <f>IFERROR(VLOOKUP(ROWS($Z$3:Z624),$X$3:$Y$992,2,0),"")</f>
        <v>Zprostř.velkoob.a velkoob.v zast.s text.,oděvy,kožešinami,obuví a kož.výr.</v>
      </c>
    </row>
    <row r="625" spans="13:26" ht="12.75">
      <c r="M625" s="418">
        <f>IF(ISNUMBER(SEARCH(ZAKL_DATA!$B$29,N625)),MAX($M$2:M624)+1,0)</f>
        <v>623</v>
      </c>
      <c r="N625" s="419" t="s">
        <v>2785</v>
      </c>
      <c r="O625" s="436" t="s">
        <v>2786</v>
      </c>
      <c r="P625" s="421"/>
      <c r="Q625" s="422" t="str">
        <f>IFERROR(VLOOKUP(ROWS($Q$3:Q625),$M$3:$N$992,2,0),"")</f>
        <v>Zprostř.velkoob.a velkoob.v zast.s potr.,nápoji,tabákem a tabák.výrobky</v>
      </c>
      <c r="R625">
        <f>IF(ISNUMBER(SEARCH('1Př1'!$A$35,N625)),MAX($M$2:M624)+1,0)</f>
        <v>623</v>
      </c>
      <c r="S625" s="419" t="s">
        <v>2785</v>
      </c>
      <c r="T625" t="str">
        <f>IFERROR(VLOOKUP(ROWS($T$3:T625),$R$3:$S$992,2,0),"")</f>
        <v>Zprostř.velkoob.a velkoob.v zast.s potr.,nápoji,tabákem a tabák.výrobky</v>
      </c>
      <c r="U625">
        <f>IF(ISNUMBER(SEARCH('1Př1'!$A$36,N625)),MAX($M$2:M624)+1,0)</f>
        <v>623</v>
      </c>
      <c r="V625" s="419" t="s">
        <v>2785</v>
      </c>
      <c r="W625" t="str">
        <f>IFERROR(VLOOKUP(ROWS($W$3:W625),$U$3:$V$992,2,0),"")</f>
        <v>Zprostř.velkoob.a velkoob.v zast.s potr.,nápoji,tabákem a tabák.výrobky</v>
      </c>
      <c r="X625">
        <f>IF(ISNUMBER(SEARCH('1Př1'!$A$37,N625)),MAX($M$2:M624)+1,0)</f>
        <v>623</v>
      </c>
      <c r="Y625" s="419" t="s">
        <v>2785</v>
      </c>
      <c r="Z625" t="str">
        <f>IFERROR(VLOOKUP(ROWS($Z$3:Z625),$X$3:$Y$992,2,0),"")</f>
        <v>Zprostř.velkoob.a velkoob.v zast.s potr.,nápoji,tabákem a tabák.výrobky</v>
      </c>
    </row>
    <row r="626" spans="13:26" ht="12.75">
      <c r="M626" s="418">
        <f>IF(ISNUMBER(SEARCH(ZAKL_DATA!$B$29,N626)),MAX($M$2:M625)+1,0)</f>
        <v>624</v>
      </c>
      <c r="N626" s="419" t="s">
        <v>2787</v>
      </c>
      <c r="O626" s="436" t="s">
        <v>2788</v>
      </c>
      <c r="P626" s="421"/>
      <c r="Q626" s="422" t="str">
        <f>IFERROR(VLOOKUP(ROWS($Q$3:Q626),$M$3:$N$992,2,0),"")</f>
        <v>Zprostř.specializ.velkoob.a specializ.velkoob.v zast.s ost.výrobky</v>
      </c>
      <c r="R626">
        <f>IF(ISNUMBER(SEARCH('1Př1'!$A$35,N626)),MAX($M$2:M625)+1,0)</f>
        <v>624</v>
      </c>
      <c r="S626" s="419" t="s">
        <v>2787</v>
      </c>
      <c r="T626" t="str">
        <f>IFERROR(VLOOKUP(ROWS($T$3:T626),$R$3:$S$992,2,0),"")</f>
        <v>Zprostř.specializ.velkoob.a specializ.velkoob.v zast.s ost.výrobky</v>
      </c>
      <c r="U626">
        <f>IF(ISNUMBER(SEARCH('1Př1'!$A$36,N626)),MAX($M$2:M625)+1,0)</f>
        <v>624</v>
      </c>
      <c r="V626" s="419" t="s">
        <v>2787</v>
      </c>
      <c r="W626" t="str">
        <f>IFERROR(VLOOKUP(ROWS($W$3:W626),$U$3:$V$992,2,0),"")</f>
        <v>Zprostř.specializ.velkoob.a specializ.velkoob.v zast.s ost.výrobky</v>
      </c>
      <c r="X626">
        <f>IF(ISNUMBER(SEARCH('1Př1'!$A$37,N626)),MAX($M$2:M625)+1,0)</f>
        <v>624</v>
      </c>
      <c r="Y626" s="419" t="s">
        <v>2787</v>
      </c>
      <c r="Z626" t="str">
        <f>IFERROR(VLOOKUP(ROWS($Z$3:Z626),$X$3:$Y$992,2,0),"")</f>
        <v>Zprostř.specializ.velkoob.a specializ.velkoob.v zast.s ost.výrobky</v>
      </c>
    </row>
    <row r="627" spans="13:26" ht="12.75">
      <c r="M627" s="418">
        <f>IF(ISNUMBER(SEARCH(ZAKL_DATA!$B$29,N627)),MAX($M$2:M626)+1,0)</f>
        <v>625</v>
      </c>
      <c r="N627" s="419" t="s">
        <v>2789</v>
      </c>
      <c r="O627" s="436" t="s">
        <v>2790</v>
      </c>
      <c r="P627" s="421"/>
      <c r="Q627" s="422" t="str">
        <f>IFERROR(VLOOKUP(ROWS($Q$3:Q627),$M$3:$N$992,2,0),"")</f>
        <v>Zprostř.nespecializ.velkoobchodu a nespecializ.velkoobchod v zast.</v>
      </c>
      <c r="R627">
        <f>IF(ISNUMBER(SEARCH('1Př1'!$A$35,N627)),MAX($M$2:M626)+1,0)</f>
        <v>625</v>
      </c>
      <c r="S627" s="419" t="s">
        <v>2789</v>
      </c>
      <c r="T627" t="str">
        <f>IFERROR(VLOOKUP(ROWS($T$3:T627),$R$3:$S$992,2,0),"")</f>
        <v>Zprostř.nespecializ.velkoobchodu a nespecializ.velkoobchod v zast.</v>
      </c>
      <c r="U627">
        <f>IF(ISNUMBER(SEARCH('1Př1'!$A$36,N627)),MAX($M$2:M626)+1,0)</f>
        <v>625</v>
      </c>
      <c r="V627" s="419" t="s">
        <v>2789</v>
      </c>
      <c r="W627" t="str">
        <f>IFERROR(VLOOKUP(ROWS($W$3:W627),$U$3:$V$992,2,0),"")</f>
        <v>Zprostř.nespecializ.velkoobchodu a nespecializ.velkoobchod v zast.</v>
      </c>
      <c r="X627">
        <f>IF(ISNUMBER(SEARCH('1Př1'!$A$37,N627)),MAX($M$2:M626)+1,0)</f>
        <v>625</v>
      </c>
      <c r="Y627" s="419" t="s">
        <v>2789</v>
      </c>
      <c r="Z627" t="str">
        <f>IFERROR(VLOOKUP(ROWS($Z$3:Z627),$X$3:$Y$992,2,0),"")</f>
        <v>Zprostř.nespecializ.velkoobchodu a nespecializ.velkoobchod v zast.</v>
      </c>
    </row>
    <row r="628" spans="13:26" ht="12.75">
      <c r="M628" s="418">
        <f>IF(ISNUMBER(SEARCH(ZAKL_DATA!$B$29,N628)),MAX($M$2:M627)+1,0)</f>
        <v>626</v>
      </c>
      <c r="N628" s="419" t="s">
        <v>2791</v>
      </c>
      <c r="O628" s="436" t="s">
        <v>2792</v>
      </c>
      <c r="P628" s="421"/>
      <c r="Q628" s="422" t="str">
        <f>IFERROR(VLOOKUP(ROWS($Q$3:Q628),$M$3:$N$992,2,0),"")</f>
        <v>Velkoobchod s obilím, surovým tabákem, osivy a krmivy</v>
      </c>
      <c r="R628">
        <f>IF(ISNUMBER(SEARCH('1Př1'!$A$35,N628)),MAX($M$2:M627)+1,0)</f>
        <v>626</v>
      </c>
      <c r="S628" s="419" t="s">
        <v>2791</v>
      </c>
      <c r="T628" t="str">
        <f>IFERROR(VLOOKUP(ROWS($T$3:T628),$R$3:$S$992,2,0),"")</f>
        <v>Velkoobchod s obilím, surovým tabákem, osivy a krmivy</v>
      </c>
      <c r="U628">
        <f>IF(ISNUMBER(SEARCH('1Př1'!$A$36,N628)),MAX($M$2:M627)+1,0)</f>
        <v>626</v>
      </c>
      <c r="V628" s="419" t="s">
        <v>2791</v>
      </c>
      <c r="W628" t="str">
        <f>IFERROR(VLOOKUP(ROWS($W$3:W628),$U$3:$V$992,2,0),"")</f>
        <v>Velkoobchod s obilím, surovým tabákem, osivy a krmivy</v>
      </c>
      <c r="X628">
        <f>IF(ISNUMBER(SEARCH('1Př1'!$A$37,N628)),MAX($M$2:M627)+1,0)</f>
        <v>626</v>
      </c>
      <c r="Y628" s="419" t="s">
        <v>2791</v>
      </c>
      <c r="Z628" t="str">
        <f>IFERROR(VLOOKUP(ROWS($Z$3:Z628),$X$3:$Y$992,2,0),"")</f>
        <v>Velkoobchod s obilím, surovým tabákem, osivy a krmivy</v>
      </c>
    </row>
    <row r="629" spans="13:26" ht="12.75">
      <c r="M629" s="418">
        <f>IF(ISNUMBER(SEARCH(ZAKL_DATA!$B$29,N629)),MAX($M$2:M628)+1,0)</f>
        <v>627</v>
      </c>
      <c r="N629" s="419" t="s">
        <v>2793</v>
      </c>
      <c r="O629" s="436" t="s">
        <v>2794</v>
      </c>
      <c r="P629" s="421"/>
      <c r="Q629" s="422" t="str">
        <f>IFERROR(VLOOKUP(ROWS($Q$3:Q629),$M$3:$N$992,2,0),"")</f>
        <v>Velkoobchod s květinami a jinými rostlinami</v>
      </c>
      <c r="R629">
        <f>IF(ISNUMBER(SEARCH('1Př1'!$A$35,N629)),MAX($M$2:M628)+1,0)</f>
        <v>627</v>
      </c>
      <c r="S629" s="419" t="s">
        <v>2793</v>
      </c>
      <c r="T629" t="str">
        <f>IFERROR(VLOOKUP(ROWS($T$3:T629),$R$3:$S$992,2,0),"")</f>
        <v>Velkoobchod s květinami a jinými rostlinami</v>
      </c>
      <c r="U629">
        <f>IF(ISNUMBER(SEARCH('1Př1'!$A$36,N629)),MAX($M$2:M628)+1,0)</f>
        <v>627</v>
      </c>
      <c r="V629" s="419" t="s">
        <v>2793</v>
      </c>
      <c r="W629" t="str">
        <f>IFERROR(VLOOKUP(ROWS($W$3:W629),$U$3:$V$992,2,0),"")</f>
        <v>Velkoobchod s květinami a jinými rostlinami</v>
      </c>
      <c r="X629">
        <f>IF(ISNUMBER(SEARCH('1Př1'!$A$37,N629)),MAX($M$2:M628)+1,0)</f>
        <v>627</v>
      </c>
      <c r="Y629" s="419" t="s">
        <v>2793</v>
      </c>
      <c r="Z629" t="str">
        <f>IFERROR(VLOOKUP(ROWS($Z$3:Z629),$X$3:$Y$992,2,0),"")</f>
        <v>Velkoobchod s květinami a jinými rostlinami</v>
      </c>
    </row>
    <row r="630" spans="13:26" ht="12.75">
      <c r="M630" s="418">
        <f>IF(ISNUMBER(SEARCH(ZAKL_DATA!$B$29,N630)),MAX($M$2:M629)+1,0)</f>
        <v>628</v>
      </c>
      <c r="N630" s="419" t="s">
        <v>2795</v>
      </c>
      <c r="O630" s="436" t="s">
        <v>2796</v>
      </c>
      <c r="P630" s="421"/>
      <c r="Q630" s="422" t="str">
        <f>IFERROR(VLOOKUP(ROWS($Q$3:Q630),$M$3:$N$992,2,0),"")</f>
        <v>Velkoobchod s živými zvířaty</v>
      </c>
      <c r="R630">
        <f>IF(ISNUMBER(SEARCH('1Př1'!$A$35,N630)),MAX($M$2:M629)+1,0)</f>
        <v>628</v>
      </c>
      <c r="S630" s="419" t="s">
        <v>2795</v>
      </c>
      <c r="T630" t="str">
        <f>IFERROR(VLOOKUP(ROWS($T$3:T630),$R$3:$S$992,2,0),"")</f>
        <v>Velkoobchod s živými zvířaty</v>
      </c>
      <c r="U630">
        <f>IF(ISNUMBER(SEARCH('1Př1'!$A$36,N630)),MAX($M$2:M629)+1,0)</f>
        <v>628</v>
      </c>
      <c r="V630" s="419" t="s">
        <v>2795</v>
      </c>
      <c r="W630" t="str">
        <f>IFERROR(VLOOKUP(ROWS($W$3:W630),$U$3:$V$992,2,0),"")</f>
        <v>Velkoobchod s živými zvířaty</v>
      </c>
      <c r="X630">
        <f>IF(ISNUMBER(SEARCH('1Př1'!$A$37,N630)),MAX($M$2:M629)+1,0)</f>
        <v>628</v>
      </c>
      <c r="Y630" s="419" t="s">
        <v>2795</v>
      </c>
      <c r="Z630" t="str">
        <f>IFERROR(VLOOKUP(ROWS($Z$3:Z630),$X$3:$Y$992,2,0),"")</f>
        <v>Velkoobchod s živými zvířaty</v>
      </c>
    </row>
    <row r="631" spans="13:26" ht="12.75">
      <c r="M631" s="418">
        <f>IF(ISNUMBER(SEARCH(ZAKL_DATA!$B$29,N631)),MAX($M$2:M630)+1,0)</f>
        <v>629</v>
      </c>
      <c r="N631" s="419" t="s">
        <v>2797</v>
      </c>
      <c r="O631" s="436" t="s">
        <v>2798</v>
      </c>
      <c r="P631" s="421"/>
      <c r="Q631" s="422" t="str">
        <f>IFERROR(VLOOKUP(ROWS($Q$3:Q631),$M$3:$N$992,2,0),"")</f>
        <v>Velkoobchod se surovými kůžemi, kožešinami a usněmi</v>
      </c>
      <c r="R631">
        <f>IF(ISNUMBER(SEARCH('1Př1'!$A$35,N631)),MAX($M$2:M630)+1,0)</f>
        <v>629</v>
      </c>
      <c r="S631" s="419" t="s">
        <v>2797</v>
      </c>
      <c r="T631" t="str">
        <f>IFERROR(VLOOKUP(ROWS($T$3:T631),$R$3:$S$992,2,0),"")</f>
        <v>Velkoobchod se surovými kůžemi, kožešinami a usněmi</v>
      </c>
      <c r="U631">
        <f>IF(ISNUMBER(SEARCH('1Př1'!$A$36,N631)),MAX($M$2:M630)+1,0)</f>
        <v>629</v>
      </c>
      <c r="V631" s="419" t="s">
        <v>2797</v>
      </c>
      <c r="W631" t="str">
        <f>IFERROR(VLOOKUP(ROWS($W$3:W631),$U$3:$V$992,2,0),"")</f>
        <v>Velkoobchod se surovými kůžemi, kožešinami a usněmi</v>
      </c>
      <c r="X631">
        <f>IF(ISNUMBER(SEARCH('1Př1'!$A$37,N631)),MAX($M$2:M630)+1,0)</f>
        <v>629</v>
      </c>
      <c r="Y631" s="419" t="s">
        <v>2797</v>
      </c>
      <c r="Z631" t="str">
        <f>IFERROR(VLOOKUP(ROWS($Z$3:Z631),$X$3:$Y$992,2,0),"")</f>
        <v>Velkoobchod se surovými kůžemi, kožešinami a usněmi</v>
      </c>
    </row>
    <row r="632" spans="13:26" ht="12.75">
      <c r="M632" s="418">
        <f>IF(ISNUMBER(SEARCH(ZAKL_DATA!$B$29,N632)),MAX($M$2:M631)+1,0)</f>
        <v>630</v>
      </c>
      <c r="N632" s="419" t="s">
        <v>2799</v>
      </c>
      <c r="O632" s="436" t="s">
        <v>2800</v>
      </c>
      <c r="P632" s="421"/>
      <c r="Q632" s="422" t="str">
        <f>IFERROR(VLOOKUP(ROWS($Q$3:Q632),$M$3:$N$992,2,0),"")</f>
        <v>Velkoobchod s ovocem a zeleninou</v>
      </c>
      <c r="R632">
        <f>IF(ISNUMBER(SEARCH('1Př1'!$A$35,N632)),MAX($M$2:M631)+1,0)</f>
        <v>630</v>
      </c>
      <c r="S632" s="419" t="s">
        <v>2799</v>
      </c>
      <c r="T632" t="str">
        <f>IFERROR(VLOOKUP(ROWS($T$3:T632),$R$3:$S$992,2,0),"")</f>
        <v>Velkoobchod s ovocem a zeleninou</v>
      </c>
      <c r="U632">
        <f>IF(ISNUMBER(SEARCH('1Př1'!$A$36,N632)),MAX($M$2:M631)+1,0)</f>
        <v>630</v>
      </c>
      <c r="V632" s="419" t="s">
        <v>2799</v>
      </c>
      <c r="W632" t="str">
        <f>IFERROR(VLOOKUP(ROWS($W$3:W632),$U$3:$V$992,2,0),"")</f>
        <v>Velkoobchod s ovocem a zeleninou</v>
      </c>
      <c r="X632">
        <f>IF(ISNUMBER(SEARCH('1Př1'!$A$37,N632)),MAX($M$2:M631)+1,0)</f>
        <v>630</v>
      </c>
      <c r="Y632" s="419" t="s">
        <v>2799</v>
      </c>
      <c r="Z632" t="str">
        <f>IFERROR(VLOOKUP(ROWS($Z$3:Z632),$X$3:$Y$992,2,0),"")</f>
        <v>Velkoobchod s ovocem a zeleninou</v>
      </c>
    </row>
    <row r="633" spans="13:26" ht="12.75">
      <c r="M633" s="418">
        <f>IF(ISNUMBER(SEARCH(ZAKL_DATA!$B$29,N633)),MAX($M$2:M632)+1,0)</f>
        <v>631</v>
      </c>
      <c r="N633" s="419" t="s">
        <v>2801</v>
      </c>
      <c r="O633" s="436" t="s">
        <v>2802</v>
      </c>
      <c r="P633" s="421"/>
      <c r="Q633" s="422" t="str">
        <f>IFERROR(VLOOKUP(ROWS($Q$3:Q633),$M$3:$N$992,2,0),"")</f>
        <v>Velkoobchod s masem a masnými výrobky</v>
      </c>
      <c r="R633">
        <f>IF(ISNUMBER(SEARCH('1Př1'!$A$35,N633)),MAX($M$2:M632)+1,0)</f>
        <v>631</v>
      </c>
      <c r="S633" s="419" t="s">
        <v>2801</v>
      </c>
      <c r="T633" t="str">
        <f>IFERROR(VLOOKUP(ROWS($T$3:T633),$R$3:$S$992,2,0),"")</f>
        <v>Velkoobchod s masem a masnými výrobky</v>
      </c>
      <c r="U633">
        <f>IF(ISNUMBER(SEARCH('1Př1'!$A$36,N633)),MAX($M$2:M632)+1,0)</f>
        <v>631</v>
      </c>
      <c r="V633" s="419" t="s">
        <v>2801</v>
      </c>
      <c r="W633" t="str">
        <f>IFERROR(VLOOKUP(ROWS($W$3:W633),$U$3:$V$992,2,0),"")</f>
        <v>Velkoobchod s masem a masnými výrobky</v>
      </c>
      <c r="X633">
        <f>IF(ISNUMBER(SEARCH('1Př1'!$A$37,N633)),MAX($M$2:M632)+1,0)</f>
        <v>631</v>
      </c>
      <c r="Y633" s="419" t="s">
        <v>2801</v>
      </c>
      <c r="Z633" t="str">
        <f>IFERROR(VLOOKUP(ROWS($Z$3:Z633),$X$3:$Y$992,2,0),"")</f>
        <v>Velkoobchod s masem a masnými výrobky</v>
      </c>
    </row>
    <row r="634" spans="13:26" ht="12.75">
      <c r="M634" s="418">
        <f>IF(ISNUMBER(SEARCH(ZAKL_DATA!$B$29,N634)),MAX($M$2:M633)+1,0)</f>
        <v>632</v>
      </c>
      <c r="N634" s="419" t="s">
        <v>2803</v>
      </c>
      <c r="O634" s="436" t="s">
        <v>2804</v>
      </c>
      <c r="P634" s="421"/>
      <c r="Q634" s="422" t="str">
        <f>IFERROR(VLOOKUP(ROWS($Q$3:Q634),$M$3:$N$992,2,0),"")</f>
        <v>Velkoobchod s mléčnými výrobky, vejci, jedlými oleji a tuky</v>
      </c>
      <c r="R634">
        <f>IF(ISNUMBER(SEARCH('1Př1'!$A$35,N634)),MAX($M$2:M633)+1,0)</f>
        <v>632</v>
      </c>
      <c r="S634" s="419" t="s">
        <v>2803</v>
      </c>
      <c r="T634" t="str">
        <f>IFERROR(VLOOKUP(ROWS($T$3:T634),$R$3:$S$992,2,0),"")</f>
        <v>Velkoobchod s mléčnými výrobky, vejci, jedlými oleji a tuky</v>
      </c>
      <c r="U634">
        <f>IF(ISNUMBER(SEARCH('1Př1'!$A$36,N634)),MAX($M$2:M633)+1,0)</f>
        <v>632</v>
      </c>
      <c r="V634" s="419" t="s">
        <v>2803</v>
      </c>
      <c r="W634" t="str">
        <f>IFERROR(VLOOKUP(ROWS($W$3:W634),$U$3:$V$992,2,0),"")</f>
        <v>Velkoobchod s mléčnými výrobky, vejci, jedlými oleji a tuky</v>
      </c>
      <c r="X634">
        <f>IF(ISNUMBER(SEARCH('1Př1'!$A$37,N634)),MAX($M$2:M633)+1,0)</f>
        <v>632</v>
      </c>
      <c r="Y634" s="419" t="s">
        <v>2803</v>
      </c>
      <c r="Z634" t="str">
        <f>IFERROR(VLOOKUP(ROWS($Z$3:Z634),$X$3:$Y$992,2,0),"")</f>
        <v>Velkoobchod s mléčnými výrobky, vejci, jedlými oleji a tuky</v>
      </c>
    </row>
    <row r="635" spans="13:26" ht="12.75">
      <c r="M635" s="418">
        <f>IF(ISNUMBER(SEARCH(ZAKL_DATA!$B$29,N635)),MAX($M$2:M634)+1,0)</f>
        <v>633</v>
      </c>
      <c r="N635" s="419" t="s">
        <v>2805</v>
      </c>
      <c r="O635" s="436" t="s">
        <v>2806</v>
      </c>
      <c r="P635" s="421"/>
      <c r="Q635" s="422" t="str">
        <f>IFERROR(VLOOKUP(ROWS($Q$3:Q635),$M$3:$N$992,2,0),"")</f>
        <v>Velkoobchod s nápoji</v>
      </c>
      <c r="R635">
        <f>IF(ISNUMBER(SEARCH('1Př1'!$A$35,N635)),MAX($M$2:M634)+1,0)</f>
        <v>633</v>
      </c>
      <c r="S635" s="419" t="s">
        <v>2805</v>
      </c>
      <c r="T635" t="str">
        <f>IFERROR(VLOOKUP(ROWS($T$3:T635),$R$3:$S$992,2,0),"")</f>
        <v>Velkoobchod s nápoji</v>
      </c>
      <c r="U635">
        <f>IF(ISNUMBER(SEARCH('1Př1'!$A$36,N635)),MAX($M$2:M634)+1,0)</f>
        <v>633</v>
      </c>
      <c r="V635" s="419" t="s">
        <v>2805</v>
      </c>
      <c r="W635" t="str">
        <f>IFERROR(VLOOKUP(ROWS($W$3:W635),$U$3:$V$992,2,0),"")</f>
        <v>Velkoobchod s nápoji</v>
      </c>
      <c r="X635">
        <f>IF(ISNUMBER(SEARCH('1Př1'!$A$37,N635)),MAX($M$2:M634)+1,0)</f>
        <v>633</v>
      </c>
      <c r="Y635" s="419" t="s">
        <v>2805</v>
      </c>
      <c r="Z635" t="str">
        <f>IFERROR(VLOOKUP(ROWS($Z$3:Z635),$X$3:$Y$992,2,0),"")</f>
        <v>Velkoobchod s nápoji</v>
      </c>
    </row>
    <row r="636" spans="13:26" ht="12.75">
      <c r="M636" s="418">
        <f>IF(ISNUMBER(SEARCH(ZAKL_DATA!$B$29,N636)),MAX($M$2:M635)+1,0)</f>
        <v>634</v>
      </c>
      <c r="N636" s="419" t="s">
        <v>2807</v>
      </c>
      <c r="O636" s="436" t="s">
        <v>2808</v>
      </c>
      <c r="P636" s="421"/>
      <c r="Q636" s="422" t="str">
        <f>IFERROR(VLOOKUP(ROWS($Q$3:Q636),$M$3:$N$992,2,0),"")</f>
        <v>Velkoobchod s tabákovými výrobky</v>
      </c>
      <c r="R636">
        <f>IF(ISNUMBER(SEARCH('1Př1'!$A$35,N636)),MAX($M$2:M635)+1,0)</f>
        <v>634</v>
      </c>
      <c r="S636" s="419" t="s">
        <v>2807</v>
      </c>
      <c r="T636" t="str">
        <f>IFERROR(VLOOKUP(ROWS($T$3:T636),$R$3:$S$992,2,0),"")</f>
        <v>Velkoobchod s tabákovými výrobky</v>
      </c>
      <c r="U636">
        <f>IF(ISNUMBER(SEARCH('1Př1'!$A$36,N636)),MAX($M$2:M635)+1,0)</f>
        <v>634</v>
      </c>
      <c r="V636" s="419" t="s">
        <v>2807</v>
      </c>
      <c r="W636" t="str">
        <f>IFERROR(VLOOKUP(ROWS($W$3:W636),$U$3:$V$992,2,0),"")</f>
        <v>Velkoobchod s tabákovými výrobky</v>
      </c>
      <c r="X636">
        <f>IF(ISNUMBER(SEARCH('1Př1'!$A$37,N636)),MAX($M$2:M635)+1,0)</f>
        <v>634</v>
      </c>
      <c r="Y636" s="419" t="s">
        <v>2807</v>
      </c>
      <c r="Z636" t="str">
        <f>IFERROR(VLOOKUP(ROWS($Z$3:Z636),$X$3:$Y$992,2,0),"")</f>
        <v>Velkoobchod s tabákovými výrobky</v>
      </c>
    </row>
    <row r="637" spans="13:26" ht="12.75">
      <c r="M637" s="418">
        <f>IF(ISNUMBER(SEARCH(ZAKL_DATA!$B$29,N637)),MAX($M$2:M636)+1,0)</f>
        <v>635</v>
      </c>
      <c r="N637" s="419" t="s">
        <v>2809</v>
      </c>
      <c r="O637" s="436" t="s">
        <v>2810</v>
      </c>
      <c r="P637" s="421"/>
      <c r="Q637" s="422" t="str">
        <f>IFERROR(VLOOKUP(ROWS($Q$3:Q637),$M$3:$N$992,2,0),"")</f>
        <v>Velkoobchod s cukrem, čokoládou a cukrovinkami</v>
      </c>
      <c r="R637">
        <f>IF(ISNUMBER(SEARCH('1Př1'!$A$35,N637)),MAX($M$2:M636)+1,0)</f>
        <v>635</v>
      </c>
      <c r="S637" s="419" t="s">
        <v>2809</v>
      </c>
      <c r="T637" t="str">
        <f>IFERROR(VLOOKUP(ROWS($T$3:T637),$R$3:$S$992,2,0),"")</f>
        <v>Velkoobchod s cukrem, čokoládou a cukrovinkami</v>
      </c>
      <c r="U637">
        <f>IF(ISNUMBER(SEARCH('1Př1'!$A$36,N637)),MAX($M$2:M636)+1,0)</f>
        <v>635</v>
      </c>
      <c r="V637" s="419" t="s">
        <v>2809</v>
      </c>
      <c r="W637" t="str">
        <f>IFERROR(VLOOKUP(ROWS($W$3:W637),$U$3:$V$992,2,0),"")</f>
        <v>Velkoobchod s cukrem, čokoládou a cukrovinkami</v>
      </c>
      <c r="X637">
        <f>IF(ISNUMBER(SEARCH('1Př1'!$A$37,N637)),MAX($M$2:M636)+1,0)</f>
        <v>635</v>
      </c>
      <c r="Y637" s="419" t="s">
        <v>2809</v>
      </c>
      <c r="Z637" t="str">
        <f>IFERROR(VLOOKUP(ROWS($Z$3:Z637),$X$3:$Y$992,2,0),"")</f>
        <v>Velkoobchod s cukrem, čokoládou a cukrovinkami</v>
      </c>
    </row>
    <row r="638" spans="13:26" ht="12.75">
      <c r="M638" s="418">
        <f>IF(ISNUMBER(SEARCH(ZAKL_DATA!$B$29,N638)),MAX($M$2:M637)+1,0)</f>
        <v>636</v>
      </c>
      <c r="N638" s="419" t="s">
        <v>2811</v>
      </c>
      <c r="O638" s="436" t="s">
        <v>2812</v>
      </c>
      <c r="P638" s="421"/>
      <c r="Q638" s="422" t="str">
        <f>IFERROR(VLOOKUP(ROWS($Q$3:Q638),$M$3:$N$992,2,0),"")</f>
        <v>Velkoobchod s kávou, čajem, kakaem a kořením</v>
      </c>
      <c r="R638">
        <f>IF(ISNUMBER(SEARCH('1Př1'!$A$35,N638)),MAX($M$2:M637)+1,0)</f>
        <v>636</v>
      </c>
      <c r="S638" s="419" t="s">
        <v>2811</v>
      </c>
      <c r="T638" t="str">
        <f>IFERROR(VLOOKUP(ROWS($T$3:T638),$R$3:$S$992,2,0),"")</f>
        <v>Velkoobchod s kávou, čajem, kakaem a kořením</v>
      </c>
      <c r="U638">
        <f>IF(ISNUMBER(SEARCH('1Př1'!$A$36,N638)),MAX($M$2:M637)+1,0)</f>
        <v>636</v>
      </c>
      <c r="V638" s="419" t="s">
        <v>2811</v>
      </c>
      <c r="W638" t="str">
        <f>IFERROR(VLOOKUP(ROWS($W$3:W638),$U$3:$V$992,2,0),"")</f>
        <v>Velkoobchod s kávou, čajem, kakaem a kořením</v>
      </c>
      <c r="X638">
        <f>IF(ISNUMBER(SEARCH('1Př1'!$A$37,N638)),MAX($M$2:M637)+1,0)</f>
        <v>636</v>
      </c>
      <c r="Y638" s="419" t="s">
        <v>2811</v>
      </c>
      <c r="Z638" t="str">
        <f>IFERROR(VLOOKUP(ROWS($Z$3:Z638),$X$3:$Y$992,2,0),"")</f>
        <v>Velkoobchod s kávou, čajem, kakaem a kořením</v>
      </c>
    </row>
    <row r="639" spans="13:26" ht="12.75">
      <c r="M639" s="418">
        <f>IF(ISNUMBER(SEARCH(ZAKL_DATA!$B$29,N639)),MAX($M$2:M638)+1,0)</f>
        <v>637</v>
      </c>
      <c r="N639" s="419" t="s">
        <v>2813</v>
      </c>
      <c r="O639" s="436" t="s">
        <v>2814</v>
      </c>
      <c r="P639" s="421"/>
      <c r="Q639" s="422" t="str">
        <f>IFERROR(VLOOKUP(ROWS($Q$3:Q639),$M$3:$N$992,2,0),"")</f>
        <v>Specializ.velkoobchod s jinými potravinami,včetně ryb,korýšů a měkkýšů</v>
      </c>
      <c r="R639">
        <f>IF(ISNUMBER(SEARCH('1Př1'!$A$35,N639)),MAX($M$2:M638)+1,0)</f>
        <v>637</v>
      </c>
      <c r="S639" s="419" t="s">
        <v>2813</v>
      </c>
      <c r="T639" t="str">
        <f>IFERROR(VLOOKUP(ROWS($T$3:T639),$R$3:$S$992,2,0),"")</f>
        <v>Specializ.velkoobchod s jinými potravinami,včetně ryb,korýšů a měkkýšů</v>
      </c>
      <c r="U639">
        <f>IF(ISNUMBER(SEARCH('1Př1'!$A$36,N639)),MAX($M$2:M638)+1,0)</f>
        <v>637</v>
      </c>
      <c r="V639" s="419" t="s">
        <v>2813</v>
      </c>
      <c r="W639" t="str">
        <f>IFERROR(VLOOKUP(ROWS($W$3:W639),$U$3:$V$992,2,0),"")</f>
        <v>Specializ.velkoobchod s jinými potravinami,včetně ryb,korýšů a měkkýšů</v>
      </c>
      <c r="X639">
        <f>IF(ISNUMBER(SEARCH('1Př1'!$A$37,N639)),MAX($M$2:M638)+1,0)</f>
        <v>637</v>
      </c>
      <c r="Y639" s="419" t="s">
        <v>2813</v>
      </c>
      <c r="Z639" t="str">
        <f>IFERROR(VLOOKUP(ROWS($Z$3:Z639),$X$3:$Y$992,2,0),"")</f>
        <v>Specializ.velkoobchod s jinými potravinami,včetně ryb,korýšů a měkkýšů</v>
      </c>
    </row>
    <row r="640" spans="13:26" ht="12.75">
      <c r="M640" s="418">
        <f>IF(ISNUMBER(SEARCH(ZAKL_DATA!$B$29,N640)),MAX($M$2:M639)+1,0)</f>
        <v>638</v>
      </c>
      <c r="N640" s="419" t="s">
        <v>2815</v>
      </c>
      <c r="O640" s="436" t="s">
        <v>2816</v>
      </c>
      <c r="P640" s="421"/>
      <c r="Q640" s="422" t="str">
        <f>IFERROR(VLOOKUP(ROWS($Q$3:Q640),$M$3:$N$992,2,0),"")</f>
        <v>Nespecializovaný velkoobchod s potravinami,nápoji a tabákovými výroby</v>
      </c>
      <c r="R640">
        <f>IF(ISNUMBER(SEARCH('1Př1'!$A$35,N640)),MAX($M$2:M639)+1,0)</f>
        <v>638</v>
      </c>
      <c r="S640" s="419" t="s">
        <v>2815</v>
      </c>
      <c r="T640" t="str">
        <f>IFERROR(VLOOKUP(ROWS($T$3:T640),$R$3:$S$992,2,0),"")</f>
        <v>Nespecializovaný velkoobchod s potravinami,nápoji a tabákovými výroby</v>
      </c>
      <c r="U640">
        <f>IF(ISNUMBER(SEARCH('1Př1'!$A$36,N640)),MAX($M$2:M639)+1,0)</f>
        <v>638</v>
      </c>
      <c r="V640" s="419" t="s">
        <v>2815</v>
      </c>
      <c r="W640" t="str">
        <f>IFERROR(VLOOKUP(ROWS($W$3:W640),$U$3:$V$992,2,0),"")</f>
        <v>Nespecializovaný velkoobchod s potravinami,nápoji a tabákovými výroby</v>
      </c>
      <c r="X640">
        <f>IF(ISNUMBER(SEARCH('1Př1'!$A$37,N640)),MAX($M$2:M639)+1,0)</f>
        <v>638</v>
      </c>
      <c r="Y640" s="419" t="s">
        <v>2815</v>
      </c>
      <c r="Z640" t="str">
        <f>IFERROR(VLOOKUP(ROWS($Z$3:Z640),$X$3:$Y$992,2,0),"")</f>
        <v>Nespecializovaný velkoobchod s potravinami,nápoji a tabákovými výroby</v>
      </c>
    </row>
    <row r="641" spans="13:26" ht="12.75">
      <c r="M641" s="418">
        <f>IF(ISNUMBER(SEARCH(ZAKL_DATA!$B$29,N641)),MAX($M$2:M640)+1,0)</f>
        <v>639</v>
      </c>
      <c r="N641" s="419" t="s">
        <v>2817</v>
      </c>
      <c r="O641" s="436" t="s">
        <v>2818</v>
      </c>
      <c r="P641" s="421"/>
      <c r="Q641" s="422" t="str">
        <f>IFERROR(VLOOKUP(ROWS($Q$3:Q641),$M$3:$N$992,2,0),"")</f>
        <v>Velkoobchod s textilem</v>
      </c>
      <c r="R641">
        <f>IF(ISNUMBER(SEARCH('1Př1'!$A$35,N641)),MAX($M$2:M640)+1,0)</f>
        <v>639</v>
      </c>
      <c r="S641" s="419" t="s">
        <v>2817</v>
      </c>
      <c r="T641" t="str">
        <f>IFERROR(VLOOKUP(ROWS($T$3:T641),$R$3:$S$992,2,0),"")</f>
        <v>Velkoobchod s textilem</v>
      </c>
      <c r="U641">
        <f>IF(ISNUMBER(SEARCH('1Př1'!$A$36,N641)),MAX($M$2:M640)+1,0)</f>
        <v>639</v>
      </c>
      <c r="V641" s="419" t="s">
        <v>2817</v>
      </c>
      <c r="W641" t="str">
        <f>IFERROR(VLOOKUP(ROWS($W$3:W641),$U$3:$V$992,2,0),"")</f>
        <v>Velkoobchod s textilem</v>
      </c>
      <c r="X641">
        <f>IF(ISNUMBER(SEARCH('1Př1'!$A$37,N641)),MAX($M$2:M640)+1,0)</f>
        <v>639</v>
      </c>
      <c r="Y641" s="419" t="s">
        <v>2817</v>
      </c>
      <c r="Z641" t="str">
        <f>IFERROR(VLOOKUP(ROWS($Z$3:Z641),$X$3:$Y$992,2,0),"")</f>
        <v>Velkoobchod s textilem</v>
      </c>
    </row>
    <row r="642" spans="13:26" ht="12.75">
      <c r="M642" s="418">
        <f>IF(ISNUMBER(SEARCH(ZAKL_DATA!$B$29,N642)),MAX($M$2:M641)+1,0)</f>
        <v>640</v>
      </c>
      <c r="N642" s="419" t="s">
        <v>2819</v>
      </c>
      <c r="O642" s="436" t="s">
        <v>2820</v>
      </c>
      <c r="P642" s="421"/>
      <c r="Q642" s="422" t="str">
        <f>IFERROR(VLOOKUP(ROWS($Q$3:Q642),$M$3:$N$992,2,0),"")</f>
        <v>Velkoobchod s oděvy a obuví</v>
      </c>
      <c r="R642">
        <f>IF(ISNUMBER(SEARCH('1Př1'!$A$35,N642)),MAX($M$2:M641)+1,0)</f>
        <v>640</v>
      </c>
      <c r="S642" s="419" t="s">
        <v>2819</v>
      </c>
      <c r="T642" t="str">
        <f>IFERROR(VLOOKUP(ROWS($T$3:T642),$R$3:$S$992,2,0),"")</f>
        <v>Velkoobchod s oděvy a obuví</v>
      </c>
      <c r="U642">
        <f>IF(ISNUMBER(SEARCH('1Př1'!$A$36,N642)),MAX($M$2:M641)+1,0)</f>
        <v>640</v>
      </c>
      <c r="V642" s="419" t="s">
        <v>2819</v>
      </c>
      <c r="W642" t="str">
        <f>IFERROR(VLOOKUP(ROWS($W$3:W642),$U$3:$V$992,2,0),"")</f>
        <v>Velkoobchod s oděvy a obuví</v>
      </c>
      <c r="X642">
        <f>IF(ISNUMBER(SEARCH('1Př1'!$A$37,N642)),MAX($M$2:M641)+1,0)</f>
        <v>640</v>
      </c>
      <c r="Y642" s="419" t="s">
        <v>2819</v>
      </c>
      <c r="Z642" t="str">
        <f>IFERROR(VLOOKUP(ROWS($Z$3:Z642),$X$3:$Y$992,2,0),"")</f>
        <v>Velkoobchod s oděvy a obuví</v>
      </c>
    </row>
    <row r="643" spans="13:26" ht="12.75">
      <c r="M643" s="418">
        <f>IF(ISNUMBER(SEARCH(ZAKL_DATA!$B$29,N643)),MAX($M$2:M642)+1,0)</f>
        <v>641</v>
      </c>
      <c r="N643" s="419" t="s">
        <v>2821</v>
      </c>
      <c r="O643" s="436" t="s">
        <v>2822</v>
      </c>
      <c r="P643" s="421"/>
      <c r="Q643" s="422" t="str">
        <f>IFERROR(VLOOKUP(ROWS($Q$3:Q643),$M$3:$N$992,2,0),"")</f>
        <v>Velkoobchod s elektrospotřebiči a elektronikou</v>
      </c>
      <c r="R643">
        <f>IF(ISNUMBER(SEARCH('1Př1'!$A$35,N643)),MAX($M$2:M642)+1,0)</f>
        <v>641</v>
      </c>
      <c r="S643" s="419" t="s">
        <v>2821</v>
      </c>
      <c r="T643" t="str">
        <f>IFERROR(VLOOKUP(ROWS($T$3:T643),$R$3:$S$992,2,0),"")</f>
        <v>Velkoobchod s elektrospotřebiči a elektronikou</v>
      </c>
      <c r="U643">
        <f>IF(ISNUMBER(SEARCH('1Př1'!$A$36,N643)),MAX($M$2:M642)+1,0)</f>
        <v>641</v>
      </c>
      <c r="V643" s="419" t="s">
        <v>2821</v>
      </c>
      <c r="W643" t="str">
        <f>IFERROR(VLOOKUP(ROWS($W$3:W643),$U$3:$V$992,2,0),"")</f>
        <v>Velkoobchod s elektrospotřebiči a elektronikou</v>
      </c>
      <c r="X643">
        <f>IF(ISNUMBER(SEARCH('1Př1'!$A$37,N643)),MAX($M$2:M642)+1,0)</f>
        <v>641</v>
      </c>
      <c r="Y643" s="419" t="s">
        <v>2821</v>
      </c>
      <c r="Z643" t="str">
        <f>IFERROR(VLOOKUP(ROWS($Z$3:Z643),$X$3:$Y$992,2,0),"")</f>
        <v>Velkoobchod s elektrospotřebiči a elektronikou</v>
      </c>
    </row>
    <row r="644" spans="13:26" ht="12.75">
      <c r="M644" s="418">
        <f>IF(ISNUMBER(SEARCH(ZAKL_DATA!$B$29,N644)),MAX($M$2:M643)+1,0)</f>
        <v>642</v>
      </c>
      <c r="N644" s="419" t="s">
        <v>2823</v>
      </c>
      <c r="O644" s="436" t="s">
        <v>2824</v>
      </c>
      <c r="P644" s="421"/>
      <c r="Q644" s="422" t="str">
        <f>IFERROR(VLOOKUP(ROWS($Q$3:Q644),$M$3:$N$992,2,0),"")</f>
        <v>Velkoobchod s porcelán.,keram.a skleněnými výrobky a čisticími prostř.</v>
      </c>
      <c r="R644">
        <f>IF(ISNUMBER(SEARCH('1Př1'!$A$35,N644)),MAX($M$2:M643)+1,0)</f>
        <v>642</v>
      </c>
      <c r="S644" s="419" t="s">
        <v>2823</v>
      </c>
      <c r="T644" t="str">
        <f>IFERROR(VLOOKUP(ROWS($T$3:T644),$R$3:$S$992,2,0),"")</f>
        <v>Velkoobchod s porcelán.,keram.a skleněnými výrobky a čisticími prostř.</v>
      </c>
      <c r="U644">
        <f>IF(ISNUMBER(SEARCH('1Př1'!$A$36,N644)),MAX($M$2:M643)+1,0)</f>
        <v>642</v>
      </c>
      <c r="V644" s="419" t="s">
        <v>2823</v>
      </c>
      <c r="W644" t="str">
        <f>IFERROR(VLOOKUP(ROWS($W$3:W644),$U$3:$V$992,2,0),"")</f>
        <v>Velkoobchod s porcelán.,keram.a skleněnými výrobky a čisticími prostř.</v>
      </c>
      <c r="X644">
        <f>IF(ISNUMBER(SEARCH('1Př1'!$A$37,N644)),MAX($M$2:M643)+1,0)</f>
        <v>642</v>
      </c>
      <c r="Y644" s="419" t="s">
        <v>2823</v>
      </c>
      <c r="Z644" t="str">
        <f>IFERROR(VLOOKUP(ROWS($Z$3:Z644),$X$3:$Y$992,2,0),"")</f>
        <v>Velkoobchod s porcelán.,keram.a skleněnými výrobky a čisticími prostř.</v>
      </c>
    </row>
    <row r="645" spans="13:26" ht="12.75">
      <c r="M645" s="418">
        <f>IF(ISNUMBER(SEARCH(ZAKL_DATA!$B$29,N645)),MAX($M$2:M644)+1,0)</f>
        <v>643</v>
      </c>
      <c r="N645" s="419" t="s">
        <v>2825</v>
      </c>
      <c r="O645" s="436" t="s">
        <v>2826</v>
      </c>
      <c r="P645" s="421"/>
      <c r="Q645" s="422" t="str">
        <f>IFERROR(VLOOKUP(ROWS($Q$3:Q645),$M$3:$N$992,2,0),"")</f>
        <v>Velkoobchod s kosmetickými výrobky</v>
      </c>
      <c r="R645">
        <f>IF(ISNUMBER(SEARCH('1Př1'!$A$35,N645)),MAX($M$2:M644)+1,0)</f>
        <v>643</v>
      </c>
      <c r="S645" s="419" t="s">
        <v>2825</v>
      </c>
      <c r="T645" t="str">
        <f>IFERROR(VLOOKUP(ROWS($T$3:T645),$R$3:$S$992,2,0),"")</f>
        <v>Velkoobchod s kosmetickými výrobky</v>
      </c>
      <c r="U645">
        <f>IF(ISNUMBER(SEARCH('1Př1'!$A$36,N645)),MAX($M$2:M644)+1,0)</f>
        <v>643</v>
      </c>
      <c r="V645" s="419" t="s">
        <v>2825</v>
      </c>
      <c r="W645" t="str">
        <f>IFERROR(VLOOKUP(ROWS($W$3:W645),$U$3:$V$992,2,0),"")</f>
        <v>Velkoobchod s kosmetickými výrobky</v>
      </c>
      <c r="X645">
        <f>IF(ISNUMBER(SEARCH('1Př1'!$A$37,N645)),MAX($M$2:M644)+1,0)</f>
        <v>643</v>
      </c>
      <c r="Y645" s="419" t="s">
        <v>2825</v>
      </c>
      <c r="Z645" t="str">
        <f>IFERROR(VLOOKUP(ROWS($Z$3:Z645),$X$3:$Y$992,2,0),"")</f>
        <v>Velkoobchod s kosmetickými výrobky</v>
      </c>
    </row>
    <row r="646" spans="13:26" ht="12.75">
      <c r="M646" s="418">
        <f>IF(ISNUMBER(SEARCH(ZAKL_DATA!$B$29,N646)),MAX($M$2:M645)+1,0)</f>
        <v>644</v>
      </c>
      <c r="N646" s="419" t="s">
        <v>2827</v>
      </c>
      <c r="O646" s="436" t="s">
        <v>2828</v>
      </c>
      <c r="P646" s="421"/>
      <c r="Q646" s="422" t="str">
        <f>IFERROR(VLOOKUP(ROWS($Q$3:Q646),$M$3:$N$992,2,0),"")</f>
        <v>Velkoobchod s farmaceutickými výrobky</v>
      </c>
      <c r="R646">
        <f>IF(ISNUMBER(SEARCH('1Př1'!$A$35,N646)),MAX($M$2:M645)+1,0)</f>
        <v>644</v>
      </c>
      <c r="S646" s="419" t="s">
        <v>2827</v>
      </c>
      <c r="T646" t="str">
        <f>IFERROR(VLOOKUP(ROWS($T$3:T646),$R$3:$S$992,2,0),"")</f>
        <v>Velkoobchod s farmaceutickými výrobky</v>
      </c>
      <c r="U646">
        <f>IF(ISNUMBER(SEARCH('1Př1'!$A$36,N646)),MAX($M$2:M645)+1,0)</f>
        <v>644</v>
      </c>
      <c r="V646" s="419" t="s">
        <v>2827</v>
      </c>
      <c r="W646" t="str">
        <f>IFERROR(VLOOKUP(ROWS($W$3:W646),$U$3:$V$992,2,0),"")</f>
        <v>Velkoobchod s farmaceutickými výrobky</v>
      </c>
      <c r="X646">
        <f>IF(ISNUMBER(SEARCH('1Př1'!$A$37,N646)),MAX($M$2:M645)+1,0)</f>
        <v>644</v>
      </c>
      <c r="Y646" s="419" t="s">
        <v>2827</v>
      </c>
      <c r="Z646" t="str">
        <f>IFERROR(VLOOKUP(ROWS($Z$3:Z646),$X$3:$Y$992,2,0),"")</f>
        <v>Velkoobchod s farmaceutickými výrobky</v>
      </c>
    </row>
    <row r="647" spans="13:26" ht="12.75">
      <c r="M647" s="418">
        <f>IF(ISNUMBER(SEARCH(ZAKL_DATA!$B$29,N647)),MAX($M$2:M646)+1,0)</f>
        <v>645</v>
      </c>
      <c r="N647" s="419" t="s">
        <v>2829</v>
      </c>
      <c r="O647" s="436" t="s">
        <v>2830</v>
      </c>
      <c r="P647" s="421"/>
      <c r="Q647" s="422" t="str">
        <f>IFERROR(VLOOKUP(ROWS($Q$3:Q647),$M$3:$N$992,2,0),"")</f>
        <v>Velkoobchod s nábytkem, koberci a svítidly</v>
      </c>
      <c r="R647">
        <f>IF(ISNUMBER(SEARCH('1Př1'!$A$35,N647)),MAX($M$2:M646)+1,0)</f>
        <v>645</v>
      </c>
      <c r="S647" s="419" t="s">
        <v>2829</v>
      </c>
      <c r="T647" t="str">
        <f>IFERROR(VLOOKUP(ROWS($T$3:T647),$R$3:$S$992,2,0),"")</f>
        <v>Velkoobchod s nábytkem, koberci a svítidly</v>
      </c>
      <c r="U647">
        <f>IF(ISNUMBER(SEARCH('1Př1'!$A$36,N647)),MAX($M$2:M646)+1,0)</f>
        <v>645</v>
      </c>
      <c r="V647" s="419" t="s">
        <v>2829</v>
      </c>
      <c r="W647" t="str">
        <f>IFERROR(VLOOKUP(ROWS($W$3:W647),$U$3:$V$992,2,0),"")</f>
        <v>Velkoobchod s nábytkem, koberci a svítidly</v>
      </c>
      <c r="X647">
        <f>IF(ISNUMBER(SEARCH('1Př1'!$A$37,N647)),MAX($M$2:M646)+1,0)</f>
        <v>645</v>
      </c>
      <c r="Y647" s="419" t="s">
        <v>2829</v>
      </c>
      <c r="Z647" t="str">
        <f>IFERROR(VLOOKUP(ROWS($Z$3:Z647),$X$3:$Y$992,2,0),"")</f>
        <v>Velkoobchod s nábytkem, koberci a svítidly</v>
      </c>
    </row>
    <row r="648" spans="13:26" ht="12.75">
      <c r="M648" s="418">
        <f>IF(ISNUMBER(SEARCH(ZAKL_DATA!$B$29,N648)),MAX($M$2:M647)+1,0)</f>
        <v>646</v>
      </c>
      <c r="N648" s="419" t="s">
        <v>2831</v>
      </c>
      <c r="O648" s="436" t="s">
        <v>2832</v>
      </c>
      <c r="P648" s="421"/>
      <c r="Q648" s="422" t="str">
        <f>IFERROR(VLOOKUP(ROWS($Q$3:Q648),$M$3:$N$992,2,0),"")</f>
        <v>Velkoobchod s hodinami, hodinkami a klenoty</v>
      </c>
      <c r="R648">
        <f>IF(ISNUMBER(SEARCH('1Př1'!$A$35,N648)),MAX($M$2:M647)+1,0)</f>
        <v>646</v>
      </c>
      <c r="S648" s="419" t="s">
        <v>2831</v>
      </c>
      <c r="T648" t="str">
        <f>IFERROR(VLOOKUP(ROWS($T$3:T648),$R$3:$S$992,2,0),"")</f>
        <v>Velkoobchod s hodinami, hodinkami a klenoty</v>
      </c>
      <c r="U648">
        <f>IF(ISNUMBER(SEARCH('1Př1'!$A$36,N648)),MAX($M$2:M647)+1,0)</f>
        <v>646</v>
      </c>
      <c r="V648" s="419" t="s">
        <v>2831</v>
      </c>
      <c r="W648" t="str">
        <f>IFERROR(VLOOKUP(ROWS($W$3:W648),$U$3:$V$992,2,0),"")</f>
        <v>Velkoobchod s hodinami, hodinkami a klenoty</v>
      </c>
      <c r="X648">
        <f>IF(ISNUMBER(SEARCH('1Př1'!$A$37,N648)),MAX($M$2:M647)+1,0)</f>
        <v>646</v>
      </c>
      <c r="Y648" s="419" t="s">
        <v>2831</v>
      </c>
      <c r="Z648" t="str">
        <f>IFERROR(VLOOKUP(ROWS($Z$3:Z648),$X$3:$Y$992,2,0),"")</f>
        <v>Velkoobchod s hodinami, hodinkami a klenoty</v>
      </c>
    </row>
    <row r="649" spans="13:26" ht="12.75">
      <c r="M649" s="418">
        <f>IF(ISNUMBER(SEARCH(ZAKL_DATA!$B$29,N649)),MAX($M$2:M648)+1,0)</f>
        <v>647</v>
      </c>
      <c r="N649" s="419" t="s">
        <v>2833</v>
      </c>
      <c r="O649" s="436" t="s">
        <v>2834</v>
      </c>
      <c r="P649" s="421"/>
      <c r="Q649" s="422" t="str">
        <f>IFERROR(VLOOKUP(ROWS($Q$3:Q649),$M$3:$N$992,2,0),"")</f>
        <v>Velkoobchod s ostatními výrobky převážně pro domácnost</v>
      </c>
      <c r="R649">
        <f>IF(ISNUMBER(SEARCH('1Př1'!$A$35,N649)),MAX($M$2:M648)+1,0)</f>
        <v>647</v>
      </c>
      <c r="S649" s="419" t="s">
        <v>2833</v>
      </c>
      <c r="T649" t="str">
        <f>IFERROR(VLOOKUP(ROWS($T$3:T649),$R$3:$S$992,2,0),"")</f>
        <v>Velkoobchod s ostatními výrobky převážně pro domácnost</v>
      </c>
      <c r="U649">
        <f>IF(ISNUMBER(SEARCH('1Př1'!$A$36,N649)),MAX($M$2:M648)+1,0)</f>
        <v>647</v>
      </c>
      <c r="V649" s="419" t="s">
        <v>2833</v>
      </c>
      <c r="W649" t="str">
        <f>IFERROR(VLOOKUP(ROWS($W$3:W649),$U$3:$V$992,2,0),"")</f>
        <v>Velkoobchod s ostatními výrobky převážně pro domácnost</v>
      </c>
      <c r="X649">
        <f>IF(ISNUMBER(SEARCH('1Př1'!$A$37,N649)),MAX($M$2:M648)+1,0)</f>
        <v>647</v>
      </c>
      <c r="Y649" s="419" t="s">
        <v>2833</v>
      </c>
      <c r="Z649" t="str">
        <f>IFERROR(VLOOKUP(ROWS($Z$3:Z649),$X$3:$Y$992,2,0),"")</f>
        <v>Velkoobchod s ostatními výrobky převážně pro domácnost</v>
      </c>
    </row>
    <row r="650" spans="13:26" ht="12.75">
      <c r="M650" s="418">
        <f>IF(ISNUMBER(SEARCH(ZAKL_DATA!$B$29,N650)),MAX($M$2:M649)+1,0)</f>
        <v>648</v>
      </c>
      <c r="N650" s="419" t="s">
        <v>2835</v>
      </c>
      <c r="O650" s="436" t="s">
        <v>2836</v>
      </c>
      <c r="P650" s="421"/>
      <c r="Q650" s="422" t="str">
        <f>IFERROR(VLOOKUP(ROWS($Q$3:Q650),$M$3:$N$992,2,0),"")</f>
        <v>Velkoobchod s počítači, počítačovým periferním zařízením a softwarem</v>
      </c>
      <c r="R650">
        <f>IF(ISNUMBER(SEARCH('1Př1'!$A$35,N650)),MAX($M$2:M649)+1,0)</f>
        <v>648</v>
      </c>
      <c r="S650" s="419" t="s">
        <v>2835</v>
      </c>
      <c r="T650" t="str">
        <f>IFERROR(VLOOKUP(ROWS($T$3:T650),$R$3:$S$992,2,0),"")</f>
        <v>Velkoobchod s počítači, počítačovým periferním zařízením a softwarem</v>
      </c>
      <c r="U650">
        <f>IF(ISNUMBER(SEARCH('1Př1'!$A$36,N650)),MAX($M$2:M649)+1,0)</f>
        <v>648</v>
      </c>
      <c r="V650" s="419" t="s">
        <v>2835</v>
      </c>
      <c r="W650" t="str">
        <f>IFERROR(VLOOKUP(ROWS($W$3:W650),$U$3:$V$992,2,0),"")</f>
        <v>Velkoobchod s počítači, počítačovým periferním zařízením a softwarem</v>
      </c>
      <c r="X650">
        <f>IF(ISNUMBER(SEARCH('1Př1'!$A$37,N650)),MAX($M$2:M649)+1,0)</f>
        <v>648</v>
      </c>
      <c r="Y650" s="419" t="s">
        <v>2835</v>
      </c>
      <c r="Z650" t="str">
        <f>IFERROR(VLOOKUP(ROWS($Z$3:Z650),$X$3:$Y$992,2,0),"")</f>
        <v>Velkoobchod s počítači, počítačovým periferním zařízením a softwarem</v>
      </c>
    </row>
    <row r="651" spans="13:26" ht="12.75">
      <c r="M651" s="418">
        <f>IF(ISNUMBER(SEARCH(ZAKL_DATA!$B$29,N651)),MAX($M$2:M650)+1,0)</f>
        <v>649</v>
      </c>
      <c r="N651" s="419" t="s">
        <v>2837</v>
      </c>
      <c r="O651" s="436" t="s">
        <v>2838</v>
      </c>
      <c r="P651" s="421"/>
      <c r="Q651" s="422" t="str">
        <f>IFERROR(VLOOKUP(ROWS($Q$3:Q651),$M$3:$N$992,2,0),"")</f>
        <v>Velkoobchod s elektronickým a telekomunikačním zařízením a jeho díly</v>
      </c>
      <c r="R651">
        <f>IF(ISNUMBER(SEARCH('1Př1'!$A$35,N651)),MAX($M$2:M650)+1,0)</f>
        <v>649</v>
      </c>
      <c r="S651" s="419" t="s">
        <v>2837</v>
      </c>
      <c r="T651" t="str">
        <f>IFERROR(VLOOKUP(ROWS($T$3:T651),$R$3:$S$992,2,0),"")</f>
        <v>Velkoobchod s elektronickým a telekomunikačním zařízením a jeho díly</v>
      </c>
      <c r="U651">
        <f>IF(ISNUMBER(SEARCH('1Př1'!$A$36,N651)),MAX($M$2:M650)+1,0)</f>
        <v>649</v>
      </c>
      <c r="V651" s="419" t="s">
        <v>2837</v>
      </c>
      <c r="W651" t="str">
        <f>IFERROR(VLOOKUP(ROWS($W$3:W651),$U$3:$V$992,2,0),"")</f>
        <v>Velkoobchod s elektronickým a telekomunikačním zařízením a jeho díly</v>
      </c>
      <c r="X651">
        <f>IF(ISNUMBER(SEARCH('1Př1'!$A$37,N651)),MAX($M$2:M650)+1,0)</f>
        <v>649</v>
      </c>
      <c r="Y651" s="419" t="s">
        <v>2837</v>
      </c>
      <c r="Z651" t="str">
        <f>IFERROR(VLOOKUP(ROWS($Z$3:Z651),$X$3:$Y$992,2,0),"")</f>
        <v>Velkoobchod s elektronickým a telekomunikačním zařízením a jeho díly</v>
      </c>
    </row>
    <row r="652" spans="13:26" ht="12.75">
      <c r="M652" s="418">
        <f>IF(ISNUMBER(SEARCH(ZAKL_DATA!$B$29,N652)),MAX($M$2:M651)+1,0)</f>
        <v>650</v>
      </c>
      <c r="N652" s="419" t="s">
        <v>2839</v>
      </c>
      <c r="O652" s="436" t="s">
        <v>2840</v>
      </c>
      <c r="P652" s="421"/>
      <c r="Q652" s="422" t="str">
        <f>IFERROR(VLOOKUP(ROWS($Q$3:Q652),$M$3:$N$992,2,0),"")</f>
        <v>Velkoobchod se zemědělskými stroji, strojním zařízením a příslušenstvím</v>
      </c>
      <c r="R652">
        <f>IF(ISNUMBER(SEARCH('1Př1'!$A$35,N652)),MAX($M$2:M651)+1,0)</f>
        <v>650</v>
      </c>
      <c r="S652" s="419" t="s">
        <v>2839</v>
      </c>
      <c r="T652" t="str">
        <f>IFERROR(VLOOKUP(ROWS($T$3:T652),$R$3:$S$992,2,0),"")</f>
        <v>Velkoobchod se zemědělskými stroji, strojním zařízením a příslušenstvím</v>
      </c>
      <c r="U652">
        <f>IF(ISNUMBER(SEARCH('1Př1'!$A$36,N652)),MAX($M$2:M651)+1,0)</f>
        <v>650</v>
      </c>
      <c r="V652" s="419" t="s">
        <v>2839</v>
      </c>
      <c r="W652" t="str">
        <f>IFERROR(VLOOKUP(ROWS($W$3:W652),$U$3:$V$992,2,0),"")</f>
        <v>Velkoobchod se zemědělskými stroji, strojním zařízením a příslušenstvím</v>
      </c>
      <c r="X652">
        <f>IF(ISNUMBER(SEARCH('1Př1'!$A$37,N652)),MAX($M$2:M651)+1,0)</f>
        <v>650</v>
      </c>
      <c r="Y652" s="419" t="s">
        <v>2839</v>
      </c>
      <c r="Z652" t="str">
        <f>IFERROR(VLOOKUP(ROWS($Z$3:Z652),$X$3:$Y$992,2,0),"")</f>
        <v>Velkoobchod se zemědělskými stroji, strojním zařízením a příslušenstvím</v>
      </c>
    </row>
    <row r="653" spans="13:26" ht="12.75">
      <c r="M653" s="418">
        <f>IF(ISNUMBER(SEARCH(ZAKL_DATA!$B$29,N653)),MAX($M$2:M652)+1,0)</f>
        <v>651</v>
      </c>
      <c r="N653" s="419" t="s">
        <v>2841</v>
      </c>
      <c r="O653" s="436" t="s">
        <v>2842</v>
      </c>
      <c r="P653" s="421"/>
      <c r="Q653" s="422" t="str">
        <f>IFERROR(VLOOKUP(ROWS($Q$3:Q653),$M$3:$N$992,2,0),"")</f>
        <v>Velkoobchod s obráběcími stroji</v>
      </c>
      <c r="R653">
        <f>IF(ISNUMBER(SEARCH('1Př1'!$A$35,N653)),MAX($M$2:M652)+1,0)</f>
        <v>651</v>
      </c>
      <c r="S653" s="419" t="s">
        <v>2841</v>
      </c>
      <c r="T653" t="str">
        <f>IFERROR(VLOOKUP(ROWS($T$3:T653),$R$3:$S$992,2,0),"")</f>
        <v>Velkoobchod s obráběcími stroji</v>
      </c>
      <c r="U653">
        <f>IF(ISNUMBER(SEARCH('1Př1'!$A$36,N653)),MAX($M$2:M652)+1,0)</f>
        <v>651</v>
      </c>
      <c r="V653" s="419" t="s">
        <v>2841</v>
      </c>
      <c r="W653" t="str">
        <f>IFERROR(VLOOKUP(ROWS($W$3:W653),$U$3:$V$992,2,0),"")</f>
        <v>Velkoobchod s obráběcími stroji</v>
      </c>
      <c r="X653">
        <f>IF(ISNUMBER(SEARCH('1Př1'!$A$37,N653)),MAX($M$2:M652)+1,0)</f>
        <v>651</v>
      </c>
      <c r="Y653" s="419" t="s">
        <v>2841</v>
      </c>
      <c r="Z653" t="str">
        <f>IFERROR(VLOOKUP(ROWS($Z$3:Z653),$X$3:$Y$992,2,0),"")</f>
        <v>Velkoobchod s obráběcími stroji</v>
      </c>
    </row>
    <row r="654" spans="13:26" ht="12.75">
      <c r="M654" s="418">
        <f>IF(ISNUMBER(SEARCH(ZAKL_DATA!$B$29,N654)),MAX($M$2:M653)+1,0)</f>
        <v>652</v>
      </c>
      <c r="N654" s="419" t="s">
        <v>2843</v>
      </c>
      <c r="O654" s="436" t="s">
        <v>2844</v>
      </c>
      <c r="P654" s="421"/>
      <c r="Q654" s="422" t="str">
        <f>IFERROR(VLOOKUP(ROWS($Q$3:Q654),$M$3:$N$992,2,0),"")</f>
        <v>Velkoobchod s těžebními a stavebními stroji a zařízením</v>
      </c>
      <c r="R654">
        <f>IF(ISNUMBER(SEARCH('1Př1'!$A$35,N654)),MAX($M$2:M653)+1,0)</f>
        <v>652</v>
      </c>
      <c r="S654" s="419" t="s">
        <v>2843</v>
      </c>
      <c r="T654" t="str">
        <f>IFERROR(VLOOKUP(ROWS($T$3:T654),$R$3:$S$992,2,0),"")</f>
        <v>Velkoobchod s těžebními a stavebními stroji a zařízením</v>
      </c>
      <c r="U654">
        <f>IF(ISNUMBER(SEARCH('1Př1'!$A$36,N654)),MAX($M$2:M653)+1,0)</f>
        <v>652</v>
      </c>
      <c r="V654" s="419" t="s">
        <v>2843</v>
      </c>
      <c r="W654" t="str">
        <f>IFERROR(VLOOKUP(ROWS($W$3:W654),$U$3:$V$992,2,0),"")</f>
        <v>Velkoobchod s těžebními a stavebními stroji a zařízením</v>
      </c>
      <c r="X654">
        <f>IF(ISNUMBER(SEARCH('1Př1'!$A$37,N654)),MAX($M$2:M653)+1,0)</f>
        <v>652</v>
      </c>
      <c r="Y654" s="419" t="s">
        <v>2843</v>
      </c>
      <c r="Z654" t="str">
        <f>IFERROR(VLOOKUP(ROWS($Z$3:Z654),$X$3:$Y$992,2,0),"")</f>
        <v>Velkoobchod s těžebními a stavebními stroji a zařízením</v>
      </c>
    </row>
    <row r="655" spans="13:26" ht="12.75">
      <c r="M655" s="418">
        <f>IF(ISNUMBER(SEARCH(ZAKL_DATA!$B$29,N655)),MAX($M$2:M654)+1,0)</f>
        <v>653</v>
      </c>
      <c r="N655" s="419" t="s">
        <v>2845</v>
      </c>
      <c r="O655" s="436" t="s">
        <v>2846</v>
      </c>
      <c r="P655" s="421"/>
      <c r="Q655" s="422" t="str">
        <f>IFERROR(VLOOKUP(ROWS($Q$3:Q655),$M$3:$N$992,2,0),"")</f>
        <v>Velkoobchod se strojním zařízením pro text.průmysl,šicími a plet.stroji</v>
      </c>
      <c r="R655">
        <f>IF(ISNUMBER(SEARCH('1Př1'!$A$35,N655)),MAX($M$2:M654)+1,0)</f>
        <v>653</v>
      </c>
      <c r="S655" s="419" t="s">
        <v>2845</v>
      </c>
      <c r="T655" t="str">
        <f>IFERROR(VLOOKUP(ROWS($T$3:T655),$R$3:$S$992,2,0),"")</f>
        <v>Velkoobchod se strojním zařízením pro text.průmysl,šicími a plet.stroji</v>
      </c>
      <c r="U655">
        <f>IF(ISNUMBER(SEARCH('1Př1'!$A$36,N655)),MAX($M$2:M654)+1,0)</f>
        <v>653</v>
      </c>
      <c r="V655" s="419" t="s">
        <v>2845</v>
      </c>
      <c r="W655" t="str">
        <f>IFERROR(VLOOKUP(ROWS($W$3:W655),$U$3:$V$992,2,0),"")</f>
        <v>Velkoobchod se strojním zařízením pro text.průmysl,šicími a plet.stroji</v>
      </c>
      <c r="X655">
        <f>IF(ISNUMBER(SEARCH('1Př1'!$A$37,N655)),MAX($M$2:M654)+1,0)</f>
        <v>653</v>
      </c>
      <c r="Y655" s="419" t="s">
        <v>2845</v>
      </c>
      <c r="Z655" t="str">
        <f>IFERROR(VLOOKUP(ROWS($Z$3:Z655),$X$3:$Y$992,2,0),"")</f>
        <v>Velkoobchod se strojním zařízením pro text.průmysl,šicími a plet.stroji</v>
      </c>
    </row>
    <row r="656" spans="13:26" ht="12.75">
      <c r="M656" s="418">
        <f>IF(ISNUMBER(SEARCH(ZAKL_DATA!$B$29,N656)),MAX($M$2:M655)+1,0)</f>
        <v>654</v>
      </c>
      <c r="N656" s="419" t="s">
        <v>2847</v>
      </c>
      <c r="O656" s="436" t="s">
        <v>2848</v>
      </c>
      <c r="P656" s="421"/>
      <c r="Q656" s="422" t="str">
        <f>IFERROR(VLOOKUP(ROWS($Q$3:Q656),$M$3:$N$992,2,0),"")</f>
        <v>Velkoobchod s kancelářským nábytkem</v>
      </c>
      <c r="R656">
        <f>IF(ISNUMBER(SEARCH('1Př1'!$A$35,N656)),MAX($M$2:M655)+1,0)</f>
        <v>654</v>
      </c>
      <c r="S656" s="419" t="s">
        <v>2847</v>
      </c>
      <c r="T656" t="str">
        <f>IFERROR(VLOOKUP(ROWS($T$3:T656),$R$3:$S$992,2,0),"")</f>
        <v>Velkoobchod s kancelářským nábytkem</v>
      </c>
      <c r="U656">
        <f>IF(ISNUMBER(SEARCH('1Př1'!$A$36,N656)),MAX($M$2:M655)+1,0)</f>
        <v>654</v>
      </c>
      <c r="V656" s="419" t="s">
        <v>2847</v>
      </c>
      <c r="W656" t="str">
        <f>IFERROR(VLOOKUP(ROWS($W$3:W656),$U$3:$V$992,2,0),"")</f>
        <v>Velkoobchod s kancelářským nábytkem</v>
      </c>
      <c r="X656">
        <f>IF(ISNUMBER(SEARCH('1Př1'!$A$37,N656)),MAX($M$2:M655)+1,0)</f>
        <v>654</v>
      </c>
      <c r="Y656" s="419" t="s">
        <v>2847</v>
      </c>
      <c r="Z656" t="str">
        <f>IFERROR(VLOOKUP(ROWS($Z$3:Z656),$X$3:$Y$992,2,0),"")</f>
        <v>Velkoobchod s kancelářským nábytkem</v>
      </c>
    </row>
    <row r="657" spans="13:26" ht="12.75">
      <c r="M657" s="418">
        <f>IF(ISNUMBER(SEARCH(ZAKL_DATA!$B$29,N657)),MAX($M$2:M656)+1,0)</f>
        <v>655</v>
      </c>
      <c r="N657" s="419" t="s">
        <v>2849</v>
      </c>
      <c r="O657" s="436" t="s">
        <v>2850</v>
      </c>
      <c r="P657" s="421"/>
      <c r="Q657" s="422" t="str">
        <f>IFERROR(VLOOKUP(ROWS($Q$3:Q657),$M$3:$N$992,2,0),"")</f>
        <v>Velkoobchod s ostatními kancelářskými stroji a zařízením</v>
      </c>
      <c r="R657">
        <f>IF(ISNUMBER(SEARCH('1Př1'!$A$35,N657)),MAX($M$2:M656)+1,0)</f>
        <v>655</v>
      </c>
      <c r="S657" s="419" t="s">
        <v>2849</v>
      </c>
      <c r="T657" t="str">
        <f>IFERROR(VLOOKUP(ROWS($T$3:T657),$R$3:$S$992,2,0),"")</f>
        <v>Velkoobchod s ostatními kancelářskými stroji a zařízením</v>
      </c>
      <c r="U657">
        <f>IF(ISNUMBER(SEARCH('1Př1'!$A$36,N657)),MAX($M$2:M656)+1,0)</f>
        <v>655</v>
      </c>
      <c r="V657" s="419" t="s">
        <v>2849</v>
      </c>
      <c r="W657" t="str">
        <f>IFERROR(VLOOKUP(ROWS($W$3:W657),$U$3:$V$992,2,0),"")</f>
        <v>Velkoobchod s ostatními kancelářskými stroji a zařízením</v>
      </c>
      <c r="X657">
        <f>IF(ISNUMBER(SEARCH('1Př1'!$A$37,N657)),MAX($M$2:M656)+1,0)</f>
        <v>655</v>
      </c>
      <c r="Y657" s="419" t="s">
        <v>2849</v>
      </c>
      <c r="Z657" t="str">
        <f>IFERROR(VLOOKUP(ROWS($Z$3:Z657),$X$3:$Y$992,2,0),"")</f>
        <v>Velkoobchod s ostatními kancelářskými stroji a zařízením</v>
      </c>
    </row>
    <row r="658" spans="13:26" ht="12.75">
      <c r="M658" s="418">
        <f>IF(ISNUMBER(SEARCH(ZAKL_DATA!$B$29,N658)),MAX($M$2:M657)+1,0)</f>
        <v>656</v>
      </c>
      <c r="N658" s="419" t="s">
        <v>2851</v>
      </c>
      <c r="O658" s="436" t="s">
        <v>2852</v>
      </c>
      <c r="P658" s="421"/>
      <c r="Q658" s="422" t="str">
        <f>IFERROR(VLOOKUP(ROWS($Q$3:Q658),$M$3:$N$992,2,0),"")</f>
        <v>Velkoobchod s ostatními stroji a zařízením</v>
      </c>
      <c r="R658">
        <f>IF(ISNUMBER(SEARCH('1Př1'!$A$35,N658)),MAX($M$2:M657)+1,0)</f>
        <v>656</v>
      </c>
      <c r="S658" s="419" t="s">
        <v>2851</v>
      </c>
      <c r="T658" t="str">
        <f>IFERROR(VLOOKUP(ROWS($T$3:T658),$R$3:$S$992,2,0),"")</f>
        <v>Velkoobchod s ostatními stroji a zařízením</v>
      </c>
      <c r="U658">
        <f>IF(ISNUMBER(SEARCH('1Př1'!$A$36,N658)),MAX($M$2:M657)+1,0)</f>
        <v>656</v>
      </c>
      <c r="V658" s="419" t="s">
        <v>2851</v>
      </c>
      <c r="W658" t="str">
        <f>IFERROR(VLOOKUP(ROWS($W$3:W658),$U$3:$V$992,2,0),"")</f>
        <v>Velkoobchod s ostatními stroji a zařízením</v>
      </c>
      <c r="X658">
        <f>IF(ISNUMBER(SEARCH('1Př1'!$A$37,N658)),MAX($M$2:M657)+1,0)</f>
        <v>656</v>
      </c>
      <c r="Y658" s="419" t="s">
        <v>2851</v>
      </c>
      <c r="Z658" t="str">
        <f>IFERROR(VLOOKUP(ROWS($Z$3:Z658),$X$3:$Y$992,2,0),"")</f>
        <v>Velkoobchod s ostatními stroji a zařízením</v>
      </c>
    </row>
    <row r="659" spans="13:26" ht="12.75">
      <c r="M659" s="418">
        <f>IF(ISNUMBER(SEARCH(ZAKL_DATA!$B$29,N659)),MAX($M$2:M658)+1,0)</f>
        <v>657</v>
      </c>
      <c r="N659" s="419" t="s">
        <v>2853</v>
      </c>
      <c r="O659" s="436" t="s">
        <v>2854</v>
      </c>
      <c r="P659" s="421"/>
      <c r="Q659" s="422" t="str">
        <f>IFERROR(VLOOKUP(ROWS($Q$3:Q659),$M$3:$N$992,2,0),"")</f>
        <v>Velkoobchod s pevnými, kapalnými a plynnými palivy a příbuznými výrobky</v>
      </c>
      <c r="R659">
        <f>IF(ISNUMBER(SEARCH('1Př1'!$A$35,N659)),MAX($M$2:M658)+1,0)</f>
        <v>657</v>
      </c>
      <c r="S659" s="419" t="s">
        <v>2853</v>
      </c>
      <c r="T659" t="str">
        <f>IFERROR(VLOOKUP(ROWS($T$3:T659),$R$3:$S$992,2,0),"")</f>
        <v>Velkoobchod s pevnými, kapalnými a plynnými palivy a příbuznými výrobky</v>
      </c>
      <c r="U659">
        <f>IF(ISNUMBER(SEARCH('1Př1'!$A$36,N659)),MAX($M$2:M658)+1,0)</f>
        <v>657</v>
      </c>
      <c r="V659" s="419" t="s">
        <v>2853</v>
      </c>
      <c r="W659" t="str">
        <f>IFERROR(VLOOKUP(ROWS($W$3:W659),$U$3:$V$992,2,0),"")</f>
        <v>Velkoobchod s pevnými, kapalnými a plynnými palivy a příbuznými výrobky</v>
      </c>
      <c r="X659">
        <f>IF(ISNUMBER(SEARCH('1Př1'!$A$37,N659)),MAX($M$2:M658)+1,0)</f>
        <v>657</v>
      </c>
      <c r="Y659" s="419" t="s">
        <v>2853</v>
      </c>
      <c r="Z659" t="str">
        <f>IFERROR(VLOOKUP(ROWS($Z$3:Z659),$X$3:$Y$992,2,0),"")</f>
        <v>Velkoobchod s pevnými, kapalnými a plynnými palivy a příbuznými výrobky</v>
      </c>
    </row>
    <row r="660" spans="13:26" ht="12.75">
      <c r="M660" s="418">
        <f>IF(ISNUMBER(SEARCH(ZAKL_DATA!$B$29,N660)),MAX($M$2:M659)+1,0)</f>
        <v>658</v>
      </c>
      <c r="N660" s="419" t="s">
        <v>2855</v>
      </c>
      <c r="O660" s="436" t="s">
        <v>2856</v>
      </c>
      <c r="P660" s="421"/>
      <c r="Q660" s="422" t="str">
        <f>IFERROR(VLOOKUP(ROWS($Q$3:Q660),$M$3:$N$992,2,0),"")</f>
        <v>Velkoobchod s rudami, kovy a hutními výrobky</v>
      </c>
      <c r="R660">
        <f>IF(ISNUMBER(SEARCH('1Př1'!$A$35,N660)),MAX($M$2:M659)+1,0)</f>
        <v>658</v>
      </c>
      <c r="S660" s="419" t="s">
        <v>2855</v>
      </c>
      <c r="T660" t="str">
        <f>IFERROR(VLOOKUP(ROWS($T$3:T660),$R$3:$S$992,2,0),"")</f>
        <v>Velkoobchod s rudami, kovy a hutními výrobky</v>
      </c>
      <c r="U660">
        <f>IF(ISNUMBER(SEARCH('1Př1'!$A$36,N660)),MAX($M$2:M659)+1,0)</f>
        <v>658</v>
      </c>
      <c r="V660" s="419" t="s">
        <v>2855</v>
      </c>
      <c r="W660" t="str">
        <f>IFERROR(VLOOKUP(ROWS($W$3:W660),$U$3:$V$992,2,0),"")</f>
        <v>Velkoobchod s rudami, kovy a hutními výrobky</v>
      </c>
      <c r="X660">
        <f>IF(ISNUMBER(SEARCH('1Př1'!$A$37,N660)),MAX($M$2:M659)+1,0)</f>
        <v>658</v>
      </c>
      <c r="Y660" s="419" t="s">
        <v>2855</v>
      </c>
      <c r="Z660" t="str">
        <f>IFERROR(VLOOKUP(ROWS($Z$3:Z660),$X$3:$Y$992,2,0),"")</f>
        <v>Velkoobchod s rudami, kovy a hutními výrobky</v>
      </c>
    </row>
    <row r="661" spans="13:26" ht="12.75">
      <c r="M661" s="418">
        <f>IF(ISNUMBER(SEARCH(ZAKL_DATA!$B$29,N661)),MAX($M$2:M660)+1,0)</f>
        <v>659</v>
      </c>
      <c r="N661" s="419" t="s">
        <v>2857</v>
      </c>
      <c r="O661" s="436" t="s">
        <v>2858</v>
      </c>
      <c r="P661" s="421"/>
      <c r="Q661" s="422" t="str">
        <f>IFERROR(VLOOKUP(ROWS($Q$3:Q661),$M$3:$N$992,2,0),"")</f>
        <v>Velkoobchod se dřevem, stavebními materiály a sanitárním vybavením</v>
      </c>
      <c r="R661">
        <f>IF(ISNUMBER(SEARCH('1Př1'!$A$35,N661)),MAX($M$2:M660)+1,0)</f>
        <v>659</v>
      </c>
      <c r="S661" s="419" t="s">
        <v>2857</v>
      </c>
      <c r="T661" t="str">
        <f>IFERROR(VLOOKUP(ROWS($T$3:T661),$R$3:$S$992,2,0),"")</f>
        <v>Velkoobchod se dřevem, stavebními materiály a sanitárním vybavením</v>
      </c>
      <c r="U661">
        <f>IF(ISNUMBER(SEARCH('1Př1'!$A$36,N661)),MAX($M$2:M660)+1,0)</f>
        <v>659</v>
      </c>
      <c r="V661" s="419" t="s">
        <v>2857</v>
      </c>
      <c r="W661" t="str">
        <f>IFERROR(VLOOKUP(ROWS($W$3:W661),$U$3:$V$992,2,0),"")</f>
        <v>Velkoobchod se dřevem, stavebními materiály a sanitárním vybavením</v>
      </c>
      <c r="X661">
        <f>IF(ISNUMBER(SEARCH('1Př1'!$A$37,N661)),MAX($M$2:M660)+1,0)</f>
        <v>659</v>
      </c>
      <c r="Y661" s="419" t="s">
        <v>2857</v>
      </c>
      <c r="Z661" t="str">
        <f>IFERROR(VLOOKUP(ROWS($Z$3:Z661),$X$3:$Y$992,2,0),"")</f>
        <v>Velkoobchod se dřevem, stavebními materiály a sanitárním vybavením</v>
      </c>
    </row>
    <row r="662" spans="13:26" ht="12.75">
      <c r="M662" s="418">
        <f>IF(ISNUMBER(SEARCH(ZAKL_DATA!$B$29,N662)),MAX($M$2:M661)+1,0)</f>
        <v>660</v>
      </c>
      <c r="N662" s="419" t="s">
        <v>2859</v>
      </c>
      <c r="O662" s="436" t="s">
        <v>2860</v>
      </c>
      <c r="P662" s="421"/>
      <c r="Q662" s="422" t="str">
        <f>IFERROR(VLOOKUP(ROWS($Q$3:Q662),$M$3:$N$992,2,0),"")</f>
        <v>Velkoobchod s železářským zbožím,instalatér.a topenářskými potřebami</v>
      </c>
      <c r="R662">
        <f>IF(ISNUMBER(SEARCH('1Př1'!$A$35,N662)),MAX($M$2:M661)+1,0)</f>
        <v>660</v>
      </c>
      <c r="S662" s="419" t="s">
        <v>2859</v>
      </c>
      <c r="T662" t="str">
        <f>IFERROR(VLOOKUP(ROWS($T$3:T662),$R$3:$S$992,2,0),"")</f>
        <v>Velkoobchod s železářským zbožím,instalatér.a topenářskými potřebami</v>
      </c>
      <c r="U662">
        <f>IF(ISNUMBER(SEARCH('1Př1'!$A$36,N662)),MAX($M$2:M661)+1,0)</f>
        <v>660</v>
      </c>
      <c r="V662" s="419" t="s">
        <v>2859</v>
      </c>
      <c r="W662" t="str">
        <f>IFERROR(VLOOKUP(ROWS($W$3:W662),$U$3:$V$992,2,0),"")</f>
        <v>Velkoobchod s železářským zbožím,instalatér.a topenářskými potřebami</v>
      </c>
      <c r="X662">
        <f>IF(ISNUMBER(SEARCH('1Př1'!$A$37,N662)),MAX($M$2:M661)+1,0)</f>
        <v>660</v>
      </c>
      <c r="Y662" s="419" t="s">
        <v>2859</v>
      </c>
      <c r="Z662" t="str">
        <f>IFERROR(VLOOKUP(ROWS($Z$3:Z662),$X$3:$Y$992,2,0),"")</f>
        <v>Velkoobchod s železářským zbožím,instalatér.a topenářskými potřebami</v>
      </c>
    </row>
    <row r="663" spans="13:26" ht="12.75">
      <c r="M663" s="418">
        <f>IF(ISNUMBER(SEARCH(ZAKL_DATA!$B$29,N663)),MAX($M$2:M662)+1,0)</f>
        <v>661</v>
      </c>
      <c r="N663" s="419" t="s">
        <v>2861</v>
      </c>
      <c r="O663" s="436" t="s">
        <v>2862</v>
      </c>
      <c r="P663" s="421"/>
      <c r="Q663" s="422" t="str">
        <f>IFERROR(VLOOKUP(ROWS($Q$3:Q663),$M$3:$N$992,2,0),"")</f>
        <v>Velkoobchod s chemickými výrobky</v>
      </c>
      <c r="R663">
        <f>IF(ISNUMBER(SEARCH('1Př1'!$A$35,N663)),MAX($M$2:M662)+1,0)</f>
        <v>661</v>
      </c>
      <c r="S663" s="419" t="s">
        <v>2861</v>
      </c>
      <c r="T663" t="str">
        <f>IFERROR(VLOOKUP(ROWS($T$3:T663),$R$3:$S$992,2,0),"")</f>
        <v>Velkoobchod s chemickými výrobky</v>
      </c>
      <c r="U663">
        <f>IF(ISNUMBER(SEARCH('1Př1'!$A$36,N663)),MAX($M$2:M662)+1,0)</f>
        <v>661</v>
      </c>
      <c r="V663" s="419" t="s">
        <v>2861</v>
      </c>
      <c r="W663" t="str">
        <f>IFERROR(VLOOKUP(ROWS($W$3:W663),$U$3:$V$992,2,0),"")</f>
        <v>Velkoobchod s chemickými výrobky</v>
      </c>
      <c r="X663">
        <f>IF(ISNUMBER(SEARCH('1Př1'!$A$37,N663)),MAX($M$2:M662)+1,0)</f>
        <v>661</v>
      </c>
      <c r="Y663" s="419" t="s">
        <v>2861</v>
      </c>
      <c r="Z663" t="str">
        <f>IFERROR(VLOOKUP(ROWS($Z$3:Z663),$X$3:$Y$992,2,0),"")</f>
        <v>Velkoobchod s chemickými výrobky</v>
      </c>
    </row>
    <row r="664" spans="13:26" ht="12.75">
      <c r="M664" s="418">
        <f>IF(ISNUMBER(SEARCH(ZAKL_DATA!$B$29,N664)),MAX($M$2:M663)+1,0)</f>
        <v>662</v>
      </c>
      <c r="N664" s="419" t="s">
        <v>2863</v>
      </c>
      <c r="O664" s="436" t="s">
        <v>2864</v>
      </c>
      <c r="P664" s="421"/>
      <c r="Q664" s="422" t="str">
        <f>IFERROR(VLOOKUP(ROWS($Q$3:Q664),$M$3:$N$992,2,0),"")</f>
        <v>Velkoobchod s ostatními meziprodukty</v>
      </c>
      <c r="R664">
        <f>IF(ISNUMBER(SEARCH('1Př1'!$A$35,N664)),MAX($M$2:M663)+1,0)</f>
        <v>662</v>
      </c>
      <c r="S664" s="419" t="s">
        <v>2863</v>
      </c>
      <c r="T664" t="str">
        <f>IFERROR(VLOOKUP(ROWS($T$3:T664),$R$3:$S$992,2,0),"")</f>
        <v>Velkoobchod s ostatními meziprodukty</v>
      </c>
      <c r="U664">
        <f>IF(ISNUMBER(SEARCH('1Př1'!$A$36,N664)),MAX($M$2:M663)+1,0)</f>
        <v>662</v>
      </c>
      <c r="V664" s="419" t="s">
        <v>2863</v>
      </c>
      <c r="W664" t="str">
        <f>IFERROR(VLOOKUP(ROWS($W$3:W664),$U$3:$V$992,2,0),"")</f>
        <v>Velkoobchod s ostatními meziprodukty</v>
      </c>
      <c r="X664">
        <f>IF(ISNUMBER(SEARCH('1Př1'!$A$37,N664)),MAX($M$2:M663)+1,0)</f>
        <v>662</v>
      </c>
      <c r="Y664" s="419" t="s">
        <v>2863</v>
      </c>
      <c r="Z664" t="str">
        <f>IFERROR(VLOOKUP(ROWS($Z$3:Z664),$X$3:$Y$992,2,0),"")</f>
        <v>Velkoobchod s ostatními meziprodukty</v>
      </c>
    </row>
    <row r="665" spans="13:26" ht="12.75">
      <c r="M665" s="418">
        <f>IF(ISNUMBER(SEARCH(ZAKL_DATA!$B$29,N665)),MAX($M$2:M664)+1,0)</f>
        <v>663</v>
      </c>
      <c r="N665" s="419" t="s">
        <v>2865</v>
      </c>
      <c r="O665" s="436" t="s">
        <v>2866</v>
      </c>
      <c r="P665" s="421"/>
      <c r="Q665" s="422" t="str">
        <f>IFERROR(VLOOKUP(ROWS($Q$3:Q665),$M$3:$N$992,2,0),"")</f>
        <v>Velkoobchod s odpadem a šrotem</v>
      </c>
      <c r="R665">
        <f>IF(ISNUMBER(SEARCH('1Př1'!$A$35,N665)),MAX($M$2:M664)+1,0)</f>
        <v>663</v>
      </c>
      <c r="S665" s="419" t="s">
        <v>2865</v>
      </c>
      <c r="T665" t="str">
        <f>IFERROR(VLOOKUP(ROWS($T$3:T665),$R$3:$S$992,2,0),"")</f>
        <v>Velkoobchod s odpadem a šrotem</v>
      </c>
      <c r="U665">
        <f>IF(ISNUMBER(SEARCH('1Př1'!$A$36,N665)),MAX($M$2:M664)+1,0)</f>
        <v>663</v>
      </c>
      <c r="V665" s="419" t="s">
        <v>2865</v>
      </c>
      <c r="W665" t="str">
        <f>IFERROR(VLOOKUP(ROWS($W$3:W665),$U$3:$V$992,2,0),"")</f>
        <v>Velkoobchod s odpadem a šrotem</v>
      </c>
      <c r="X665">
        <f>IF(ISNUMBER(SEARCH('1Př1'!$A$37,N665)),MAX($M$2:M664)+1,0)</f>
        <v>663</v>
      </c>
      <c r="Y665" s="419" t="s">
        <v>2865</v>
      </c>
      <c r="Z665" t="str">
        <f>IFERROR(VLOOKUP(ROWS($Z$3:Z665),$X$3:$Y$992,2,0),"")</f>
        <v>Velkoobchod s odpadem a šrotem</v>
      </c>
    </row>
    <row r="666" spans="13:26" ht="12.75">
      <c r="M666" s="418">
        <f>IF(ISNUMBER(SEARCH(ZAKL_DATA!$B$29,N666)),MAX($M$2:M665)+1,0)</f>
        <v>664</v>
      </c>
      <c r="N666" s="419" t="s">
        <v>2867</v>
      </c>
      <c r="O666" s="436" t="s">
        <v>2868</v>
      </c>
      <c r="P666" s="421"/>
      <c r="Q666" s="422" t="str">
        <f>IFERROR(VLOOKUP(ROWS($Q$3:Q666),$M$3:$N$992,2,0),"")</f>
        <v>Maloobchod s převahou potravin,nápojů a tabák.výrobků v nespecializ.prod.</v>
      </c>
      <c r="R666">
        <f>IF(ISNUMBER(SEARCH('1Př1'!$A$35,N666)),MAX($M$2:M665)+1,0)</f>
        <v>664</v>
      </c>
      <c r="S666" s="419" t="s">
        <v>2867</v>
      </c>
      <c r="T666" t="str">
        <f>IFERROR(VLOOKUP(ROWS($T$3:T666),$R$3:$S$992,2,0),"")</f>
        <v>Maloobchod s převahou potravin,nápojů a tabák.výrobků v nespecializ.prod.</v>
      </c>
      <c r="U666">
        <f>IF(ISNUMBER(SEARCH('1Př1'!$A$36,N666)),MAX($M$2:M665)+1,0)</f>
        <v>664</v>
      </c>
      <c r="V666" s="419" t="s">
        <v>2867</v>
      </c>
      <c r="W666" t="str">
        <f>IFERROR(VLOOKUP(ROWS($W$3:W666),$U$3:$V$992,2,0),"")</f>
        <v>Maloobchod s převahou potravin,nápojů a tabák.výrobků v nespecializ.prod.</v>
      </c>
      <c r="X666">
        <f>IF(ISNUMBER(SEARCH('1Př1'!$A$37,N666)),MAX($M$2:M665)+1,0)</f>
        <v>664</v>
      </c>
      <c r="Y666" s="419" t="s">
        <v>2867</v>
      </c>
      <c r="Z666" t="str">
        <f>IFERROR(VLOOKUP(ROWS($Z$3:Z666),$X$3:$Y$992,2,0),"")</f>
        <v>Maloobchod s převahou potravin,nápojů a tabák.výrobků v nespecializ.prod.</v>
      </c>
    </row>
    <row r="667" spans="13:26" ht="12.75">
      <c r="M667" s="418">
        <f>IF(ISNUMBER(SEARCH(ZAKL_DATA!$B$29,N667)),MAX($M$2:M666)+1,0)</f>
        <v>665</v>
      </c>
      <c r="N667" s="419" t="s">
        <v>2869</v>
      </c>
      <c r="O667" s="436" t="s">
        <v>2870</v>
      </c>
      <c r="P667" s="421"/>
      <c r="Q667" s="422" t="str">
        <f>IFERROR(VLOOKUP(ROWS($Q$3:Q667),$M$3:$N$992,2,0),"")</f>
        <v>Ostatní maloobchod v nespecializovaných prodejnách</v>
      </c>
      <c r="R667">
        <f>IF(ISNUMBER(SEARCH('1Př1'!$A$35,N667)),MAX($M$2:M666)+1,0)</f>
        <v>665</v>
      </c>
      <c r="S667" s="419" t="s">
        <v>2869</v>
      </c>
      <c r="T667" t="str">
        <f>IFERROR(VLOOKUP(ROWS($T$3:T667),$R$3:$S$992,2,0),"")</f>
        <v>Ostatní maloobchod v nespecializovaných prodejnách</v>
      </c>
      <c r="U667">
        <f>IF(ISNUMBER(SEARCH('1Př1'!$A$36,N667)),MAX($M$2:M666)+1,0)</f>
        <v>665</v>
      </c>
      <c r="V667" s="419" t="s">
        <v>2869</v>
      </c>
      <c r="W667" t="str">
        <f>IFERROR(VLOOKUP(ROWS($W$3:W667),$U$3:$V$992,2,0),"")</f>
        <v>Ostatní maloobchod v nespecializovaných prodejnách</v>
      </c>
      <c r="X667">
        <f>IF(ISNUMBER(SEARCH('1Př1'!$A$37,N667)),MAX($M$2:M666)+1,0)</f>
        <v>665</v>
      </c>
      <c r="Y667" s="419" t="s">
        <v>2869</v>
      </c>
      <c r="Z667" t="str">
        <f>IFERROR(VLOOKUP(ROWS($Z$3:Z667),$X$3:$Y$992,2,0),"")</f>
        <v>Ostatní maloobchod v nespecializovaných prodejnách</v>
      </c>
    </row>
    <row r="668" spans="13:26" ht="12.75">
      <c r="M668" s="418">
        <f>IF(ISNUMBER(SEARCH(ZAKL_DATA!$B$29,N668)),MAX($M$2:M667)+1,0)</f>
        <v>666</v>
      </c>
      <c r="N668" s="419" t="s">
        <v>2871</v>
      </c>
      <c r="O668" s="436" t="s">
        <v>2872</v>
      </c>
      <c r="P668" s="421"/>
      <c r="Q668" s="422" t="str">
        <f>IFERROR(VLOOKUP(ROWS($Q$3:Q668),$M$3:$N$992,2,0),"")</f>
        <v>Maloobchod s ovocem a zeleninou</v>
      </c>
      <c r="R668">
        <f>IF(ISNUMBER(SEARCH('1Př1'!$A$35,N668)),MAX($M$2:M667)+1,0)</f>
        <v>666</v>
      </c>
      <c r="S668" s="419" t="s">
        <v>2871</v>
      </c>
      <c r="T668" t="str">
        <f>IFERROR(VLOOKUP(ROWS($T$3:T668),$R$3:$S$992,2,0),"")</f>
        <v>Maloobchod s ovocem a zeleninou</v>
      </c>
      <c r="U668">
        <f>IF(ISNUMBER(SEARCH('1Př1'!$A$36,N668)),MAX($M$2:M667)+1,0)</f>
        <v>666</v>
      </c>
      <c r="V668" s="419" t="s">
        <v>2871</v>
      </c>
      <c r="W668" t="str">
        <f>IFERROR(VLOOKUP(ROWS($W$3:W668),$U$3:$V$992,2,0),"")</f>
        <v>Maloobchod s ovocem a zeleninou</v>
      </c>
      <c r="X668">
        <f>IF(ISNUMBER(SEARCH('1Př1'!$A$37,N668)),MAX($M$2:M667)+1,0)</f>
        <v>666</v>
      </c>
      <c r="Y668" s="419" t="s">
        <v>2871</v>
      </c>
      <c r="Z668" t="str">
        <f>IFERROR(VLOOKUP(ROWS($Z$3:Z668),$X$3:$Y$992,2,0),"")</f>
        <v>Maloobchod s ovocem a zeleninou</v>
      </c>
    </row>
    <row r="669" spans="13:26" ht="12.75">
      <c r="M669" s="418">
        <f>IF(ISNUMBER(SEARCH(ZAKL_DATA!$B$29,N669)),MAX($M$2:M668)+1,0)</f>
        <v>667</v>
      </c>
      <c r="N669" s="419" t="s">
        <v>2873</v>
      </c>
      <c r="O669" s="436" t="s">
        <v>2874</v>
      </c>
      <c r="P669" s="421"/>
      <c r="Q669" s="422" t="str">
        <f>IFERROR(VLOOKUP(ROWS($Q$3:Q669),$M$3:$N$992,2,0),"")</f>
        <v>Maloobchod s masem a masnými výrobky</v>
      </c>
      <c r="R669">
        <f>IF(ISNUMBER(SEARCH('1Př1'!$A$35,N669)),MAX($M$2:M668)+1,0)</f>
        <v>667</v>
      </c>
      <c r="S669" s="419" t="s">
        <v>2873</v>
      </c>
      <c r="T669" t="str">
        <f>IFERROR(VLOOKUP(ROWS($T$3:T669),$R$3:$S$992,2,0),"")</f>
        <v>Maloobchod s masem a masnými výrobky</v>
      </c>
      <c r="U669">
        <f>IF(ISNUMBER(SEARCH('1Př1'!$A$36,N669)),MAX($M$2:M668)+1,0)</f>
        <v>667</v>
      </c>
      <c r="V669" s="419" t="s">
        <v>2873</v>
      </c>
      <c r="W669" t="str">
        <f>IFERROR(VLOOKUP(ROWS($W$3:W669),$U$3:$V$992,2,0),"")</f>
        <v>Maloobchod s masem a masnými výrobky</v>
      </c>
      <c r="X669">
        <f>IF(ISNUMBER(SEARCH('1Př1'!$A$37,N669)),MAX($M$2:M668)+1,0)</f>
        <v>667</v>
      </c>
      <c r="Y669" s="419" t="s">
        <v>2873</v>
      </c>
      <c r="Z669" t="str">
        <f>IFERROR(VLOOKUP(ROWS($Z$3:Z669),$X$3:$Y$992,2,0),"")</f>
        <v>Maloobchod s masem a masnými výrobky</v>
      </c>
    </row>
    <row r="670" spans="13:26" ht="12.75">
      <c r="M670" s="418">
        <f>IF(ISNUMBER(SEARCH(ZAKL_DATA!$B$29,N670)),MAX($M$2:M669)+1,0)</f>
        <v>668</v>
      </c>
      <c r="N670" s="419" t="s">
        <v>2875</v>
      </c>
      <c r="O670" s="436" t="s">
        <v>2876</v>
      </c>
      <c r="P670" s="421"/>
      <c r="Q670" s="422" t="str">
        <f>IFERROR(VLOOKUP(ROWS($Q$3:Q670),$M$3:$N$992,2,0),"")</f>
        <v>Maloobchod s rybami, korýši a měkkýši</v>
      </c>
      <c r="R670">
        <f>IF(ISNUMBER(SEARCH('1Př1'!$A$35,N670)),MAX($M$2:M669)+1,0)</f>
        <v>668</v>
      </c>
      <c r="S670" s="419" t="s">
        <v>2875</v>
      </c>
      <c r="T670" t="str">
        <f>IFERROR(VLOOKUP(ROWS($T$3:T670),$R$3:$S$992,2,0),"")</f>
        <v>Maloobchod s rybami, korýši a měkkýši</v>
      </c>
      <c r="U670">
        <f>IF(ISNUMBER(SEARCH('1Př1'!$A$36,N670)),MAX($M$2:M669)+1,0)</f>
        <v>668</v>
      </c>
      <c r="V670" s="419" t="s">
        <v>2875</v>
      </c>
      <c r="W670" t="str">
        <f>IFERROR(VLOOKUP(ROWS($W$3:W670),$U$3:$V$992,2,0),"")</f>
        <v>Maloobchod s rybami, korýši a měkkýši</v>
      </c>
      <c r="X670">
        <f>IF(ISNUMBER(SEARCH('1Př1'!$A$37,N670)),MAX($M$2:M669)+1,0)</f>
        <v>668</v>
      </c>
      <c r="Y670" s="419" t="s">
        <v>2875</v>
      </c>
      <c r="Z670" t="str">
        <f>IFERROR(VLOOKUP(ROWS($Z$3:Z670),$X$3:$Y$992,2,0),"")</f>
        <v>Maloobchod s rybami, korýši a měkkýši</v>
      </c>
    </row>
    <row r="671" spans="13:26" ht="12.75">
      <c r="M671" s="418">
        <f>IF(ISNUMBER(SEARCH(ZAKL_DATA!$B$29,N671)),MAX($M$2:M670)+1,0)</f>
        <v>669</v>
      </c>
      <c r="N671" s="419" t="s">
        <v>2877</v>
      </c>
      <c r="O671" s="436" t="s">
        <v>2878</v>
      </c>
      <c r="P671" s="421"/>
      <c r="Q671" s="422" t="str">
        <f>IFERROR(VLOOKUP(ROWS($Q$3:Q671),$M$3:$N$992,2,0),"")</f>
        <v>Maloobchod s chlebem, pečivem, cukrářskými výrobky a cukrovinkami</v>
      </c>
      <c r="R671">
        <f>IF(ISNUMBER(SEARCH('1Př1'!$A$35,N671)),MAX($M$2:M670)+1,0)</f>
        <v>669</v>
      </c>
      <c r="S671" s="419" t="s">
        <v>2877</v>
      </c>
      <c r="T671" t="str">
        <f>IFERROR(VLOOKUP(ROWS($T$3:T671),$R$3:$S$992,2,0),"")</f>
        <v>Maloobchod s chlebem, pečivem, cukrářskými výrobky a cukrovinkami</v>
      </c>
      <c r="U671">
        <f>IF(ISNUMBER(SEARCH('1Př1'!$A$36,N671)),MAX($M$2:M670)+1,0)</f>
        <v>669</v>
      </c>
      <c r="V671" s="419" t="s">
        <v>2877</v>
      </c>
      <c r="W671" t="str">
        <f>IFERROR(VLOOKUP(ROWS($W$3:W671),$U$3:$V$992,2,0),"")</f>
        <v>Maloobchod s chlebem, pečivem, cukrářskými výrobky a cukrovinkami</v>
      </c>
      <c r="X671">
        <f>IF(ISNUMBER(SEARCH('1Př1'!$A$37,N671)),MAX($M$2:M670)+1,0)</f>
        <v>669</v>
      </c>
      <c r="Y671" s="419" t="s">
        <v>2877</v>
      </c>
      <c r="Z671" t="str">
        <f>IFERROR(VLOOKUP(ROWS($Z$3:Z671),$X$3:$Y$992,2,0),"")</f>
        <v>Maloobchod s chlebem, pečivem, cukrářskými výrobky a cukrovinkami</v>
      </c>
    </row>
    <row r="672" spans="13:26" ht="12.75">
      <c r="M672" s="418">
        <f>IF(ISNUMBER(SEARCH(ZAKL_DATA!$B$29,N672)),MAX($M$2:M671)+1,0)</f>
        <v>670</v>
      </c>
      <c r="N672" s="419" t="s">
        <v>2879</v>
      </c>
      <c r="O672" s="436" t="s">
        <v>2880</v>
      </c>
      <c r="P672" s="421"/>
      <c r="Q672" s="422" t="str">
        <f>IFERROR(VLOOKUP(ROWS($Q$3:Q672),$M$3:$N$992,2,0),"")</f>
        <v>Maloobchod s nápoji</v>
      </c>
      <c r="R672">
        <f>IF(ISNUMBER(SEARCH('1Př1'!$A$35,N672)),MAX($M$2:M671)+1,0)</f>
        <v>670</v>
      </c>
      <c r="S672" s="419" t="s">
        <v>2879</v>
      </c>
      <c r="T672" t="str">
        <f>IFERROR(VLOOKUP(ROWS($T$3:T672),$R$3:$S$992,2,0),"")</f>
        <v>Maloobchod s nápoji</v>
      </c>
      <c r="U672">
        <f>IF(ISNUMBER(SEARCH('1Př1'!$A$36,N672)),MAX($M$2:M671)+1,0)</f>
        <v>670</v>
      </c>
      <c r="V672" s="419" t="s">
        <v>2879</v>
      </c>
      <c r="W672" t="str">
        <f>IFERROR(VLOOKUP(ROWS($W$3:W672),$U$3:$V$992,2,0),"")</f>
        <v>Maloobchod s nápoji</v>
      </c>
      <c r="X672">
        <f>IF(ISNUMBER(SEARCH('1Př1'!$A$37,N672)),MAX($M$2:M671)+1,0)</f>
        <v>670</v>
      </c>
      <c r="Y672" s="419" t="s">
        <v>2879</v>
      </c>
      <c r="Z672" t="str">
        <f>IFERROR(VLOOKUP(ROWS($Z$3:Z672),$X$3:$Y$992,2,0),"")</f>
        <v>Maloobchod s nápoji</v>
      </c>
    </row>
    <row r="673" spans="13:26" ht="12.75">
      <c r="M673" s="418">
        <f>IF(ISNUMBER(SEARCH(ZAKL_DATA!$B$29,N673)),MAX($M$2:M672)+1,0)</f>
        <v>671</v>
      </c>
      <c r="N673" s="419" t="s">
        <v>2881</v>
      </c>
      <c r="O673" s="436" t="s">
        <v>2882</v>
      </c>
      <c r="P673" s="421"/>
      <c r="Q673" s="422" t="str">
        <f>IFERROR(VLOOKUP(ROWS($Q$3:Q673),$M$3:$N$992,2,0),"")</f>
        <v>Maloobchod s tabákovými výrobky</v>
      </c>
      <c r="R673">
        <f>IF(ISNUMBER(SEARCH('1Př1'!$A$35,N673)),MAX($M$2:M672)+1,0)</f>
        <v>671</v>
      </c>
      <c r="S673" s="419" t="s">
        <v>2881</v>
      </c>
      <c r="T673" t="str">
        <f>IFERROR(VLOOKUP(ROWS($T$3:T673),$R$3:$S$992,2,0),"")</f>
        <v>Maloobchod s tabákovými výrobky</v>
      </c>
      <c r="U673">
        <f>IF(ISNUMBER(SEARCH('1Př1'!$A$36,N673)),MAX($M$2:M672)+1,0)</f>
        <v>671</v>
      </c>
      <c r="V673" s="419" t="s">
        <v>2881</v>
      </c>
      <c r="W673" t="str">
        <f>IFERROR(VLOOKUP(ROWS($W$3:W673),$U$3:$V$992,2,0),"")</f>
        <v>Maloobchod s tabákovými výrobky</v>
      </c>
      <c r="X673">
        <f>IF(ISNUMBER(SEARCH('1Př1'!$A$37,N673)),MAX($M$2:M672)+1,0)</f>
        <v>671</v>
      </c>
      <c r="Y673" s="419" t="s">
        <v>2881</v>
      </c>
      <c r="Z673" t="str">
        <f>IFERROR(VLOOKUP(ROWS($Z$3:Z673),$X$3:$Y$992,2,0),"")</f>
        <v>Maloobchod s tabákovými výrobky</v>
      </c>
    </row>
    <row r="674" spans="13:26" ht="12.75">
      <c r="M674" s="418">
        <f>IF(ISNUMBER(SEARCH(ZAKL_DATA!$B$29,N674)),MAX($M$2:M673)+1,0)</f>
        <v>672</v>
      </c>
      <c r="N674" s="419" t="s">
        <v>2883</v>
      </c>
      <c r="O674" s="436" t="s">
        <v>2884</v>
      </c>
      <c r="P674" s="421"/>
      <c r="Q674" s="422" t="str">
        <f>IFERROR(VLOOKUP(ROWS($Q$3:Q674),$M$3:$N$992,2,0),"")</f>
        <v>Ostatní maloobchod s potravinami ve specializovaných prodejnách</v>
      </c>
      <c r="R674">
        <f>IF(ISNUMBER(SEARCH('1Př1'!$A$35,N674)),MAX($M$2:M673)+1,0)</f>
        <v>672</v>
      </c>
      <c r="S674" s="419" t="s">
        <v>2883</v>
      </c>
      <c r="T674" t="str">
        <f>IFERROR(VLOOKUP(ROWS($T$3:T674),$R$3:$S$992,2,0),"")</f>
        <v>Ostatní maloobchod s potravinami ve specializovaných prodejnách</v>
      </c>
      <c r="U674">
        <f>IF(ISNUMBER(SEARCH('1Př1'!$A$36,N674)),MAX($M$2:M673)+1,0)</f>
        <v>672</v>
      </c>
      <c r="V674" s="419" t="s">
        <v>2883</v>
      </c>
      <c r="W674" t="str">
        <f>IFERROR(VLOOKUP(ROWS($W$3:W674),$U$3:$V$992,2,0),"")</f>
        <v>Ostatní maloobchod s potravinami ve specializovaných prodejnách</v>
      </c>
      <c r="X674">
        <f>IF(ISNUMBER(SEARCH('1Př1'!$A$37,N674)),MAX($M$2:M673)+1,0)</f>
        <v>672</v>
      </c>
      <c r="Y674" s="419" t="s">
        <v>2883</v>
      </c>
      <c r="Z674" t="str">
        <f>IFERROR(VLOOKUP(ROWS($Z$3:Z674),$X$3:$Y$992,2,0),"")</f>
        <v>Ostatní maloobchod s potravinami ve specializovaných prodejnách</v>
      </c>
    </row>
    <row r="675" spans="13:26" ht="12.75">
      <c r="M675" s="418">
        <f>IF(ISNUMBER(SEARCH(ZAKL_DATA!$B$29,N675)),MAX($M$2:M674)+1,0)</f>
        <v>673</v>
      </c>
      <c r="N675" s="419" t="s">
        <v>2885</v>
      </c>
      <c r="O675" s="436" t="s">
        <v>2886</v>
      </c>
      <c r="P675" s="421"/>
      <c r="Q675" s="422" t="str">
        <f>IFERROR(VLOOKUP(ROWS($Q$3:Q675),$M$3:$N$992,2,0),"")</f>
        <v>Maloobchod s počítači, počítačovým periferním zařízením a softwarem</v>
      </c>
      <c r="R675">
        <f>IF(ISNUMBER(SEARCH('1Př1'!$A$35,N675)),MAX($M$2:M674)+1,0)</f>
        <v>673</v>
      </c>
      <c r="S675" s="419" t="s">
        <v>2885</v>
      </c>
      <c r="T675" t="str">
        <f>IFERROR(VLOOKUP(ROWS($T$3:T675),$R$3:$S$992,2,0),"")</f>
        <v>Maloobchod s počítači, počítačovým periferním zařízením a softwarem</v>
      </c>
      <c r="U675">
        <f>IF(ISNUMBER(SEARCH('1Př1'!$A$36,N675)),MAX($M$2:M674)+1,0)</f>
        <v>673</v>
      </c>
      <c r="V675" s="419" t="s">
        <v>2885</v>
      </c>
      <c r="W675" t="str">
        <f>IFERROR(VLOOKUP(ROWS($W$3:W675),$U$3:$V$992,2,0),"")</f>
        <v>Maloobchod s počítači, počítačovým periferním zařízením a softwarem</v>
      </c>
      <c r="X675">
        <f>IF(ISNUMBER(SEARCH('1Př1'!$A$37,N675)),MAX($M$2:M674)+1,0)</f>
        <v>673</v>
      </c>
      <c r="Y675" s="419" t="s">
        <v>2885</v>
      </c>
      <c r="Z675" t="str">
        <f>IFERROR(VLOOKUP(ROWS($Z$3:Z675),$X$3:$Y$992,2,0),"")</f>
        <v>Maloobchod s počítači, počítačovým periferním zařízením a softwarem</v>
      </c>
    </row>
    <row r="676" spans="13:26" ht="12.75">
      <c r="M676" s="418">
        <f>IF(ISNUMBER(SEARCH(ZAKL_DATA!$B$29,N676)),MAX($M$2:M675)+1,0)</f>
        <v>674</v>
      </c>
      <c r="N676" s="419" t="s">
        <v>2887</v>
      </c>
      <c r="O676" s="436" t="s">
        <v>2888</v>
      </c>
      <c r="P676" s="421"/>
      <c r="Q676" s="422" t="str">
        <f>IFERROR(VLOOKUP(ROWS($Q$3:Q676),$M$3:$N$992,2,0),"")</f>
        <v>Maloobchod s telekomunikačním zařízením</v>
      </c>
      <c r="R676">
        <f>IF(ISNUMBER(SEARCH('1Př1'!$A$35,N676)),MAX($M$2:M675)+1,0)</f>
        <v>674</v>
      </c>
      <c r="S676" s="419" t="s">
        <v>2887</v>
      </c>
      <c r="T676" t="str">
        <f>IFERROR(VLOOKUP(ROWS($T$3:T676),$R$3:$S$992,2,0),"")</f>
        <v>Maloobchod s telekomunikačním zařízením</v>
      </c>
      <c r="U676">
        <f>IF(ISNUMBER(SEARCH('1Př1'!$A$36,N676)),MAX($M$2:M675)+1,0)</f>
        <v>674</v>
      </c>
      <c r="V676" s="419" t="s">
        <v>2887</v>
      </c>
      <c r="W676" t="str">
        <f>IFERROR(VLOOKUP(ROWS($W$3:W676),$U$3:$V$992,2,0),"")</f>
        <v>Maloobchod s telekomunikačním zařízením</v>
      </c>
      <c r="X676">
        <f>IF(ISNUMBER(SEARCH('1Př1'!$A$37,N676)),MAX($M$2:M675)+1,0)</f>
        <v>674</v>
      </c>
      <c r="Y676" s="419" t="s">
        <v>2887</v>
      </c>
      <c r="Z676" t="str">
        <f>IFERROR(VLOOKUP(ROWS($Z$3:Z676),$X$3:$Y$992,2,0),"")</f>
        <v>Maloobchod s telekomunikačním zařízením</v>
      </c>
    </row>
    <row r="677" spans="13:26" ht="12.75">
      <c r="M677" s="418">
        <f>IF(ISNUMBER(SEARCH(ZAKL_DATA!$B$29,N677)),MAX($M$2:M676)+1,0)</f>
        <v>675</v>
      </c>
      <c r="N677" s="419" t="s">
        <v>2889</v>
      </c>
      <c r="O677" s="436" t="s">
        <v>2890</v>
      </c>
      <c r="P677" s="421"/>
      <c r="Q677" s="422" t="str">
        <f>IFERROR(VLOOKUP(ROWS($Q$3:Q677),$M$3:$N$992,2,0),"")</f>
        <v>Maloobchod s audio- a videozařízením</v>
      </c>
      <c r="R677">
        <f>IF(ISNUMBER(SEARCH('1Př1'!$A$35,N677)),MAX($M$2:M676)+1,0)</f>
        <v>675</v>
      </c>
      <c r="S677" s="419" t="s">
        <v>2889</v>
      </c>
      <c r="T677" t="str">
        <f>IFERROR(VLOOKUP(ROWS($T$3:T677),$R$3:$S$992,2,0),"")</f>
        <v>Maloobchod s audio- a videozařízením</v>
      </c>
      <c r="U677">
        <f>IF(ISNUMBER(SEARCH('1Př1'!$A$36,N677)),MAX($M$2:M676)+1,0)</f>
        <v>675</v>
      </c>
      <c r="V677" s="419" t="s">
        <v>2889</v>
      </c>
      <c r="W677" t="str">
        <f>IFERROR(VLOOKUP(ROWS($W$3:W677),$U$3:$V$992,2,0),"")</f>
        <v>Maloobchod s audio- a videozařízením</v>
      </c>
      <c r="X677">
        <f>IF(ISNUMBER(SEARCH('1Př1'!$A$37,N677)),MAX($M$2:M676)+1,0)</f>
        <v>675</v>
      </c>
      <c r="Y677" s="419" t="s">
        <v>2889</v>
      </c>
      <c r="Z677" t="str">
        <f>IFERROR(VLOOKUP(ROWS($Z$3:Z677),$X$3:$Y$992,2,0),"")</f>
        <v>Maloobchod s audio- a videozařízením</v>
      </c>
    </row>
    <row r="678" spans="13:26" ht="12.75">
      <c r="M678" s="418">
        <f>IF(ISNUMBER(SEARCH(ZAKL_DATA!$B$29,N678)),MAX($M$2:M677)+1,0)</f>
        <v>676</v>
      </c>
      <c r="N678" s="419" t="s">
        <v>2891</v>
      </c>
      <c r="O678" s="436" t="s">
        <v>2892</v>
      </c>
      <c r="P678" s="421"/>
      <c r="Q678" s="422" t="str">
        <f>IFERROR(VLOOKUP(ROWS($Q$3:Q678),$M$3:$N$992,2,0),"")</f>
        <v>Maloobchod s textilem</v>
      </c>
      <c r="R678">
        <f>IF(ISNUMBER(SEARCH('1Př1'!$A$35,N678)),MAX($M$2:M677)+1,0)</f>
        <v>676</v>
      </c>
      <c r="S678" s="419" t="s">
        <v>2891</v>
      </c>
      <c r="T678" t="str">
        <f>IFERROR(VLOOKUP(ROWS($T$3:T678),$R$3:$S$992,2,0),"")</f>
        <v>Maloobchod s textilem</v>
      </c>
      <c r="U678">
        <f>IF(ISNUMBER(SEARCH('1Př1'!$A$36,N678)),MAX($M$2:M677)+1,0)</f>
        <v>676</v>
      </c>
      <c r="V678" s="419" t="s">
        <v>2891</v>
      </c>
      <c r="W678" t="str">
        <f>IFERROR(VLOOKUP(ROWS($W$3:W678),$U$3:$V$992,2,0),"")</f>
        <v>Maloobchod s textilem</v>
      </c>
      <c r="X678">
        <f>IF(ISNUMBER(SEARCH('1Př1'!$A$37,N678)),MAX($M$2:M677)+1,0)</f>
        <v>676</v>
      </c>
      <c r="Y678" s="419" t="s">
        <v>2891</v>
      </c>
      <c r="Z678" t="str">
        <f>IFERROR(VLOOKUP(ROWS($Z$3:Z678),$X$3:$Y$992,2,0),"")</f>
        <v>Maloobchod s textilem</v>
      </c>
    </row>
    <row r="679" spans="13:26" ht="12.75">
      <c r="M679" s="418">
        <f>IF(ISNUMBER(SEARCH(ZAKL_DATA!$B$29,N679)),MAX($M$2:M678)+1,0)</f>
        <v>677</v>
      </c>
      <c r="N679" s="419" t="s">
        <v>2893</v>
      </c>
      <c r="O679" s="436" t="s">
        <v>2894</v>
      </c>
      <c r="P679" s="421"/>
      <c r="Q679" s="422" t="str">
        <f>IFERROR(VLOOKUP(ROWS($Q$3:Q679),$M$3:$N$992,2,0),"")</f>
        <v>Maloobchod s železářským zbožím, barvami, sklem a potřebami pro kutily</v>
      </c>
      <c r="R679">
        <f>IF(ISNUMBER(SEARCH('1Př1'!$A$35,N679)),MAX($M$2:M678)+1,0)</f>
        <v>677</v>
      </c>
      <c r="S679" s="419" t="s">
        <v>2893</v>
      </c>
      <c r="T679" t="str">
        <f>IFERROR(VLOOKUP(ROWS($T$3:T679),$R$3:$S$992,2,0),"")</f>
        <v>Maloobchod s železářským zbožím, barvami, sklem a potřebami pro kutily</v>
      </c>
      <c r="U679">
        <f>IF(ISNUMBER(SEARCH('1Př1'!$A$36,N679)),MAX($M$2:M678)+1,0)</f>
        <v>677</v>
      </c>
      <c r="V679" s="419" t="s">
        <v>2893</v>
      </c>
      <c r="W679" t="str">
        <f>IFERROR(VLOOKUP(ROWS($W$3:W679),$U$3:$V$992,2,0),"")</f>
        <v>Maloobchod s železářským zbožím, barvami, sklem a potřebami pro kutily</v>
      </c>
      <c r="X679">
        <f>IF(ISNUMBER(SEARCH('1Př1'!$A$37,N679)),MAX($M$2:M678)+1,0)</f>
        <v>677</v>
      </c>
      <c r="Y679" s="419" t="s">
        <v>2893</v>
      </c>
      <c r="Z679" t="str">
        <f>IFERROR(VLOOKUP(ROWS($Z$3:Z679),$X$3:$Y$992,2,0),"")</f>
        <v>Maloobchod s železářským zbožím, barvami, sklem a potřebami pro kutily</v>
      </c>
    </row>
    <row r="680" spans="13:26" ht="12.75">
      <c r="M680" s="418">
        <f>IF(ISNUMBER(SEARCH(ZAKL_DATA!$B$29,N680)),MAX($M$2:M679)+1,0)</f>
        <v>678</v>
      </c>
      <c r="N680" s="419" t="s">
        <v>2895</v>
      </c>
      <c r="O680" s="436" t="s">
        <v>2896</v>
      </c>
      <c r="P680" s="421"/>
      <c r="Q680" s="422" t="str">
        <f>IFERROR(VLOOKUP(ROWS($Q$3:Q680),$M$3:$N$992,2,0),"")</f>
        <v>Maloobchod s koberci, podlahovými krytinami a nástěnnými obklady</v>
      </c>
      <c r="R680">
        <f>IF(ISNUMBER(SEARCH('1Př1'!$A$35,N680)),MAX($M$2:M679)+1,0)</f>
        <v>678</v>
      </c>
      <c r="S680" s="419" t="s">
        <v>2895</v>
      </c>
      <c r="T680" t="str">
        <f>IFERROR(VLOOKUP(ROWS($T$3:T680),$R$3:$S$992,2,0),"")</f>
        <v>Maloobchod s koberci, podlahovými krytinami a nástěnnými obklady</v>
      </c>
      <c r="U680">
        <f>IF(ISNUMBER(SEARCH('1Př1'!$A$36,N680)),MAX($M$2:M679)+1,0)</f>
        <v>678</v>
      </c>
      <c r="V680" s="419" t="s">
        <v>2895</v>
      </c>
      <c r="W680" t="str">
        <f>IFERROR(VLOOKUP(ROWS($W$3:W680),$U$3:$V$992,2,0),"")</f>
        <v>Maloobchod s koberci, podlahovými krytinami a nástěnnými obklady</v>
      </c>
      <c r="X680">
        <f>IF(ISNUMBER(SEARCH('1Př1'!$A$37,N680)),MAX($M$2:M679)+1,0)</f>
        <v>678</v>
      </c>
      <c r="Y680" s="419" t="s">
        <v>2895</v>
      </c>
      <c r="Z680" t="str">
        <f>IFERROR(VLOOKUP(ROWS($Z$3:Z680),$X$3:$Y$992,2,0),"")</f>
        <v>Maloobchod s koberci, podlahovými krytinami a nástěnnými obklady</v>
      </c>
    </row>
    <row r="681" spans="13:26" ht="12.75">
      <c r="M681" s="418">
        <f>IF(ISNUMBER(SEARCH(ZAKL_DATA!$B$29,N681)),MAX($M$2:M680)+1,0)</f>
        <v>679</v>
      </c>
      <c r="N681" s="419" t="s">
        <v>2897</v>
      </c>
      <c r="O681" s="436" t="s">
        <v>2898</v>
      </c>
      <c r="P681" s="421"/>
      <c r="Q681" s="422" t="str">
        <f>IFERROR(VLOOKUP(ROWS($Q$3:Q681),$M$3:$N$992,2,0),"")</f>
        <v>Maloobchod s elektrospotřebiči a elektronikou</v>
      </c>
      <c r="R681">
        <f>IF(ISNUMBER(SEARCH('1Př1'!$A$35,N681)),MAX($M$2:M680)+1,0)</f>
        <v>679</v>
      </c>
      <c r="S681" s="419" t="s">
        <v>2897</v>
      </c>
      <c r="T681" t="str">
        <f>IFERROR(VLOOKUP(ROWS($T$3:T681),$R$3:$S$992,2,0),"")</f>
        <v>Maloobchod s elektrospotřebiči a elektronikou</v>
      </c>
      <c r="U681">
        <f>IF(ISNUMBER(SEARCH('1Př1'!$A$36,N681)),MAX($M$2:M680)+1,0)</f>
        <v>679</v>
      </c>
      <c r="V681" s="419" t="s">
        <v>2897</v>
      </c>
      <c r="W681" t="str">
        <f>IFERROR(VLOOKUP(ROWS($W$3:W681),$U$3:$V$992,2,0),"")</f>
        <v>Maloobchod s elektrospotřebiči a elektronikou</v>
      </c>
      <c r="X681">
        <f>IF(ISNUMBER(SEARCH('1Př1'!$A$37,N681)),MAX($M$2:M680)+1,0)</f>
        <v>679</v>
      </c>
      <c r="Y681" s="419" t="s">
        <v>2897</v>
      </c>
      <c r="Z681" t="str">
        <f>IFERROR(VLOOKUP(ROWS($Z$3:Z681),$X$3:$Y$992,2,0),"")</f>
        <v>Maloobchod s elektrospotřebiči a elektronikou</v>
      </c>
    </row>
    <row r="682" spans="13:26" ht="12.75">
      <c r="M682" s="418">
        <f>IF(ISNUMBER(SEARCH(ZAKL_DATA!$B$29,N682)),MAX($M$2:M681)+1,0)</f>
        <v>680</v>
      </c>
      <c r="N682" s="419" t="s">
        <v>2899</v>
      </c>
      <c r="O682" s="436" t="s">
        <v>2900</v>
      </c>
      <c r="P682" s="421"/>
      <c r="Q682" s="422" t="str">
        <f>IFERROR(VLOOKUP(ROWS($Q$3:Q682),$M$3:$N$992,2,0),"")</f>
        <v>Maloobchod s nábytkem,svítidly a ost.výr.přev.pro dom.ve specializ.prod.</v>
      </c>
      <c r="R682">
        <f>IF(ISNUMBER(SEARCH('1Př1'!$A$35,N682)),MAX($M$2:M681)+1,0)</f>
        <v>680</v>
      </c>
      <c r="S682" s="419" t="s">
        <v>2899</v>
      </c>
      <c r="T682" t="str">
        <f>IFERROR(VLOOKUP(ROWS($T$3:T682),$R$3:$S$992,2,0),"")</f>
        <v>Maloobchod s nábytkem,svítidly a ost.výr.přev.pro dom.ve specializ.prod.</v>
      </c>
      <c r="U682">
        <f>IF(ISNUMBER(SEARCH('1Př1'!$A$36,N682)),MAX($M$2:M681)+1,0)</f>
        <v>680</v>
      </c>
      <c r="V682" s="419" t="s">
        <v>2899</v>
      </c>
      <c r="W682" t="str">
        <f>IFERROR(VLOOKUP(ROWS($W$3:W682),$U$3:$V$992,2,0),"")</f>
        <v>Maloobchod s nábytkem,svítidly a ost.výr.přev.pro dom.ve specializ.prod.</v>
      </c>
      <c r="X682">
        <f>IF(ISNUMBER(SEARCH('1Př1'!$A$37,N682)),MAX($M$2:M681)+1,0)</f>
        <v>680</v>
      </c>
      <c r="Y682" s="419" t="s">
        <v>2899</v>
      </c>
      <c r="Z682" t="str">
        <f>IFERROR(VLOOKUP(ROWS($Z$3:Z682),$X$3:$Y$992,2,0),"")</f>
        <v>Maloobchod s nábytkem,svítidly a ost.výr.přev.pro dom.ve specializ.prod.</v>
      </c>
    </row>
    <row r="683" spans="13:26" ht="12.75">
      <c r="M683" s="418">
        <f>IF(ISNUMBER(SEARCH(ZAKL_DATA!$B$29,N683)),MAX($M$2:M682)+1,0)</f>
        <v>681</v>
      </c>
      <c r="N683" s="419" t="s">
        <v>2901</v>
      </c>
      <c r="O683" s="436" t="s">
        <v>2902</v>
      </c>
      <c r="P683" s="421"/>
      <c r="Q683" s="422" t="str">
        <f>IFERROR(VLOOKUP(ROWS($Q$3:Q683),$M$3:$N$992,2,0),"")</f>
        <v>Maloobchod s knihami</v>
      </c>
      <c r="R683">
        <f>IF(ISNUMBER(SEARCH('1Př1'!$A$35,N683)),MAX($M$2:M682)+1,0)</f>
        <v>681</v>
      </c>
      <c r="S683" s="419" t="s">
        <v>2901</v>
      </c>
      <c r="T683" t="str">
        <f>IFERROR(VLOOKUP(ROWS($T$3:T683),$R$3:$S$992,2,0),"")</f>
        <v>Maloobchod s knihami</v>
      </c>
      <c r="U683">
        <f>IF(ISNUMBER(SEARCH('1Př1'!$A$36,N683)),MAX($M$2:M682)+1,0)</f>
        <v>681</v>
      </c>
      <c r="V683" s="419" t="s">
        <v>2901</v>
      </c>
      <c r="W683" t="str">
        <f>IFERROR(VLOOKUP(ROWS($W$3:W683),$U$3:$V$992,2,0),"")</f>
        <v>Maloobchod s knihami</v>
      </c>
      <c r="X683">
        <f>IF(ISNUMBER(SEARCH('1Př1'!$A$37,N683)),MAX($M$2:M682)+1,0)</f>
        <v>681</v>
      </c>
      <c r="Y683" s="419" t="s">
        <v>2901</v>
      </c>
      <c r="Z683" t="str">
        <f>IFERROR(VLOOKUP(ROWS($Z$3:Z683),$X$3:$Y$992,2,0),"")</f>
        <v>Maloobchod s knihami</v>
      </c>
    </row>
    <row r="684" spans="13:26" ht="12.75">
      <c r="M684" s="418">
        <f>IF(ISNUMBER(SEARCH(ZAKL_DATA!$B$29,N684)),MAX($M$2:M683)+1,0)</f>
        <v>682</v>
      </c>
      <c r="N684" s="419" t="s">
        <v>2903</v>
      </c>
      <c r="O684" s="436" t="s">
        <v>2904</v>
      </c>
      <c r="P684" s="421"/>
      <c r="Q684" s="422" t="str">
        <f>IFERROR(VLOOKUP(ROWS($Q$3:Q684),$M$3:$N$992,2,0),"")</f>
        <v>Maloobchod s novinami, časopisy a papírnickým zbožím</v>
      </c>
      <c r="R684">
        <f>IF(ISNUMBER(SEARCH('1Př1'!$A$35,N684)),MAX($M$2:M683)+1,0)</f>
        <v>682</v>
      </c>
      <c r="S684" s="419" t="s">
        <v>2903</v>
      </c>
      <c r="T684" t="str">
        <f>IFERROR(VLOOKUP(ROWS($T$3:T684),$R$3:$S$992,2,0),"")</f>
        <v>Maloobchod s novinami, časopisy a papírnickým zbožím</v>
      </c>
      <c r="U684">
        <f>IF(ISNUMBER(SEARCH('1Př1'!$A$36,N684)),MAX($M$2:M683)+1,0)</f>
        <v>682</v>
      </c>
      <c r="V684" s="419" t="s">
        <v>2903</v>
      </c>
      <c r="W684" t="str">
        <f>IFERROR(VLOOKUP(ROWS($W$3:W684),$U$3:$V$992,2,0),"")</f>
        <v>Maloobchod s novinami, časopisy a papírnickým zbožím</v>
      </c>
      <c r="X684">
        <f>IF(ISNUMBER(SEARCH('1Př1'!$A$37,N684)),MAX($M$2:M683)+1,0)</f>
        <v>682</v>
      </c>
      <c r="Y684" s="419" t="s">
        <v>2903</v>
      </c>
      <c r="Z684" t="str">
        <f>IFERROR(VLOOKUP(ROWS($Z$3:Z684),$X$3:$Y$992,2,0),"")</f>
        <v>Maloobchod s novinami, časopisy a papírnickým zbožím</v>
      </c>
    </row>
    <row r="685" spans="13:26" ht="12.75">
      <c r="M685" s="418">
        <f>IF(ISNUMBER(SEARCH(ZAKL_DATA!$B$29,N685)),MAX($M$2:M684)+1,0)</f>
        <v>683</v>
      </c>
      <c r="N685" s="419" t="s">
        <v>2905</v>
      </c>
      <c r="O685" s="436" t="s">
        <v>2906</v>
      </c>
      <c r="P685" s="421"/>
      <c r="Q685" s="422" t="str">
        <f>IFERROR(VLOOKUP(ROWS($Q$3:Q685),$M$3:$N$992,2,0),"")</f>
        <v>Maloobchod s audio- a videozáznamy</v>
      </c>
      <c r="R685">
        <f>IF(ISNUMBER(SEARCH('1Př1'!$A$35,N685)),MAX($M$2:M684)+1,0)</f>
        <v>683</v>
      </c>
      <c r="S685" s="419" t="s">
        <v>2905</v>
      </c>
      <c r="T685" t="str">
        <f>IFERROR(VLOOKUP(ROWS($T$3:T685),$R$3:$S$992,2,0),"")</f>
        <v>Maloobchod s audio- a videozáznamy</v>
      </c>
      <c r="U685">
        <f>IF(ISNUMBER(SEARCH('1Př1'!$A$36,N685)),MAX($M$2:M684)+1,0)</f>
        <v>683</v>
      </c>
      <c r="V685" s="419" t="s">
        <v>2905</v>
      </c>
      <c r="W685" t="str">
        <f>IFERROR(VLOOKUP(ROWS($W$3:W685),$U$3:$V$992,2,0),"")</f>
        <v>Maloobchod s audio- a videozáznamy</v>
      </c>
      <c r="X685">
        <f>IF(ISNUMBER(SEARCH('1Př1'!$A$37,N685)),MAX($M$2:M684)+1,0)</f>
        <v>683</v>
      </c>
      <c r="Y685" s="419" t="s">
        <v>2905</v>
      </c>
      <c r="Z685" t="str">
        <f>IFERROR(VLOOKUP(ROWS($Z$3:Z685),$X$3:$Y$992,2,0),"")</f>
        <v>Maloobchod s audio- a videozáznamy</v>
      </c>
    </row>
    <row r="686" spans="13:26" ht="12.75">
      <c r="M686" s="418">
        <f>IF(ISNUMBER(SEARCH(ZAKL_DATA!$B$29,N686)),MAX($M$2:M685)+1,0)</f>
        <v>684</v>
      </c>
      <c r="N686" s="419" t="s">
        <v>2907</v>
      </c>
      <c r="O686" s="436" t="s">
        <v>2908</v>
      </c>
      <c r="P686" s="421"/>
      <c r="Q686" s="422" t="str">
        <f>IFERROR(VLOOKUP(ROWS($Q$3:Q686),$M$3:$N$992,2,0),"")</f>
        <v>Maloobchod se sportovním vybavením</v>
      </c>
      <c r="R686">
        <f>IF(ISNUMBER(SEARCH('1Př1'!$A$35,N686)),MAX($M$2:M685)+1,0)</f>
        <v>684</v>
      </c>
      <c r="S686" s="419" t="s">
        <v>2907</v>
      </c>
      <c r="T686" t="str">
        <f>IFERROR(VLOOKUP(ROWS($T$3:T686),$R$3:$S$992,2,0),"")</f>
        <v>Maloobchod se sportovním vybavením</v>
      </c>
      <c r="U686">
        <f>IF(ISNUMBER(SEARCH('1Př1'!$A$36,N686)),MAX($M$2:M685)+1,0)</f>
        <v>684</v>
      </c>
      <c r="V686" s="419" t="s">
        <v>2907</v>
      </c>
      <c r="W686" t="str">
        <f>IFERROR(VLOOKUP(ROWS($W$3:W686),$U$3:$V$992,2,0),"")</f>
        <v>Maloobchod se sportovním vybavením</v>
      </c>
      <c r="X686">
        <f>IF(ISNUMBER(SEARCH('1Př1'!$A$37,N686)),MAX($M$2:M685)+1,0)</f>
        <v>684</v>
      </c>
      <c r="Y686" s="419" t="s">
        <v>2907</v>
      </c>
      <c r="Z686" t="str">
        <f>IFERROR(VLOOKUP(ROWS($Z$3:Z686),$X$3:$Y$992,2,0),"")</f>
        <v>Maloobchod se sportovním vybavením</v>
      </c>
    </row>
    <row r="687" spans="13:26" ht="12.75">
      <c r="M687" s="418">
        <f>IF(ISNUMBER(SEARCH(ZAKL_DATA!$B$29,N687)),MAX($M$2:M686)+1,0)</f>
        <v>685</v>
      </c>
      <c r="N687" s="419" t="s">
        <v>2909</v>
      </c>
      <c r="O687" s="436" t="s">
        <v>2910</v>
      </c>
      <c r="P687" s="421"/>
      <c r="Q687" s="422" t="str">
        <f>IFERROR(VLOOKUP(ROWS($Q$3:Q687),$M$3:$N$992,2,0),"")</f>
        <v>Maloobchod s hrami a hračkami</v>
      </c>
      <c r="R687">
        <f>IF(ISNUMBER(SEARCH('1Př1'!$A$35,N687)),MAX($M$2:M686)+1,0)</f>
        <v>685</v>
      </c>
      <c r="S687" s="419" t="s">
        <v>2909</v>
      </c>
      <c r="T687" t="str">
        <f>IFERROR(VLOOKUP(ROWS($T$3:T687),$R$3:$S$992,2,0),"")</f>
        <v>Maloobchod s hrami a hračkami</v>
      </c>
      <c r="U687">
        <f>IF(ISNUMBER(SEARCH('1Př1'!$A$36,N687)),MAX($M$2:M686)+1,0)</f>
        <v>685</v>
      </c>
      <c r="V687" s="419" t="s">
        <v>2909</v>
      </c>
      <c r="W687" t="str">
        <f>IFERROR(VLOOKUP(ROWS($W$3:W687),$U$3:$V$992,2,0),"")</f>
        <v>Maloobchod s hrami a hračkami</v>
      </c>
      <c r="X687">
        <f>IF(ISNUMBER(SEARCH('1Př1'!$A$37,N687)),MAX($M$2:M686)+1,0)</f>
        <v>685</v>
      </c>
      <c r="Y687" s="419" t="s">
        <v>2909</v>
      </c>
      <c r="Z687" t="str">
        <f>IFERROR(VLOOKUP(ROWS($Z$3:Z687),$X$3:$Y$992,2,0),"")</f>
        <v>Maloobchod s hrami a hračkami</v>
      </c>
    </row>
    <row r="688" spans="13:26" ht="12.75">
      <c r="M688" s="418">
        <f>IF(ISNUMBER(SEARCH(ZAKL_DATA!$B$29,N688)),MAX($M$2:M687)+1,0)</f>
        <v>686</v>
      </c>
      <c r="N688" s="419" t="s">
        <v>2911</v>
      </c>
      <c r="O688" s="436" t="s">
        <v>2912</v>
      </c>
      <c r="P688" s="421"/>
      <c r="Q688" s="422" t="str">
        <f>IFERROR(VLOOKUP(ROWS($Q$3:Q688),$M$3:$N$992,2,0),"")</f>
        <v>Maloobchod s oděvy</v>
      </c>
      <c r="R688">
        <f>IF(ISNUMBER(SEARCH('1Př1'!$A$35,N688)),MAX($M$2:M687)+1,0)</f>
        <v>686</v>
      </c>
      <c r="S688" s="419" t="s">
        <v>2911</v>
      </c>
      <c r="T688" t="str">
        <f>IFERROR(VLOOKUP(ROWS($T$3:T688),$R$3:$S$992,2,0),"")</f>
        <v>Maloobchod s oděvy</v>
      </c>
      <c r="U688">
        <f>IF(ISNUMBER(SEARCH('1Př1'!$A$36,N688)),MAX($M$2:M687)+1,0)</f>
        <v>686</v>
      </c>
      <c r="V688" s="419" t="s">
        <v>2911</v>
      </c>
      <c r="W688" t="str">
        <f>IFERROR(VLOOKUP(ROWS($W$3:W688),$U$3:$V$992,2,0),"")</f>
        <v>Maloobchod s oděvy</v>
      </c>
      <c r="X688">
        <f>IF(ISNUMBER(SEARCH('1Př1'!$A$37,N688)),MAX($M$2:M687)+1,0)</f>
        <v>686</v>
      </c>
      <c r="Y688" s="419" t="s">
        <v>2911</v>
      </c>
      <c r="Z688" t="str">
        <f>IFERROR(VLOOKUP(ROWS($Z$3:Z688),$X$3:$Y$992,2,0),"")</f>
        <v>Maloobchod s oděvy</v>
      </c>
    </row>
    <row r="689" spans="13:26" ht="12.75">
      <c r="M689" s="418">
        <f>IF(ISNUMBER(SEARCH(ZAKL_DATA!$B$29,N689)),MAX($M$2:M688)+1,0)</f>
        <v>687</v>
      </c>
      <c r="N689" s="419" t="s">
        <v>2913</v>
      </c>
      <c r="O689" s="436" t="s">
        <v>2914</v>
      </c>
      <c r="P689" s="421"/>
      <c r="Q689" s="422" t="str">
        <f>IFERROR(VLOOKUP(ROWS($Q$3:Q689),$M$3:$N$992,2,0),"")</f>
        <v>Maloobchod s obuví a koženými výrobky</v>
      </c>
      <c r="R689">
        <f>IF(ISNUMBER(SEARCH('1Př1'!$A$35,N689)),MAX($M$2:M688)+1,0)</f>
        <v>687</v>
      </c>
      <c r="S689" s="419" t="s">
        <v>2913</v>
      </c>
      <c r="T689" t="str">
        <f>IFERROR(VLOOKUP(ROWS($T$3:T689),$R$3:$S$992,2,0),"")</f>
        <v>Maloobchod s obuví a koženými výrobky</v>
      </c>
      <c r="U689">
        <f>IF(ISNUMBER(SEARCH('1Př1'!$A$36,N689)),MAX($M$2:M688)+1,0)</f>
        <v>687</v>
      </c>
      <c r="V689" s="419" t="s">
        <v>2913</v>
      </c>
      <c r="W689" t="str">
        <f>IFERROR(VLOOKUP(ROWS($W$3:W689),$U$3:$V$992,2,0),"")</f>
        <v>Maloobchod s obuví a koženými výrobky</v>
      </c>
      <c r="X689">
        <f>IF(ISNUMBER(SEARCH('1Př1'!$A$37,N689)),MAX($M$2:M688)+1,0)</f>
        <v>687</v>
      </c>
      <c r="Y689" s="419" t="s">
        <v>2913</v>
      </c>
      <c r="Z689" t="str">
        <f>IFERROR(VLOOKUP(ROWS($Z$3:Z689),$X$3:$Y$992,2,0),"")</f>
        <v>Maloobchod s obuví a koženými výrobky</v>
      </c>
    </row>
    <row r="690" spans="13:26" ht="12.75">
      <c r="M690" s="418">
        <f>IF(ISNUMBER(SEARCH(ZAKL_DATA!$B$29,N690)),MAX($M$2:M689)+1,0)</f>
        <v>688</v>
      </c>
      <c r="N690" s="419" t="s">
        <v>2915</v>
      </c>
      <c r="O690" s="436" t="s">
        <v>2916</v>
      </c>
      <c r="P690" s="421"/>
      <c r="Q690" s="422" t="str">
        <f>IFERROR(VLOOKUP(ROWS($Q$3:Q690),$M$3:$N$992,2,0),"")</f>
        <v>Maloobchod s farmaceutickými přípravky</v>
      </c>
      <c r="R690">
        <f>IF(ISNUMBER(SEARCH('1Př1'!$A$35,N690)),MAX($M$2:M689)+1,0)</f>
        <v>688</v>
      </c>
      <c r="S690" s="419" t="s">
        <v>2915</v>
      </c>
      <c r="T690" t="str">
        <f>IFERROR(VLOOKUP(ROWS($T$3:T690),$R$3:$S$992,2,0),"")</f>
        <v>Maloobchod s farmaceutickými přípravky</v>
      </c>
      <c r="U690">
        <f>IF(ISNUMBER(SEARCH('1Př1'!$A$36,N690)),MAX($M$2:M689)+1,0)</f>
        <v>688</v>
      </c>
      <c r="V690" s="419" t="s">
        <v>2915</v>
      </c>
      <c r="W690" t="str">
        <f>IFERROR(VLOOKUP(ROWS($W$3:W690),$U$3:$V$992,2,0),"")</f>
        <v>Maloobchod s farmaceutickými přípravky</v>
      </c>
      <c r="X690">
        <f>IF(ISNUMBER(SEARCH('1Př1'!$A$37,N690)),MAX($M$2:M689)+1,0)</f>
        <v>688</v>
      </c>
      <c r="Y690" s="419" t="s">
        <v>2915</v>
      </c>
      <c r="Z690" t="str">
        <f>IFERROR(VLOOKUP(ROWS($Z$3:Z690),$X$3:$Y$992,2,0),"")</f>
        <v>Maloobchod s farmaceutickými přípravky</v>
      </c>
    </row>
    <row r="691" spans="13:26" ht="12.75">
      <c r="M691" s="418">
        <f>IF(ISNUMBER(SEARCH(ZAKL_DATA!$B$29,N691)),MAX($M$2:M690)+1,0)</f>
        <v>689</v>
      </c>
      <c r="N691" s="419" t="s">
        <v>2917</v>
      </c>
      <c r="O691" s="436" t="s">
        <v>2918</v>
      </c>
      <c r="P691" s="421"/>
      <c r="Q691" s="422" t="str">
        <f>IFERROR(VLOOKUP(ROWS($Q$3:Q691),$M$3:$N$992,2,0),"")</f>
        <v>Maloobchod se zdravotnickými a ortopedickými výrobky</v>
      </c>
      <c r="R691">
        <f>IF(ISNUMBER(SEARCH('1Př1'!$A$35,N691)),MAX($M$2:M690)+1,0)</f>
        <v>689</v>
      </c>
      <c r="S691" s="419" t="s">
        <v>2917</v>
      </c>
      <c r="T691" t="str">
        <f>IFERROR(VLOOKUP(ROWS($T$3:T691),$R$3:$S$992,2,0),"")</f>
        <v>Maloobchod se zdravotnickými a ortopedickými výrobky</v>
      </c>
      <c r="U691">
        <f>IF(ISNUMBER(SEARCH('1Př1'!$A$36,N691)),MAX($M$2:M690)+1,0)</f>
        <v>689</v>
      </c>
      <c r="V691" s="419" t="s">
        <v>2917</v>
      </c>
      <c r="W691" t="str">
        <f>IFERROR(VLOOKUP(ROWS($W$3:W691),$U$3:$V$992,2,0),"")</f>
        <v>Maloobchod se zdravotnickými a ortopedickými výrobky</v>
      </c>
      <c r="X691">
        <f>IF(ISNUMBER(SEARCH('1Př1'!$A$37,N691)),MAX($M$2:M690)+1,0)</f>
        <v>689</v>
      </c>
      <c r="Y691" s="419" t="s">
        <v>2917</v>
      </c>
      <c r="Z691" t="str">
        <f>IFERROR(VLOOKUP(ROWS($Z$3:Z691),$X$3:$Y$992,2,0),"")</f>
        <v>Maloobchod se zdravotnickými a ortopedickými výrobky</v>
      </c>
    </row>
    <row r="692" spans="13:26" ht="12.75">
      <c r="M692" s="418">
        <f>IF(ISNUMBER(SEARCH(ZAKL_DATA!$B$29,N692)),MAX($M$2:M691)+1,0)</f>
        <v>690</v>
      </c>
      <c r="N692" s="419" t="s">
        <v>2919</v>
      </c>
      <c r="O692" s="436" t="s">
        <v>2920</v>
      </c>
      <c r="P692" s="421"/>
      <c r="Q692" s="422" t="str">
        <f>IFERROR(VLOOKUP(ROWS($Q$3:Q692),$M$3:$N$992,2,0),"")</f>
        <v>Maloobchod s kosmetickými a toaletními výrobky</v>
      </c>
      <c r="R692">
        <f>IF(ISNUMBER(SEARCH('1Př1'!$A$35,N692)),MAX($M$2:M691)+1,0)</f>
        <v>690</v>
      </c>
      <c r="S692" s="419" t="s">
        <v>2919</v>
      </c>
      <c r="T692" t="str">
        <f>IFERROR(VLOOKUP(ROWS($T$3:T692),$R$3:$S$992,2,0),"")</f>
        <v>Maloobchod s kosmetickými a toaletními výrobky</v>
      </c>
      <c r="U692">
        <f>IF(ISNUMBER(SEARCH('1Př1'!$A$36,N692)),MAX($M$2:M691)+1,0)</f>
        <v>690</v>
      </c>
      <c r="V692" s="419" t="s">
        <v>2919</v>
      </c>
      <c r="W692" t="str">
        <f>IFERROR(VLOOKUP(ROWS($W$3:W692),$U$3:$V$992,2,0),"")</f>
        <v>Maloobchod s kosmetickými a toaletními výrobky</v>
      </c>
      <c r="X692">
        <f>IF(ISNUMBER(SEARCH('1Př1'!$A$37,N692)),MAX($M$2:M691)+1,0)</f>
        <v>690</v>
      </c>
      <c r="Y692" s="419" t="s">
        <v>2919</v>
      </c>
      <c r="Z692" t="str">
        <f>IFERROR(VLOOKUP(ROWS($Z$3:Z692),$X$3:$Y$992,2,0),"")</f>
        <v>Maloobchod s kosmetickými a toaletními výrobky</v>
      </c>
    </row>
    <row r="693" spans="13:26" ht="12.75">
      <c r="M693" s="418">
        <f>IF(ISNUMBER(SEARCH(ZAKL_DATA!$B$29,N693)),MAX($M$2:M692)+1,0)</f>
        <v>691</v>
      </c>
      <c r="N693" s="419" t="s">
        <v>2921</v>
      </c>
      <c r="O693" s="436" t="s">
        <v>2922</v>
      </c>
      <c r="P693" s="421"/>
      <c r="Q693" s="422" t="str">
        <f>IFERROR(VLOOKUP(ROWS($Q$3:Q693),$M$3:$N$992,2,0),"")</f>
        <v>Maloob.s květinami,rostl.,osivy,hnoj.,zvířaty pro záj.chov a krmivy pro ně</v>
      </c>
      <c r="R693">
        <f>IF(ISNUMBER(SEARCH('1Př1'!$A$35,N693)),MAX($M$2:M692)+1,0)</f>
        <v>691</v>
      </c>
      <c r="S693" s="419" t="s">
        <v>2921</v>
      </c>
      <c r="T693" t="str">
        <f>IFERROR(VLOOKUP(ROWS($T$3:T693),$R$3:$S$992,2,0),"")</f>
        <v>Maloob.s květinami,rostl.,osivy,hnoj.,zvířaty pro záj.chov a krmivy pro ně</v>
      </c>
      <c r="U693">
        <f>IF(ISNUMBER(SEARCH('1Př1'!$A$36,N693)),MAX($M$2:M692)+1,0)</f>
        <v>691</v>
      </c>
      <c r="V693" s="419" t="s">
        <v>2921</v>
      </c>
      <c r="W693" t="str">
        <f>IFERROR(VLOOKUP(ROWS($W$3:W693),$U$3:$V$992,2,0),"")</f>
        <v>Maloob.s květinami,rostl.,osivy,hnoj.,zvířaty pro záj.chov a krmivy pro ně</v>
      </c>
      <c r="X693">
        <f>IF(ISNUMBER(SEARCH('1Př1'!$A$37,N693)),MAX($M$2:M692)+1,0)</f>
        <v>691</v>
      </c>
      <c r="Y693" s="419" t="s">
        <v>2921</v>
      </c>
      <c r="Z693" t="str">
        <f>IFERROR(VLOOKUP(ROWS($Z$3:Z693),$X$3:$Y$992,2,0),"")</f>
        <v>Maloob.s květinami,rostl.,osivy,hnoj.,zvířaty pro záj.chov a krmivy pro ně</v>
      </c>
    </row>
    <row r="694" spans="13:26" ht="12.75">
      <c r="M694" s="418">
        <f>IF(ISNUMBER(SEARCH(ZAKL_DATA!$B$29,N694)),MAX($M$2:M693)+1,0)</f>
        <v>692</v>
      </c>
      <c r="N694" s="419" t="s">
        <v>2923</v>
      </c>
      <c r="O694" s="436" t="s">
        <v>2924</v>
      </c>
      <c r="P694" s="421"/>
      <c r="Q694" s="422" t="str">
        <f>IFERROR(VLOOKUP(ROWS($Q$3:Q694),$M$3:$N$992,2,0),"")</f>
        <v>Maloobchod s hodinami, hodinkami a klenoty</v>
      </c>
      <c r="R694">
        <f>IF(ISNUMBER(SEARCH('1Př1'!$A$35,N694)),MAX($M$2:M693)+1,0)</f>
        <v>692</v>
      </c>
      <c r="S694" s="419" t="s">
        <v>2923</v>
      </c>
      <c r="T694" t="str">
        <f>IFERROR(VLOOKUP(ROWS($T$3:T694),$R$3:$S$992,2,0),"")</f>
        <v>Maloobchod s hodinami, hodinkami a klenoty</v>
      </c>
      <c r="U694">
        <f>IF(ISNUMBER(SEARCH('1Př1'!$A$36,N694)),MAX($M$2:M693)+1,0)</f>
        <v>692</v>
      </c>
      <c r="V694" s="419" t="s">
        <v>2923</v>
      </c>
      <c r="W694" t="str">
        <f>IFERROR(VLOOKUP(ROWS($W$3:W694),$U$3:$V$992,2,0),"")</f>
        <v>Maloobchod s hodinami, hodinkami a klenoty</v>
      </c>
      <c r="X694">
        <f>IF(ISNUMBER(SEARCH('1Př1'!$A$37,N694)),MAX($M$2:M693)+1,0)</f>
        <v>692</v>
      </c>
      <c r="Y694" s="419" t="s">
        <v>2923</v>
      </c>
      <c r="Z694" t="str">
        <f>IFERROR(VLOOKUP(ROWS($Z$3:Z694),$X$3:$Y$992,2,0),"")</f>
        <v>Maloobchod s hodinami, hodinkami a klenoty</v>
      </c>
    </row>
    <row r="695" spans="13:26" ht="12.75">
      <c r="M695" s="418">
        <f>IF(ISNUMBER(SEARCH(ZAKL_DATA!$B$29,N695)),MAX($M$2:M694)+1,0)</f>
        <v>693</v>
      </c>
      <c r="N695" s="419" t="s">
        <v>2925</v>
      </c>
      <c r="O695" s="436" t="s">
        <v>2926</v>
      </c>
      <c r="P695" s="421"/>
      <c r="Q695" s="422" t="str">
        <f>IFERROR(VLOOKUP(ROWS($Q$3:Q695),$M$3:$N$992,2,0),"")</f>
        <v>Ostatní maloobchod s novým zbožím ve specializovaných prodejnách</v>
      </c>
      <c r="R695">
        <f>IF(ISNUMBER(SEARCH('1Př1'!$A$35,N695)),MAX($M$2:M694)+1,0)</f>
        <v>693</v>
      </c>
      <c r="S695" s="419" t="s">
        <v>2925</v>
      </c>
      <c r="T695" t="str">
        <f>IFERROR(VLOOKUP(ROWS($T$3:T695),$R$3:$S$992,2,0),"")</f>
        <v>Ostatní maloobchod s novým zbožím ve specializovaných prodejnách</v>
      </c>
      <c r="U695">
        <f>IF(ISNUMBER(SEARCH('1Př1'!$A$36,N695)),MAX($M$2:M694)+1,0)</f>
        <v>693</v>
      </c>
      <c r="V695" s="419" t="s">
        <v>2925</v>
      </c>
      <c r="W695" t="str">
        <f>IFERROR(VLOOKUP(ROWS($W$3:W695),$U$3:$V$992,2,0),"")</f>
        <v>Ostatní maloobchod s novým zbožím ve specializovaných prodejnách</v>
      </c>
      <c r="X695">
        <f>IF(ISNUMBER(SEARCH('1Př1'!$A$37,N695)),MAX($M$2:M694)+1,0)</f>
        <v>693</v>
      </c>
      <c r="Y695" s="419" t="s">
        <v>2925</v>
      </c>
      <c r="Z695" t="str">
        <f>IFERROR(VLOOKUP(ROWS($Z$3:Z695),$X$3:$Y$992,2,0),"")</f>
        <v>Ostatní maloobchod s novým zbožím ve specializovaných prodejnách</v>
      </c>
    </row>
    <row r="696" spans="13:26" ht="12.75">
      <c r="M696" s="418">
        <f>IF(ISNUMBER(SEARCH(ZAKL_DATA!$B$29,N696)),MAX($M$2:M695)+1,0)</f>
        <v>694</v>
      </c>
      <c r="N696" s="419" t="s">
        <v>2927</v>
      </c>
      <c r="O696" s="436" t="s">
        <v>2928</v>
      </c>
      <c r="P696" s="421"/>
      <c r="Q696" s="422" t="str">
        <f>IFERROR(VLOOKUP(ROWS($Q$3:Q696),$M$3:$N$992,2,0),"")</f>
        <v>Maloobchod s použitým zbožím v prodejnách</v>
      </c>
      <c r="R696">
        <f>IF(ISNUMBER(SEARCH('1Př1'!$A$35,N696)),MAX($M$2:M695)+1,0)</f>
        <v>694</v>
      </c>
      <c r="S696" s="419" t="s">
        <v>2927</v>
      </c>
      <c r="T696" t="str">
        <f>IFERROR(VLOOKUP(ROWS($T$3:T696),$R$3:$S$992,2,0),"")</f>
        <v>Maloobchod s použitým zbožím v prodejnách</v>
      </c>
      <c r="U696">
        <f>IF(ISNUMBER(SEARCH('1Př1'!$A$36,N696)),MAX($M$2:M695)+1,0)</f>
        <v>694</v>
      </c>
      <c r="V696" s="419" t="s">
        <v>2927</v>
      </c>
      <c r="W696" t="str">
        <f>IFERROR(VLOOKUP(ROWS($W$3:W696),$U$3:$V$992,2,0),"")</f>
        <v>Maloobchod s použitým zbožím v prodejnách</v>
      </c>
      <c r="X696">
        <f>IF(ISNUMBER(SEARCH('1Př1'!$A$37,N696)),MAX($M$2:M695)+1,0)</f>
        <v>694</v>
      </c>
      <c r="Y696" s="419" t="s">
        <v>2927</v>
      </c>
      <c r="Z696" t="str">
        <f>IFERROR(VLOOKUP(ROWS($Z$3:Z696),$X$3:$Y$992,2,0),"")</f>
        <v>Maloobchod s použitým zbožím v prodejnách</v>
      </c>
    </row>
    <row r="697" spans="13:26" ht="12.75">
      <c r="M697" s="418">
        <f>IF(ISNUMBER(SEARCH(ZAKL_DATA!$B$29,N697)),MAX($M$2:M696)+1,0)</f>
        <v>695</v>
      </c>
      <c r="N697" s="419" t="s">
        <v>2929</v>
      </c>
      <c r="O697" s="436" t="s">
        <v>2930</v>
      </c>
      <c r="P697" s="421"/>
      <c r="Q697" s="422" t="str">
        <f>IFERROR(VLOOKUP(ROWS($Q$3:Q697),$M$3:$N$992,2,0),"")</f>
        <v>Maloobchod s potravinami,nápoji a tabák.výrobky ve stáncích a na trzích</v>
      </c>
      <c r="R697">
        <f>IF(ISNUMBER(SEARCH('1Př1'!$A$35,N697)),MAX($M$2:M696)+1,0)</f>
        <v>695</v>
      </c>
      <c r="S697" s="419" t="s">
        <v>2929</v>
      </c>
      <c r="T697" t="str">
        <f>IFERROR(VLOOKUP(ROWS($T$3:T697),$R$3:$S$992,2,0),"")</f>
        <v>Maloobchod s potravinami,nápoji a tabák.výrobky ve stáncích a na trzích</v>
      </c>
      <c r="U697">
        <f>IF(ISNUMBER(SEARCH('1Př1'!$A$36,N697)),MAX($M$2:M696)+1,0)</f>
        <v>695</v>
      </c>
      <c r="V697" s="419" t="s">
        <v>2929</v>
      </c>
      <c r="W697" t="str">
        <f>IFERROR(VLOOKUP(ROWS($W$3:W697),$U$3:$V$992,2,0),"")</f>
        <v>Maloobchod s potravinami,nápoji a tabák.výrobky ve stáncích a na trzích</v>
      </c>
      <c r="X697">
        <f>IF(ISNUMBER(SEARCH('1Př1'!$A$37,N697)),MAX($M$2:M696)+1,0)</f>
        <v>695</v>
      </c>
      <c r="Y697" s="419" t="s">
        <v>2929</v>
      </c>
      <c r="Z697" t="str">
        <f>IFERROR(VLOOKUP(ROWS($Z$3:Z697),$X$3:$Y$992,2,0),"")</f>
        <v>Maloobchod s potravinami,nápoji a tabák.výrobky ve stáncích a na trzích</v>
      </c>
    </row>
    <row r="698" spans="13:26" ht="12.75">
      <c r="M698" s="418">
        <f>IF(ISNUMBER(SEARCH(ZAKL_DATA!$B$29,N698)),MAX($M$2:M697)+1,0)</f>
        <v>696</v>
      </c>
      <c r="N698" s="419" t="s">
        <v>2931</v>
      </c>
      <c r="O698" s="436" t="s">
        <v>2932</v>
      </c>
      <c r="P698" s="421"/>
      <c r="Q698" s="422" t="str">
        <f>IFERROR(VLOOKUP(ROWS($Q$3:Q698),$M$3:$N$992,2,0),"")</f>
        <v>Maloobchod s textilem, oděvy a obuví ve stáncích a na trzích</v>
      </c>
      <c r="R698">
        <f>IF(ISNUMBER(SEARCH('1Př1'!$A$35,N698)),MAX($M$2:M697)+1,0)</f>
        <v>696</v>
      </c>
      <c r="S698" s="419" t="s">
        <v>2931</v>
      </c>
      <c r="T698" t="str">
        <f>IFERROR(VLOOKUP(ROWS($T$3:T698),$R$3:$S$992,2,0),"")</f>
        <v>Maloobchod s textilem, oděvy a obuví ve stáncích a na trzích</v>
      </c>
      <c r="U698">
        <f>IF(ISNUMBER(SEARCH('1Př1'!$A$36,N698)),MAX($M$2:M697)+1,0)</f>
        <v>696</v>
      </c>
      <c r="V698" s="419" t="s">
        <v>2931</v>
      </c>
      <c r="W698" t="str">
        <f>IFERROR(VLOOKUP(ROWS($W$3:W698),$U$3:$V$992,2,0),"")</f>
        <v>Maloobchod s textilem, oděvy a obuví ve stáncích a na trzích</v>
      </c>
      <c r="X698">
        <f>IF(ISNUMBER(SEARCH('1Př1'!$A$37,N698)),MAX($M$2:M697)+1,0)</f>
        <v>696</v>
      </c>
      <c r="Y698" s="419" t="s">
        <v>2931</v>
      </c>
      <c r="Z698" t="str">
        <f>IFERROR(VLOOKUP(ROWS($Z$3:Z698),$X$3:$Y$992,2,0),"")</f>
        <v>Maloobchod s textilem, oděvy a obuví ve stáncích a na trzích</v>
      </c>
    </row>
    <row r="699" spans="13:26" ht="12.75">
      <c r="M699" s="418">
        <f>IF(ISNUMBER(SEARCH(ZAKL_DATA!$B$29,N699)),MAX($M$2:M698)+1,0)</f>
        <v>697</v>
      </c>
      <c r="N699" s="419" t="s">
        <v>2933</v>
      </c>
      <c r="O699" s="436" t="s">
        <v>2934</v>
      </c>
      <c r="P699" s="421"/>
      <c r="Q699" s="422" t="str">
        <f>IFERROR(VLOOKUP(ROWS($Q$3:Q699),$M$3:$N$992,2,0),"")</f>
        <v>Maloobchod s ostatním zbožím ve stáncích a na trzích</v>
      </c>
      <c r="R699">
        <f>IF(ISNUMBER(SEARCH('1Př1'!$A$35,N699)),MAX($M$2:M698)+1,0)</f>
        <v>697</v>
      </c>
      <c r="S699" s="419" t="s">
        <v>2933</v>
      </c>
      <c r="T699" t="str">
        <f>IFERROR(VLOOKUP(ROWS($T$3:T699),$R$3:$S$992,2,0),"")</f>
        <v>Maloobchod s ostatním zbožím ve stáncích a na trzích</v>
      </c>
      <c r="U699">
        <f>IF(ISNUMBER(SEARCH('1Př1'!$A$36,N699)),MAX($M$2:M698)+1,0)</f>
        <v>697</v>
      </c>
      <c r="V699" s="419" t="s">
        <v>2933</v>
      </c>
      <c r="W699" t="str">
        <f>IFERROR(VLOOKUP(ROWS($W$3:W699),$U$3:$V$992,2,0),"")</f>
        <v>Maloobchod s ostatním zbožím ve stáncích a na trzích</v>
      </c>
      <c r="X699">
        <f>IF(ISNUMBER(SEARCH('1Př1'!$A$37,N699)),MAX($M$2:M698)+1,0)</f>
        <v>697</v>
      </c>
      <c r="Y699" s="419" t="s">
        <v>2933</v>
      </c>
      <c r="Z699" t="str">
        <f>IFERROR(VLOOKUP(ROWS($Z$3:Z699),$X$3:$Y$992,2,0),"")</f>
        <v>Maloobchod s ostatním zbožím ve stáncích a na trzích</v>
      </c>
    </row>
    <row r="700" spans="13:26" ht="12.75">
      <c r="M700" s="418">
        <f>IF(ISNUMBER(SEARCH(ZAKL_DATA!$B$29,N700)),MAX($M$2:M699)+1,0)</f>
        <v>698</v>
      </c>
      <c r="N700" s="419" t="s">
        <v>2935</v>
      </c>
      <c r="O700" s="436" t="s">
        <v>2936</v>
      </c>
      <c r="P700" s="421"/>
      <c r="Q700" s="422" t="str">
        <f>IFERROR(VLOOKUP(ROWS($Q$3:Q700),$M$3:$N$992,2,0),"")</f>
        <v>Maloobchod prostřednictvím internetu nebo zásilkové služby</v>
      </c>
      <c r="R700">
        <f>IF(ISNUMBER(SEARCH('1Př1'!$A$35,N700)),MAX($M$2:M699)+1,0)</f>
        <v>698</v>
      </c>
      <c r="S700" s="419" t="s">
        <v>2935</v>
      </c>
      <c r="T700" t="str">
        <f>IFERROR(VLOOKUP(ROWS($T$3:T700),$R$3:$S$992,2,0),"")</f>
        <v>Maloobchod prostřednictvím internetu nebo zásilkové služby</v>
      </c>
      <c r="U700">
        <f>IF(ISNUMBER(SEARCH('1Př1'!$A$36,N700)),MAX($M$2:M699)+1,0)</f>
        <v>698</v>
      </c>
      <c r="V700" s="419" t="s">
        <v>2935</v>
      </c>
      <c r="W700" t="str">
        <f>IFERROR(VLOOKUP(ROWS($W$3:W700),$U$3:$V$992,2,0),"")</f>
        <v>Maloobchod prostřednictvím internetu nebo zásilkové služby</v>
      </c>
      <c r="X700">
        <f>IF(ISNUMBER(SEARCH('1Př1'!$A$37,N700)),MAX($M$2:M699)+1,0)</f>
        <v>698</v>
      </c>
      <c r="Y700" s="419" t="s">
        <v>2935</v>
      </c>
      <c r="Z700" t="str">
        <f>IFERROR(VLOOKUP(ROWS($Z$3:Z700),$X$3:$Y$992,2,0),"")</f>
        <v>Maloobchod prostřednictvím internetu nebo zásilkové služby</v>
      </c>
    </row>
    <row r="701" spans="13:26" ht="12.75">
      <c r="M701" s="418">
        <f>IF(ISNUMBER(SEARCH(ZAKL_DATA!$B$29,N701)),MAX($M$2:M700)+1,0)</f>
        <v>699</v>
      </c>
      <c r="N701" s="419" t="s">
        <v>2937</v>
      </c>
      <c r="O701" s="436" t="s">
        <v>2938</v>
      </c>
      <c r="P701" s="421"/>
      <c r="Q701" s="422" t="str">
        <f>IFERROR(VLOOKUP(ROWS($Q$3:Q701),$M$3:$N$992,2,0),"")</f>
        <v>Ostatní maloobchod mimo prodejny, stánky a trhy</v>
      </c>
      <c r="R701">
        <f>IF(ISNUMBER(SEARCH('1Př1'!$A$35,N701)),MAX($M$2:M700)+1,0)</f>
        <v>699</v>
      </c>
      <c r="S701" s="419" t="s">
        <v>2937</v>
      </c>
      <c r="T701" t="str">
        <f>IFERROR(VLOOKUP(ROWS($T$3:T701),$R$3:$S$992,2,0),"")</f>
        <v>Ostatní maloobchod mimo prodejny, stánky a trhy</v>
      </c>
      <c r="U701">
        <f>IF(ISNUMBER(SEARCH('1Př1'!$A$36,N701)),MAX($M$2:M700)+1,0)</f>
        <v>699</v>
      </c>
      <c r="V701" s="419" t="s">
        <v>2937</v>
      </c>
      <c r="W701" t="str">
        <f>IFERROR(VLOOKUP(ROWS($W$3:W701),$U$3:$V$992,2,0),"")</f>
        <v>Ostatní maloobchod mimo prodejny, stánky a trhy</v>
      </c>
      <c r="X701">
        <f>IF(ISNUMBER(SEARCH('1Př1'!$A$37,N701)),MAX($M$2:M700)+1,0)</f>
        <v>699</v>
      </c>
      <c r="Y701" s="419" t="s">
        <v>2937</v>
      </c>
      <c r="Z701" t="str">
        <f>IFERROR(VLOOKUP(ROWS($Z$3:Z701),$X$3:$Y$992,2,0),"")</f>
        <v>Ostatní maloobchod mimo prodejny, stánky a trhy</v>
      </c>
    </row>
    <row r="702" spans="13:26" ht="12.75">
      <c r="M702" s="418">
        <f>IF(ISNUMBER(SEARCH(ZAKL_DATA!$B$29,N702)),MAX($M$2:M701)+1,0)</f>
        <v>700</v>
      </c>
      <c r="N702" s="419" t="s">
        <v>2939</v>
      </c>
      <c r="O702" s="436" t="s">
        <v>2940</v>
      </c>
      <c r="P702" s="421"/>
      <c r="Q702" s="422" t="str">
        <f>IFERROR(VLOOKUP(ROWS($Q$3:Q702),$M$3:$N$992,2,0),"")</f>
        <v>Městská a příměstská pozemní osobní doprava</v>
      </c>
      <c r="R702">
        <f>IF(ISNUMBER(SEARCH('1Př1'!$A$35,N702)),MAX($M$2:M701)+1,0)</f>
        <v>700</v>
      </c>
      <c r="S702" s="419" t="s">
        <v>2939</v>
      </c>
      <c r="T702" t="str">
        <f>IFERROR(VLOOKUP(ROWS($T$3:T702),$R$3:$S$992,2,0),"")</f>
        <v>Městská a příměstská pozemní osobní doprava</v>
      </c>
      <c r="U702">
        <f>IF(ISNUMBER(SEARCH('1Př1'!$A$36,N702)),MAX($M$2:M701)+1,0)</f>
        <v>700</v>
      </c>
      <c r="V702" s="419" t="s">
        <v>2939</v>
      </c>
      <c r="W702" t="str">
        <f>IFERROR(VLOOKUP(ROWS($W$3:W702),$U$3:$V$992,2,0),"")</f>
        <v>Městská a příměstská pozemní osobní doprava</v>
      </c>
      <c r="X702">
        <f>IF(ISNUMBER(SEARCH('1Př1'!$A$37,N702)),MAX($M$2:M701)+1,0)</f>
        <v>700</v>
      </c>
      <c r="Y702" s="419" t="s">
        <v>2939</v>
      </c>
      <c r="Z702" t="str">
        <f>IFERROR(VLOOKUP(ROWS($Z$3:Z702),$X$3:$Y$992,2,0),"")</f>
        <v>Městská a příměstská pozemní osobní doprava</v>
      </c>
    </row>
    <row r="703" spans="13:26" ht="12.75">
      <c r="M703" s="418">
        <f>IF(ISNUMBER(SEARCH(ZAKL_DATA!$B$29,N703)),MAX($M$2:M702)+1,0)</f>
        <v>701</v>
      </c>
      <c r="N703" s="419" t="s">
        <v>2941</v>
      </c>
      <c r="O703" s="436" t="s">
        <v>2942</v>
      </c>
      <c r="P703" s="421"/>
      <c r="Q703" s="422" t="str">
        <f>IFERROR(VLOOKUP(ROWS($Q$3:Q703),$M$3:$N$992,2,0),"")</f>
        <v>Taxislužba a pronájem osobních vozů s řidičem</v>
      </c>
      <c r="R703">
        <f>IF(ISNUMBER(SEARCH('1Př1'!$A$35,N703)),MAX($M$2:M702)+1,0)</f>
        <v>701</v>
      </c>
      <c r="S703" s="419" t="s">
        <v>2941</v>
      </c>
      <c r="T703" t="str">
        <f>IFERROR(VLOOKUP(ROWS($T$3:T703),$R$3:$S$992,2,0),"")</f>
        <v>Taxislužba a pronájem osobních vozů s řidičem</v>
      </c>
      <c r="U703">
        <f>IF(ISNUMBER(SEARCH('1Př1'!$A$36,N703)),MAX($M$2:M702)+1,0)</f>
        <v>701</v>
      </c>
      <c r="V703" s="419" t="s">
        <v>2941</v>
      </c>
      <c r="W703" t="str">
        <f>IFERROR(VLOOKUP(ROWS($W$3:W703),$U$3:$V$992,2,0),"")</f>
        <v>Taxislužba a pronájem osobních vozů s řidičem</v>
      </c>
      <c r="X703">
        <f>IF(ISNUMBER(SEARCH('1Př1'!$A$37,N703)),MAX($M$2:M702)+1,0)</f>
        <v>701</v>
      </c>
      <c r="Y703" s="419" t="s">
        <v>2941</v>
      </c>
      <c r="Z703" t="str">
        <f>IFERROR(VLOOKUP(ROWS($Z$3:Z703),$X$3:$Y$992,2,0),"")</f>
        <v>Taxislužba a pronájem osobních vozů s řidičem</v>
      </c>
    </row>
    <row r="704" spans="13:26" ht="12.75">
      <c r="M704" s="418">
        <f>IF(ISNUMBER(SEARCH(ZAKL_DATA!$B$29,N704)),MAX($M$2:M703)+1,0)</f>
        <v>702</v>
      </c>
      <c r="N704" s="419" t="s">
        <v>2943</v>
      </c>
      <c r="O704" s="436" t="s">
        <v>2944</v>
      </c>
      <c r="P704" s="421"/>
      <c r="Q704" s="422" t="str">
        <f>IFERROR(VLOOKUP(ROWS($Q$3:Q704),$M$3:$N$992,2,0),"")</f>
        <v>Ostatní pozemní osobní doprava j. n.</v>
      </c>
      <c r="R704">
        <f>IF(ISNUMBER(SEARCH('1Př1'!$A$35,N704)),MAX($M$2:M703)+1,0)</f>
        <v>702</v>
      </c>
      <c r="S704" s="419" t="s">
        <v>2943</v>
      </c>
      <c r="T704" t="str">
        <f>IFERROR(VLOOKUP(ROWS($T$3:T704),$R$3:$S$992,2,0),"")</f>
        <v>Ostatní pozemní osobní doprava j. n.</v>
      </c>
      <c r="U704">
        <f>IF(ISNUMBER(SEARCH('1Př1'!$A$36,N704)),MAX($M$2:M703)+1,0)</f>
        <v>702</v>
      </c>
      <c r="V704" s="419" t="s">
        <v>2943</v>
      </c>
      <c r="W704" t="str">
        <f>IFERROR(VLOOKUP(ROWS($W$3:W704),$U$3:$V$992,2,0),"")</f>
        <v>Ostatní pozemní osobní doprava j. n.</v>
      </c>
      <c r="X704">
        <f>IF(ISNUMBER(SEARCH('1Př1'!$A$37,N704)),MAX($M$2:M703)+1,0)</f>
        <v>702</v>
      </c>
      <c r="Y704" s="419" t="s">
        <v>2943</v>
      </c>
      <c r="Z704" t="str">
        <f>IFERROR(VLOOKUP(ROWS($Z$3:Z704),$X$3:$Y$992,2,0),"")</f>
        <v>Ostatní pozemní osobní doprava j. n.</v>
      </c>
    </row>
    <row r="705" spans="13:26" ht="12.75">
      <c r="M705" s="418">
        <f>IF(ISNUMBER(SEARCH(ZAKL_DATA!$B$29,N705)),MAX($M$2:M704)+1,0)</f>
        <v>703</v>
      </c>
      <c r="N705" s="419" t="s">
        <v>2945</v>
      </c>
      <c r="O705" s="436" t="s">
        <v>2946</v>
      </c>
      <c r="P705" s="421"/>
      <c r="Q705" s="422" t="str">
        <f>IFERROR(VLOOKUP(ROWS($Q$3:Q705),$M$3:$N$992,2,0),"")</f>
        <v>Silniční nákladní doprava</v>
      </c>
      <c r="R705">
        <f>IF(ISNUMBER(SEARCH('1Př1'!$A$35,N705)),MAX($M$2:M704)+1,0)</f>
        <v>703</v>
      </c>
      <c r="S705" s="419" t="s">
        <v>2945</v>
      </c>
      <c r="T705" t="str">
        <f>IFERROR(VLOOKUP(ROWS($T$3:T705),$R$3:$S$992,2,0),"")</f>
        <v>Silniční nákladní doprava</v>
      </c>
      <c r="U705">
        <f>IF(ISNUMBER(SEARCH('1Př1'!$A$36,N705)),MAX($M$2:M704)+1,0)</f>
        <v>703</v>
      </c>
      <c r="V705" s="419" t="s">
        <v>2945</v>
      </c>
      <c r="W705" t="str">
        <f>IFERROR(VLOOKUP(ROWS($W$3:W705),$U$3:$V$992,2,0),"")</f>
        <v>Silniční nákladní doprava</v>
      </c>
      <c r="X705">
        <f>IF(ISNUMBER(SEARCH('1Př1'!$A$37,N705)),MAX($M$2:M704)+1,0)</f>
        <v>703</v>
      </c>
      <c r="Y705" s="419" t="s">
        <v>2945</v>
      </c>
      <c r="Z705" t="str">
        <f>IFERROR(VLOOKUP(ROWS($Z$3:Z705),$X$3:$Y$992,2,0),"")</f>
        <v>Silniční nákladní doprava</v>
      </c>
    </row>
    <row r="706" spans="13:26" ht="12.75">
      <c r="M706" s="418">
        <f>IF(ISNUMBER(SEARCH(ZAKL_DATA!$B$29,N706)),MAX($M$2:M705)+1,0)</f>
        <v>704</v>
      </c>
      <c r="N706" s="419" t="s">
        <v>2947</v>
      </c>
      <c r="O706" s="436" t="s">
        <v>2948</v>
      </c>
      <c r="P706" s="421"/>
      <c r="Q706" s="422" t="str">
        <f>IFERROR(VLOOKUP(ROWS($Q$3:Q706),$M$3:$N$992,2,0),"")</f>
        <v>Stěhovací služby</v>
      </c>
      <c r="R706">
        <f>IF(ISNUMBER(SEARCH('1Př1'!$A$35,N706)),MAX($M$2:M705)+1,0)</f>
        <v>704</v>
      </c>
      <c r="S706" s="419" t="s">
        <v>2947</v>
      </c>
      <c r="T706" t="str">
        <f>IFERROR(VLOOKUP(ROWS($T$3:T706),$R$3:$S$992,2,0),"")</f>
        <v>Stěhovací služby</v>
      </c>
      <c r="U706">
        <f>IF(ISNUMBER(SEARCH('1Př1'!$A$36,N706)),MAX($M$2:M705)+1,0)</f>
        <v>704</v>
      </c>
      <c r="V706" s="419" t="s">
        <v>2947</v>
      </c>
      <c r="W706" t="str">
        <f>IFERROR(VLOOKUP(ROWS($W$3:W706),$U$3:$V$992,2,0),"")</f>
        <v>Stěhovací služby</v>
      </c>
      <c r="X706">
        <f>IF(ISNUMBER(SEARCH('1Př1'!$A$37,N706)),MAX($M$2:M705)+1,0)</f>
        <v>704</v>
      </c>
      <c r="Y706" s="419" t="s">
        <v>2947</v>
      </c>
      <c r="Z706" t="str">
        <f>IFERROR(VLOOKUP(ROWS($Z$3:Z706),$X$3:$Y$992,2,0),"")</f>
        <v>Stěhovací služby</v>
      </c>
    </row>
    <row r="707" spans="13:26" ht="12.75">
      <c r="M707" s="418">
        <f>IF(ISNUMBER(SEARCH(ZAKL_DATA!$B$29,N707)),MAX($M$2:M706)+1,0)</f>
        <v>705</v>
      </c>
      <c r="N707" s="419" t="s">
        <v>2949</v>
      </c>
      <c r="O707" s="436" t="s">
        <v>2950</v>
      </c>
      <c r="P707" s="421"/>
      <c r="Q707" s="422" t="str">
        <f>IFERROR(VLOOKUP(ROWS($Q$3:Q707),$M$3:$N$992,2,0),"")</f>
        <v>Těžba černého uhlí</v>
      </c>
      <c r="R707">
        <f>IF(ISNUMBER(SEARCH('1Př1'!$A$35,N707)),MAX($M$2:M706)+1,0)</f>
        <v>705</v>
      </c>
      <c r="S707" s="419" t="s">
        <v>2949</v>
      </c>
      <c r="T707" t="str">
        <f>IFERROR(VLOOKUP(ROWS($T$3:T707),$R$3:$S$992,2,0),"")</f>
        <v>Těžba černého uhlí</v>
      </c>
      <c r="U707">
        <f>IF(ISNUMBER(SEARCH('1Př1'!$A$36,N707)),MAX($M$2:M706)+1,0)</f>
        <v>705</v>
      </c>
      <c r="V707" s="419" t="s">
        <v>2949</v>
      </c>
      <c r="W707" t="str">
        <f>IFERROR(VLOOKUP(ROWS($W$3:W707),$U$3:$V$992,2,0),"")</f>
        <v>Těžba černého uhlí</v>
      </c>
      <c r="X707">
        <f>IF(ISNUMBER(SEARCH('1Př1'!$A$37,N707)),MAX($M$2:M706)+1,0)</f>
        <v>705</v>
      </c>
      <c r="Y707" s="419" t="s">
        <v>2949</v>
      </c>
      <c r="Z707" t="str">
        <f>IFERROR(VLOOKUP(ROWS($Z$3:Z707),$X$3:$Y$992,2,0),"")</f>
        <v>Těžba černého uhlí</v>
      </c>
    </row>
    <row r="708" spans="13:26" ht="12.75">
      <c r="M708" s="418">
        <f>IF(ISNUMBER(SEARCH(ZAKL_DATA!$B$29,N708)),MAX($M$2:M707)+1,0)</f>
        <v>706</v>
      </c>
      <c r="N708" s="419" t="s">
        <v>2951</v>
      </c>
      <c r="O708" s="436" t="s">
        <v>2952</v>
      </c>
      <c r="P708" s="421"/>
      <c r="Q708" s="422" t="str">
        <f>IFERROR(VLOOKUP(ROWS($Q$3:Q708),$M$3:$N$992,2,0),"")</f>
        <v>Úprava černého uhlí</v>
      </c>
      <c r="R708">
        <f>IF(ISNUMBER(SEARCH('1Př1'!$A$35,N708)),MAX($M$2:M707)+1,0)</f>
        <v>706</v>
      </c>
      <c r="S708" s="419" t="s">
        <v>2951</v>
      </c>
      <c r="T708" t="str">
        <f>IFERROR(VLOOKUP(ROWS($T$3:T708),$R$3:$S$992,2,0),"")</f>
        <v>Úprava černého uhlí</v>
      </c>
      <c r="U708">
        <f>IF(ISNUMBER(SEARCH('1Př1'!$A$36,N708)),MAX($M$2:M707)+1,0)</f>
        <v>706</v>
      </c>
      <c r="V708" s="419" t="s">
        <v>2951</v>
      </c>
      <c r="W708" t="str">
        <f>IFERROR(VLOOKUP(ROWS($W$3:W708),$U$3:$V$992,2,0),"")</f>
        <v>Úprava černého uhlí</v>
      </c>
      <c r="X708">
        <f>IF(ISNUMBER(SEARCH('1Př1'!$A$37,N708)),MAX($M$2:M707)+1,0)</f>
        <v>706</v>
      </c>
      <c r="Y708" s="419" t="s">
        <v>2951</v>
      </c>
      <c r="Z708" t="str">
        <f>IFERROR(VLOOKUP(ROWS($Z$3:Z708),$X$3:$Y$992,2,0),"")</f>
        <v>Úprava černého uhlí</v>
      </c>
    </row>
    <row r="709" spans="13:26" ht="12.75">
      <c r="M709" s="418">
        <f>IF(ISNUMBER(SEARCH(ZAKL_DATA!$B$29,N709)),MAX($M$2:M708)+1,0)</f>
        <v>707</v>
      </c>
      <c r="N709" s="419" t="s">
        <v>2953</v>
      </c>
      <c r="O709" s="436" t="s">
        <v>2954</v>
      </c>
      <c r="P709" s="421"/>
      <c r="Q709" s="422" t="str">
        <f>IFERROR(VLOOKUP(ROWS($Q$3:Q709),$M$3:$N$992,2,0),"")</f>
        <v>Letecká nákladní doprava</v>
      </c>
      <c r="R709">
        <f>IF(ISNUMBER(SEARCH('1Př1'!$A$35,N709)),MAX($M$2:M708)+1,0)</f>
        <v>707</v>
      </c>
      <c r="S709" s="419" t="s">
        <v>2953</v>
      </c>
      <c r="T709" t="str">
        <f>IFERROR(VLOOKUP(ROWS($T$3:T709),$R$3:$S$992,2,0),"")</f>
        <v>Letecká nákladní doprava</v>
      </c>
      <c r="U709">
        <f>IF(ISNUMBER(SEARCH('1Př1'!$A$36,N709)),MAX($M$2:M708)+1,0)</f>
        <v>707</v>
      </c>
      <c r="V709" s="419" t="s">
        <v>2953</v>
      </c>
      <c r="W709" t="str">
        <f>IFERROR(VLOOKUP(ROWS($W$3:W709),$U$3:$V$992,2,0),"")</f>
        <v>Letecká nákladní doprava</v>
      </c>
      <c r="X709">
        <f>IF(ISNUMBER(SEARCH('1Př1'!$A$37,N709)),MAX($M$2:M708)+1,0)</f>
        <v>707</v>
      </c>
      <c r="Y709" s="419" t="s">
        <v>2953</v>
      </c>
      <c r="Z709" t="str">
        <f>IFERROR(VLOOKUP(ROWS($Z$3:Z709),$X$3:$Y$992,2,0),"")</f>
        <v>Letecká nákladní doprava</v>
      </c>
    </row>
    <row r="710" spans="13:26" ht="12.75">
      <c r="M710" s="418">
        <f>IF(ISNUMBER(SEARCH(ZAKL_DATA!$B$29,N710)),MAX($M$2:M709)+1,0)</f>
        <v>708</v>
      </c>
      <c r="N710" s="419" t="s">
        <v>2955</v>
      </c>
      <c r="O710" s="436" t="s">
        <v>2956</v>
      </c>
      <c r="P710" s="421"/>
      <c r="Q710" s="422" t="str">
        <f>IFERROR(VLOOKUP(ROWS($Q$3:Q710),$M$3:$N$992,2,0),"")</f>
        <v>Kosmická doprava</v>
      </c>
      <c r="R710">
        <f>IF(ISNUMBER(SEARCH('1Př1'!$A$35,N710)),MAX($M$2:M709)+1,0)</f>
        <v>708</v>
      </c>
      <c r="S710" s="419" t="s">
        <v>2955</v>
      </c>
      <c r="T710" t="str">
        <f>IFERROR(VLOOKUP(ROWS($T$3:T710),$R$3:$S$992,2,0),"")</f>
        <v>Kosmická doprava</v>
      </c>
      <c r="U710">
        <f>IF(ISNUMBER(SEARCH('1Př1'!$A$36,N710)),MAX($M$2:M709)+1,0)</f>
        <v>708</v>
      </c>
      <c r="V710" s="419" t="s">
        <v>2955</v>
      </c>
      <c r="W710" t="str">
        <f>IFERROR(VLOOKUP(ROWS($W$3:W710),$U$3:$V$992,2,0),"")</f>
        <v>Kosmická doprava</v>
      </c>
      <c r="X710">
        <f>IF(ISNUMBER(SEARCH('1Př1'!$A$37,N710)),MAX($M$2:M709)+1,0)</f>
        <v>708</v>
      </c>
      <c r="Y710" s="419" t="s">
        <v>2955</v>
      </c>
      <c r="Z710" t="str">
        <f>IFERROR(VLOOKUP(ROWS($Z$3:Z710),$X$3:$Y$992,2,0),"")</f>
        <v>Kosmická doprava</v>
      </c>
    </row>
    <row r="711" spans="13:26" ht="12.75">
      <c r="M711" s="418">
        <f>IF(ISNUMBER(SEARCH(ZAKL_DATA!$B$29,N711)),MAX($M$2:M710)+1,0)</f>
        <v>709</v>
      </c>
      <c r="N711" s="419" t="s">
        <v>2957</v>
      </c>
      <c r="O711" s="436" t="s">
        <v>2958</v>
      </c>
      <c r="P711" s="421"/>
      <c r="Q711" s="422" t="str">
        <f>IFERROR(VLOOKUP(ROWS($Q$3:Q711),$M$3:$N$992,2,0),"")</f>
        <v>Těžba hnědého uhlí, kromě lignitu</v>
      </c>
      <c r="R711">
        <f>IF(ISNUMBER(SEARCH('1Př1'!$A$35,N711)),MAX($M$2:M710)+1,0)</f>
        <v>709</v>
      </c>
      <c r="S711" s="419" t="s">
        <v>2957</v>
      </c>
      <c r="T711" t="str">
        <f>IFERROR(VLOOKUP(ROWS($T$3:T711),$R$3:$S$992,2,0),"")</f>
        <v>Těžba hnědého uhlí, kromě lignitu</v>
      </c>
      <c r="U711">
        <f>IF(ISNUMBER(SEARCH('1Př1'!$A$36,N711)),MAX($M$2:M710)+1,0)</f>
        <v>709</v>
      </c>
      <c r="V711" s="419" t="s">
        <v>2957</v>
      </c>
      <c r="W711" t="str">
        <f>IFERROR(VLOOKUP(ROWS($W$3:W711),$U$3:$V$992,2,0),"")</f>
        <v>Těžba hnědého uhlí, kromě lignitu</v>
      </c>
      <c r="X711">
        <f>IF(ISNUMBER(SEARCH('1Př1'!$A$37,N711)),MAX($M$2:M710)+1,0)</f>
        <v>709</v>
      </c>
      <c r="Y711" s="419" t="s">
        <v>2957</v>
      </c>
      <c r="Z711" t="str">
        <f>IFERROR(VLOOKUP(ROWS($Z$3:Z711),$X$3:$Y$992,2,0),"")</f>
        <v>Těžba hnědého uhlí, kromě lignitu</v>
      </c>
    </row>
    <row r="712" spans="13:26" ht="12.75">
      <c r="M712" s="418">
        <f>IF(ISNUMBER(SEARCH(ZAKL_DATA!$B$29,N712)),MAX($M$2:M711)+1,0)</f>
        <v>710</v>
      </c>
      <c r="N712" s="419" t="s">
        <v>2959</v>
      </c>
      <c r="O712" s="436" t="s">
        <v>2960</v>
      </c>
      <c r="P712" s="421"/>
      <c r="Q712" s="422" t="str">
        <f>IFERROR(VLOOKUP(ROWS($Q$3:Q712),$M$3:$N$992,2,0),"")</f>
        <v>Úprava hnědého uhlí, kromě lignitu</v>
      </c>
      <c r="R712">
        <f>IF(ISNUMBER(SEARCH('1Př1'!$A$35,N712)),MAX($M$2:M711)+1,0)</f>
        <v>710</v>
      </c>
      <c r="S712" s="419" t="s">
        <v>2959</v>
      </c>
      <c r="T712" t="str">
        <f>IFERROR(VLOOKUP(ROWS($T$3:T712),$R$3:$S$992,2,0),"")</f>
        <v>Úprava hnědého uhlí, kromě lignitu</v>
      </c>
      <c r="U712">
        <f>IF(ISNUMBER(SEARCH('1Př1'!$A$36,N712)),MAX($M$2:M711)+1,0)</f>
        <v>710</v>
      </c>
      <c r="V712" s="419" t="s">
        <v>2959</v>
      </c>
      <c r="W712" t="str">
        <f>IFERROR(VLOOKUP(ROWS($W$3:W712),$U$3:$V$992,2,0),"")</f>
        <v>Úprava hnědého uhlí, kromě lignitu</v>
      </c>
      <c r="X712">
        <f>IF(ISNUMBER(SEARCH('1Př1'!$A$37,N712)),MAX($M$2:M711)+1,0)</f>
        <v>710</v>
      </c>
      <c r="Y712" s="419" t="s">
        <v>2959</v>
      </c>
      <c r="Z712" t="str">
        <f>IFERROR(VLOOKUP(ROWS($Z$3:Z712),$X$3:$Y$992,2,0),"")</f>
        <v>Úprava hnědého uhlí, kromě lignitu</v>
      </c>
    </row>
    <row r="713" spans="13:26" ht="12.75">
      <c r="M713" s="418">
        <f>IF(ISNUMBER(SEARCH(ZAKL_DATA!$B$29,N713)),MAX($M$2:M712)+1,0)</f>
        <v>711</v>
      </c>
      <c r="N713" s="419" t="s">
        <v>2961</v>
      </c>
      <c r="O713" s="436" t="s">
        <v>2962</v>
      </c>
      <c r="P713" s="421"/>
      <c r="Q713" s="422" t="str">
        <f>IFERROR(VLOOKUP(ROWS($Q$3:Q713),$M$3:$N$992,2,0),"")</f>
        <v>Těžba lignitu</v>
      </c>
      <c r="R713">
        <f>IF(ISNUMBER(SEARCH('1Př1'!$A$35,N713)),MAX($M$2:M712)+1,0)</f>
        <v>711</v>
      </c>
      <c r="S713" s="419" t="s">
        <v>2961</v>
      </c>
      <c r="T713" t="str">
        <f>IFERROR(VLOOKUP(ROWS($T$3:T713),$R$3:$S$992,2,0),"")</f>
        <v>Těžba lignitu</v>
      </c>
      <c r="U713">
        <f>IF(ISNUMBER(SEARCH('1Př1'!$A$36,N713)),MAX($M$2:M712)+1,0)</f>
        <v>711</v>
      </c>
      <c r="V713" s="419" t="s">
        <v>2961</v>
      </c>
      <c r="W713" t="str">
        <f>IFERROR(VLOOKUP(ROWS($W$3:W713),$U$3:$V$992,2,0),"")</f>
        <v>Těžba lignitu</v>
      </c>
      <c r="X713">
        <f>IF(ISNUMBER(SEARCH('1Př1'!$A$37,N713)),MAX($M$2:M712)+1,0)</f>
        <v>711</v>
      </c>
      <c r="Y713" s="419" t="s">
        <v>2961</v>
      </c>
      <c r="Z713" t="str">
        <f>IFERROR(VLOOKUP(ROWS($Z$3:Z713),$X$3:$Y$992,2,0),"")</f>
        <v>Těžba lignitu</v>
      </c>
    </row>
    <row r="714" spans="13:26" ht="12.75">
      <c r="M714" s="418">
        <f>IF(ISNUMBER(SEARCH(ZAKL_DATA!$B$29,N714)),MAX($M$2:M713)+1,0)</f>
        <v>712</v>
      </c>
      <c r="N714" s="419" t="s">
        <v>2963</v>
      </c>
      <c r="O714" s="436" t="s">
        <v>2964</v>
      </c>
      <c r="P714" s="421"/>
      <c r="Q714" s="422" t="str">
        <f>IFERROR(VLOOKUP(ROWS($Q$3:Q714),$M$3:$N$992,2,0),"")</f>
        <v>Úprava lignitu</v>
      </c>
      <c r="R714">
        <f>IF(ISNUMBER(SEARCH('1Př1'!$A$35,N714)),MAX($M$2:M713)+1,0)</f>
        <v>712</v>
      </c>
      <c r="S714" s="419" t="s">
        <v>2963</v>
      </c>
      <c r="T714" t="str">
        <f>IFERROR(VLOOKUP(ROWS($T$3:T714),$R$3:$S$992,2,0),"")</f>
        <v>Úprava lignitu</v>
      </c>
      <c r="U714">
        <f>IF(ISNUMBER(SEARCH('1Př1'!$A$36,N714)),MAX($M$2:M713)+1,0)</f>
        <v>712</v>
      </c>
      <c r="V714" s="419" t="s">
        <v>2963</v>
      </c>
      <c r="W714" t="str">
        <f>IFERROR(VLOOKUP(ROWS($W$3:W714),$U$3:$V$992,2,0),"")</f>
        <v>Úprava lignitu</v>
      </c>
      <c r="X714">
        <f>IF(ISNUMBER(SEARCH('1Př1'!$A$37,N714)),MAX($M$2:M713)+1,0)</f>
        <v>712</v>
      </c>
      <c r="Y714" s="419" t="s">
        <v>2963</v>
      </c>
      <c r="Z714" t="str">
        <f>IFERROR(VLOOKUP(ROWS($Z$3:Z714),$X$3:$Y$992,2,0),"")</f>
        <v>Úprava lignitu</v>
      </c>
    </row>
    <row r="715" spans="13:26" ht="12.75">
      <c r="M715" s="418">
        <f>IF(ISNUMBER(SEARCH(ZAKL_DATA!$B$29,N715)),MAX($M$2:M714)+1,0)</f>
        <v>713</v>
      </c>
      <c r="N715" s="419" t="s">
        <v>2965</v>
      </c>
      <c r="O715" s="436" t="s">
        <v>2966</v>
      </c>
      <c r="P715" s="421"/>
      <c r="Q715" s="422" t="str">
        <f>IFERROR(VLOOKUP(ROWS($Q$3:Q715),$M$3:$N$992,2,0),"")</f>
        <v>Činnosti související s pozemní dopravou</v>
      </c>
      <c r="R715">
        <f>IF(ISNUMBER(SEARCH('1Př1'!$A$35,N715)),MAX($M$2:M714)+1,0)</f>
        <v>713</v>
      </c>
      <c r="S715" s="419" t="s">
        <v>2965</v>
      </c>
      <c r="T715" t="str">
        <f>IFERROR(VLOOKUP(ROWS($T$3:T715),$R$3:$S$992,2,0),"")</f>
        <v>Činnosti související s pozemní dopravou</v>
      </c>
      <c r="U715">
        <f>IF(ISNUMBER(SEARCH('1Př1'!$A$36,N715)),MAX($M$2:M714)+1,0)</f>
        <v>713</v>
      </c>
      <c r="V715" s="419" t="s">
        <v>2965</v>
      </c>
      <c r="W715" t="str">
        <f>IFERROR(VLOOKUP(ROWS($W$3:W715),$U$3:$V$992,2,0),"")</f>
        <v>Činnosti související s pozemní dopravou</v>
      </c>
      <c r="X715">
        <f>IF(ISNUMBER(SEARCH('1Př1'!$A$37,N715)),MAX($M$2:M714)+1,0)</f>
        <v>713</v>
      </c>
      <c r="Y715" s="419" t="s">
        <v>2965</v>
      </c>
      <c r="Z715" t="str">
        <f>IFERROR(VLOOKUP(ROWS($Z$3:Z715),$X$3:$Y$992,2,0),"")</f>
        <v>Činnosti související s pozemní dopravou</v>
      </c>
    </row>
    <row r="716" spans="13:26" ht="12.75">
      <c r="M716" s="418">
        <f>IF(ISNUMBER(SEARCH(ZAKL_DATA!$B$29,N716)),MAX($M$2:M715)+1,0)</f>
        <v>714</v>
      </c>
      <c r="N716" s="419" t="s">
        <v>2967</v>
      </c>
      <c r="O716" s="436" t="s">
        <v>2968</v>
      </c>
      <c r="P716" s="421"/>
      <c r="Q716" s="422" t="str">
        <f>IFERROR(VLOOKUP(ROWS($Q$3:Q716),$M$3:$N$992,2,0),"")</f>
        <v>Činnosti související s vodní dopravou</v>
      </c>
      <c r="R716">
        <f>IF(ISNUMBER(SEARCH('1Př1'!$A$35,N716)),MAX($M$2:M715)+1,0)</f>
        <v>714</v>
      </c>
      <c r="S716" s="419" t="s">
        <v>2967</v>
      </c>
      <c r="T716" t="str">
        <f>IFERROR(VLOOKUP(ROWS($T$3:T716),$R$3:$S$992,2,0),"")</f>
        <v>Činnosti související s vodní dopravou</v>
      </c>
      <c r="U716">
        <f>IF(ISNUMBER(SEARCH('1Př1'!$A$36,N716)),MAX($M$2:M715)+1,0)</f>
        <v>714</v>
      </c>
      <c r="V716" s="419" t="s">
        <v>2967</v>
      </c>
      <c r="W716" t="str">
        <f>IFERROR(VLOOKUP(ROWS($W$3:W716),$U$3:$V$992,2,0),"")</f>
        <v>Činnosti související s vodní dopravou</v>
      </c>
      <c r="X716">
        <f>IF(ISNUMBER(SEARCH('1Př1'!$A$37,N716)),MAX($M$2:M715)+1,0)</f>
        <v>714</v>
      </c>
      <c r="Y716" s="419" t="s">
        <v>2967</v>
      </c>
      <c r="Z716" t="str">
        <f>IFERROR(VLOOKUP(ROWS($Z$3:Z716),$X$3:$Y$992,2,0),"")</f>
        <v>Činnosti související s vodní dopravou</v>
      </c>
    </row>
    <row r="717" spans="13:26" ht="12.75">
      <c r="M717" s="418">
        <f>IF(ISNUMBER(SEARCH(ZAKL_DATA!$B$29,N717)),MAX($M$2:M716)+1,0)</f>
        <v>715</v>
      </c>
      <c r="N717" s="419" t="s">
        <v>2969</v>
      </c>
      <c r="O717" s="436" t="s">
        <v>2970</v>
      </c>
      <c r="P717" s="421"/>
      <c r="Q717" s="422" t="str">
        <f>IFERROR(VLOOKUP(ROWS($Q$3:Q717),$M$3:$N$992,2,0),"")</f>
        <v>Činnosti související s leteckou dopravou</v>
      </c>
      <c r="R717">
        <f>IF(ISNUMBER(SEARCH('1Př1'!$A$35,N717)),MAX($M$2:M716)+1,0)</f>
        <v>715</v>
      </c>
      <c r="S717" s="419" t="s">
        <v>2969</v>
      </c>
      <c r="T717" t="str">
        <f>IFERROR(VLOOKUP(ROWS($T$3:T717),$R$3:$S$992,2,0),"")</f>
        <v>Činnosti související s leteckou dopravou</v>
      </c>
      <c r="U717">
        <f>IF(ISNUMBER(SEARCH('1Př1'!$A$36,N717)),MAX($M$2:M716)+1,0)</f>
        <v>715</v>
      </c>
      <c r="V717" s="419" t="s">
        <v>2969</v>
      </c>
      <c r="W717" t="str">
        <f>IFERROR(VLOOKUP(ROWS($W$3:W717),$U$3:$V$992,2,0),"")</f>
        <v>Činnosti související s leteckou dopravou</v>
      </c>
      <c r="X717">
        <f>IF(ISNUMBER(SEARCH('1Př1'!$A$37,N717)),MAX($M$2:M716)+1,0)</f>
        <v>715</v>
      </c>
      <c r="Y717" s="419" t="s">
        <v>2969</v>
      </c>
      <c r="Z717" t="str">
        <f>IFERROR(VLOOKUP(ROWS($Z$3:Z717),$X$3:$Y$992,2,0),"")</f>
        <v>Činnosti související s leteckou dopravou</v>
      </c>
    </row>
    <row r="718" spans="13:26" ht="12.75">
      <c r="M718" s="418">
        <f>IF(ISNUMBER(SEARCH(ZAKL_DATA!$B$29,N718)),MAX($M$2:M717)+1,0)</f>
        <v>716</v>
      </c>
      <c r="N718" s="419" t="s">
        <v>2971</v>
      </c>
      <c r="O718" s="436" t="s">
        <v>2972</v>
      </c>
      <c r="P718" s="421"/>
      <c r="Q718" s="422" t="str">
        <f>IFERROR(VLOOKUP(ROWS($Q$3:Q718),$M$3:$N$992,2,0),"")</f>
        <v>Manipulace s nákladem</v>
      </c>
      <c r="R718">
        <f>IF(ISNUMBER(SEARCH('1Př1'!$A$35,N718)),MAX($M$2:M717)+1,0)</f>
        <v>716</v>
      </c>
      <c r="S718" s="419" t="s">
        <v>2971</v>
      </c>
      <c r="T718" t="str">
        <f>IFERROR(VLOOKUP(ROWS($T$3:T718),$R$3:$S$992,2,0),"")</f>
        <v>Manipulace s nákladem</v>
      </c>
      <c r="U718">
        <f>IF(ISNUMBER(SEARCH('1Př1'!$A$36,N718)),MAX($M$2:M717)+1,0)</f>
        <v>716</v>
      </c>
      <c r="V718" s="419" t="s">
        <v>2971</v>
      </c>
      <c r="W718" t="str">
        <f>IFERROR(VLOOKUP(ROWS($W$3:W718),$U$3:$V$992,2,0),"")</f>
        <v>Manipulace s nákladem</v>
      </c>
      <c r="X718">
        <f>IF(ISNUMBER(SEARCH('1Př1'!$A$37,N718)),MAX($M$2:M717)+1,0)</f>
        <v>716</v>
      </c>
      <c r="Y718" s="419" t="s">
        <v>2971</v>
      </c>
      <c r="Z718" t="str">
        <f>IFERROR(VLOOKUP(ROWS($Z$3:Z718),$X$3:$Y$992,2,0),"")</f>
        <v>Manipulace s nákladem</v>
      </c>
    </row>
    <row r="719" spans="13:26" ht="12.75">
      <c r="M719" s="418">
        <f>IF(ISNUMBER(SEARCH(ZAKL_DATA!$B$29,N719)),MAX($M$2:M718)+1,0)</f>
        <v>717</v>
      </c>
      <c r="N719" s="419" t="s">
        <v>2973</v>
      </c>
      <c r="O719" s="436" t="s">
        <v>2974</v>
      </c>
      <c r="P719" s="421"/>
      <c r="Q719" s="422" t="str">
        <f>IFERROR(VLOOKUP(ROWS($Q$3:Q719),$M$3:$N$992,2,0),"")</f>
        <v>Ostatní vedlejší činnosti v dopravě</v>
      </c>
      <c r="R719">
        <f>IF(ISNUMBER(SEARCH('1Př1'!$A$35,N719)),MAX($M$2:M718)+1,0)</f>
        <v>717</v>
      </c>
      <c r="S719" s="419" t="s">
        <v>2973</v>
      </c>
      <c r="T719" t="str">
        <f>IFERROR(VLOOKUP(ROWS($T$3:T719),$R$3:$S$992,2,0),"")</f>
        <v>Ostatní vedlejší činnosti v dopravě</v>
      </c>
      <c r="U719">
        <f>IF(ISNUMBER(SEARCH('1Př1'!$A$36,N719)),MAX($M$2:M718)+1,0)</f>
        <v>717</v>
      </c>
      <c r="V719" s="419" t="s">
        <v>2973</v>
      </c>
      <c r="W719" t="str">
        <f>IFERROR(VLOOKUP(ROWS($W$3:W719),$U$3:$V$992,2,0),"")</f>
        <v>Ostatní vedlejší činnosti v dopravě</v>
      </c>
      <c r="X719">
        <f>IF(ISNUMBER(SEARCH('1Př1'!$A$37,N719)),MAX($M$2:M718)+1,0)</f>
        <v>717</v>
      </c>
      <c r="Y719" s="419" t="s">
        <v>2973</v>
      </c>
      <c r="Z719" t="str">
        <f>IFERROR(VLOOKUP(ROWS($Z$3:Z719),$X$3:$Y$992,2,0),"")</f>
        <v>Ostatní vedlejší činnosti v dopravě</v>
      </c>
    </row>
    <row r="720" spans="13:26" ht="12.75">
      <c r="M720" s="418">
        <f>IF(ISNUMBER(SEARCH(ZAKL_DATA!$B$29,N720)),MAX($M$2:M719)+1,0)</f>
        <v>718</v>
      </c>
      <c r="N720" s="419" t="s">
        <v>2975</v>
      </c>
      <c r="O720" s="436" t="s">
        <v>2976</v>
      </c>
      <c r="P720" s="421"/>
      <c r="Q720" s="422" t="str">
        <f>IFERROR(VLOOKUP(ROWS($Q$3:Q720),$M$3:$N$992,2,0),"")</f>
        <v>Poskytování cateringových služeb</v>
      </c>
      <c r="R720">
        <f>IF(ISNUMBER(SEARCH('1Př1'!$A$35,N720)),MAX($M$2:M719)+1,0)</f>
        <v>718</v>
      </c>
      <c r="S720" s="419" t="s">
        <v>2975</v>
      </c>
      <c r="T720" t="str">
        <f>IFERROR(VLOOKUP(ROWS($T$3:T720),$R$3:$S$992,2,0),"")</f>
        <v>Poskytování cateringových služeb</v>
      </c>
      <c r="U720">
        <f>IF(ISNUMBER(SEARCH('1Př1'!$A$36,N720)),MAX($M$2:M719)+1,0)</f>
        <v>718</v>
      </c>
      <c r="V720" s="419" t="s">
        <v>2975</v>
      </c>
      <c r="W720" t="str">
        <f>IFERROR(VLOOKUP(ROWS($W$3:W720),$U$3:$V$992,2,0),"")</f>
        <v>Poskytování cateringových služeb</v>
      </c>
      <c r="X720">
        <f>IF(ISNUMBER(SEARCH('1Př1'!$A$37,N720)),MAX($M$2:M719)+1,0)</f>
        <v>718</v>
      </c>
      <c r="Y720" s="419" t="s">
        <v>2975</v>
      </c>
      <c r="Z720" t="str">
        <f>IFERROR(VLOOKUP(ROWS($Z$3:Z720),$X$3:$Y$992,2,0),"")</f>
        <v>Poskytování cateringových služeb</v>
      </c>
    </row>
    <row r="721" spans="13:26" ht="12.75">
      <c r="M721" s="418">
        <f>IF(ISNUMBER(SEARCH(ZAKL_DATA!$B$29,N721)),MAX($M$2:M720)+1,0)</f>
        <v>719</v>
      </c>
      <c r="N721" s="419" t="s">
        <v>2977</v>
      </c>
      <c r="O721" s="436" t="s">
        <v>2978</v>
      </c>
      <c r="P721" s="421"/>
      <c r="Q721" s="422" t="str">
        <f>IFERROR(VLOOKUP(ROWS($Q$3:Q721),$M$3:$N$992,2,0),"")</f>
        <v>Poskytování ostatních stravovacích služeb</v>
      </c>
      <c r="R721">
        <f>IF(ISNUMBER(SEARCH('1Př1'!$A$35,N721)),MAX($M$2:M720)+1,0)</f>
        <v>719</v>
      </c>
      <c r="S721" s="419" t="s">
        <v>2977</v>
      </c>
      <c r="T721" t="str">
        <f>IFERROR(VLOOKUP(ROWS($T$3:T721),$R$3:$S$992,2,0),"")</f>
        <v>Poskytování ostatních stravovacích služeb</v>
      </c>
      <c r="U721">
        <f>IF(ISNUMBER(SEARCH('1Př1'!$A$36,N721)),MAX($M$2:M720)+1,0)</f>
        <v>719</v>
      </c>
      <c r="V721" s="419" t="s">
        <v>2977</v>
      </c>
      <c r="W721" t="str">
        <f>IFERROR(VLOOKUP(ROWS($W$3:W721),$U$3:$V$992,2,0),"")</f>
        <v>Poskytování ostatních stravovacích služeb</v>
      </c>
      <c r="X721">
        <f>IF(ISNUMBER(SEARCH('1Př1'!$A$37,N721)),MAX($M$2:M720)+1,0)</f>
        <v>719</v>
      </c>
      <c r="Y721" s="419" t="s">
        <v>2977</v>
      </c>
      <c r="Z721" t="str">
        <f>IFERROR(VLOOKUP(ROWS($Z$3:Z721),$X$3:$Y$992,2,0),"")</f>
        <v>Poskytování ostatních stravovacích služeb</v>
      </c>
    </row>
    <row r="722" spans="13:26" ht="12.75">
      <c r="M722" s="418">
        <f>IF(ISNUMBER(SEARCH(ZAKL_DATA!$B$29,N722)),MAX($M$2:M721)+1,0)</f>
        <v>720</v>
      </c>
      <c r="N722" s="419" t="s">
        <v>2979</v>
      </c>
      <c r="O722" s="436" t="s">
        <v>2980</v>
      </c>
      <c r="P722" s="421"/>
      <c r="Q722" s="422" t="str">
        <f>IFERROR(VLOOKUP(ROWS($Q$3:Q722),$M$3:$N$992,2,0),"")</f>
        <v>Vydávání knih</v>
      </c>
      <c r="R722">
        <f>IF(ISNUMBER(SEARCH('1Př1'!$A$35,N722)),MAX($M$2:M721)+1,0)</f>
        <v>720</v>
      </c>
      <c r="S722" s="419" t="s">
        <v>2979</v>
      </c>
      <c r="T722" t="str">
        <f>IFERROR(VLOOKUP(ROWS($T$3:T722),$R$3:$S$992,2,0),"")</f>
        <v>Vydávání knih</v>
      </c>
      <c r="U722">
        <f>IF(ISNUMBER(SEARCH('1Př1'!$A$36,N722)),MAX($M$2:M721)+1,0)</f>
        <v>720</v>
      </c>
      <c r="V722" s="419" t="s">
        <v>2979</v>
      </c>
      <c r="W722" t="str">
        <f>IFERROR(VLOOKUP(ROWS($W$3:W722),$U$3:$V$992,2,0),"")</f>
        <v>Vydávání knih</v>
      </c>
      <c r="X722">
        <f>IF(ISNUMBER(SEARCH('1Př1'!$A$37,N722)),MAX($M$2:M721)+1,0)</f>
        <v>720</v>
      </c>
      <c r="Y722" s="419" t="s">
        <v>2979</v>
      </c>
      <c r="Z722" t="str">
        <f>IFERROR(VLOOKUP(ROWS($Z$3:Z722),$X$3:$Y$992,2,0),"")</f>
        <v>Vydávání knih</v>
      </c>
    </row>
    <row r="723" spans="13:26" ht="12.75">
      <c r="M723" s="418">
        <f>IF(ISNUMBER(SEARCH(ZAKL_DATA!$B$29,N723)),MAX($M$2:M722)+1,0)</f>
        <v>721</v>
      </c>
      <c r="N723" s="419" t="s">
        <v>2981</v>
      </c>
      <c r="O723" s="436" t="s">
        <v>2982</v>
      </c>
      <c r="P723" s="421"/>
      <c r="Q723" s="422" t="str">
        <f>IFERROR(VLOOKUP(ROWS($Q$3:Q723),$M$3:$N$992,2,0),"")</f>
        <v>Vydávání adresářů a jiných seznamů</v>
      </c>
      <c r="R723">
        <f>IF(ISNUMBER(SEARCH('1Př1'!$A$35,N723)),MAX($M$2:M722)+1,0)</f>
        <v>721</v>
      </c>
      <c r="S723" s="419" t="s">
        <v>2981</v>
      </c>
      <c r="T723" t="str">
        <f>IFERROR(VLOOKUP(ROWS($T$3:T723),$R$3:$S$992,2,0),"")</f>
        <v>Vydávání adresářů a jiných seznamů</v>
      </c>
      <c r="U723">
        <f>IF(ISNUMBER(SEARCH('1Př1'!$A$36,N723)),MAX($M$2:M722)+1,0)</f>
        <v>721</v>
      </c>
      <c r="V723" s="419" t="s">
        <v>2981</v>
      </c>
      <c r="W723" t="str">
        <f>IFERROR(VLOOKUP(ROWS($W$3:W723),$U$3:$V$992,2,0),"")</f>
        <v>Vydávání adresářů a jiných seznamů</v>
      </c>
      <c r="X723">
        <f>IF(ISNUMBER(SEARCH('1Př1'!$A$37,N723)),MAX($M$2:M722)+1,0)</f>
        <v>721</v>
      </c>
      <c r="Y723" s="419" t="s">
        <v>2981</v>
      </c>
      <c r="Z723" t="str">
        <f>IFERROR(VLOOKUP(ROWS($Z$3:Z723),$X$3:$Y$992,2,0),"")</f>
        <v>Vydávání adresářů a jiných seznamů</v>
      </c>
    </row>
    <row r="724" spans="13:26" ht="12.75">
      <c r="M724" s="418">
        <f>IF(ISNUMBER(SEARCH(ZAKL_DATA!$B$29,N724)),MAX($M$2:M723)+1,0)</f>
        <v>722</v>
      </c>
      <c r="N724" s="419" t="s">
        <v>2983</v>
      </c>
      <c r="O724" s="436" t="s">
        <v>2984</v>
      </c>
      <c r="P724" s="421"/>
      <c r="Q724" s="422" t="str">
        <f>IFERROR(VLOOKUP(ROWS($Q$3:Q724),$M$3:$N$992,2,0),"")</f>
        <v>Vydávání novin</v>
      </c>
      <c r="R724">
        <f>IF(ISNUMBER(SEARCH('1Př1'!$A$35,N724)),MAX($M$2:M723)+1,0)</f>
        <v>722</v>
      </c>
      <c r="S724" s="419" t="s">
        <v>2983</v>
      </c>
      <c r="T724" t="str">
        <f>IFERROR(VLOOKUP(ROWS($T$3:T724),$R$3:$S$992,2,0),"")</f>
        <v>Vydávání novin</v>
      </c>
      <c r="U724">
        <f>IF(ISNUMBER(SEARCH('1Př1'!$A$36,N724)),MAX($M$2:M723)+1,0)</f>
        <v>722</v>
      </c>
      <c r="V724" s="419" t="s">
        <v>2983</v>
      </c>
      <c r="W724" t="str">
        <f>IFERROR(VLOOKUP(ROWS($W$3:W724),$U$3:$V$992,2,0),"")</f>
        <v>Vydávání novin</v>
      </c>
      <c r="X724">
        <f>IF(ISNUMBER(SEARCH('1Př1'!$A$37,N724)),MAX($M$2:M723)+1,0)</f>
        <v>722</v>
      </c>
      <c r="Y724" s="419" t="s">
        <v>2983</v>
      </c>
      <c r="Z724" t="str">
        <f>IFERROR(VLOOKUP(ROWS($Z$3:Z724),$X$3:$Y$992,2,0),"")</f>
        <v>Vydávání novin</v>
      </c>
    </row>
    <row r="725" spans="13:26" ht="12.75">
      <c r="M725" s="418">
        <f>IF(ISNUMBER(SEARCH(ZAKL_DATA!$B$29,N725)),MAX($M$2:M724)+1,0)</f>
        <v>723</v>
      </c>
      <c r="N725" s="419" t="s">
        <v>2985</v>
      </c>
      <c r="O725" s="436" t="s">
        <v>2986</v>
      </c>
      <c r="P725" s="421"/>
      <c r="Q725" s="422" t="str">
        <f>IFERROR(VLOOKUP(ROWS($Q$3:Q725),$M$3:$N$992,2,0),"")</f>
        <v>Vydávání časopisů a ostatních periodických publikací</v>
      </c>
      <c r="R725">
        <f>IF(ISNUMBER(SEARCH('1Př1'!$A$35,N725)),MAX($M$2:M724)+1,0)</f>
        <v>723</v>
      </c>
      <c r="S725" s="419" t="s">
        <v>2985</v>
      </c>
      <c r="T725" t="str">
        <f>IFERROR(VLOOKUP(ROWS($T$3:T725),$R$3:$S$992,2,0),"")</f>
        <v>Vydávání časopisů a ostatních periodických publikací</v>
      </c>
      <c r="U725">
        <f>IF(ISNUMBER(SEARCH('1Př1'!$A$36,N725)),MAX($M$2:M724)+1,0)</f>
        <v>723</v>
      </c>
      <c r="V725" s="419" t="s">
        <v>2985</v>
      </c>
      <c r="W725" t="str">
        <f>IFERROR(VLOOKUP(ROWS($W$3:W725),$U$3:$V$992,2,0),"")</f>
        <v>Vydávání časopisů a ostatních periodických publikací</v>
      </c>
      <c r="X725">
        <f>IF(ISNUMBER(SEARCH('1Př1'!$A$37,N725)),MAX($M$2:M724)+1,0)</f>
        <v>723</v>
      </c>
      <c r="Y725" s="419" t="s">
        <v>2985</v>
      </c>
      <c r="Z725" t="str">
        <f>IFERROR(VLOOKUP(ROWS($Z$3:Z725),$X$3:$Y$992,2,0),"")</f>
        <v>Vydávání časopisů a ostatních periodických publikací</v>
      </c>
    </row>
    <row r="726" spans="13:26" ht="12.75">
      <c r="M726" s="418">
        <f>IF(ISNUMBER(SEARCH(ZAKL_DATA!$B$29,N726)),MAX($M$2:M725)+1,0)</f>
        <v>724</v>
      </c>
      <c r="N726" s="419" t="s">
        <v>2987</v>
      </c>
      <c r="O726" s="436" t="s">
        <v>2988</v>
      </c>
      <c r="P726" s="421"/>
      <c r="Q726" s="422" t="str">
        <f>IFERROR(VLOOKUP(ROWS($Q$3:Q726),$M$3:$N$992,2,0),"")</f>
        <v>Ostatní vydavatelské činnosti</v>
      </c>
      <c r="R726">
        <f>IF(ISNUMBER(SEARCH('1Př1'!$A$35,N726)),MAX($M$2:M725)+1,0)</f>
        <v>724</v>
      </c>
      <c r="S726" s="419" t="s">
        <v>2987</v>
      </c>
      <c r="T726" t="str">
        <f>IFERROR(VLOOKUP(ROWS($T$3:T726),$R$3:$S$992,2,0),"")</f>
        <v>Ostatní vydavatelské činnosti</v>
      </c>
      <c r="U726">
        <f>IF(ISNUMBER(SEARCH('1Př1'!$A$36,N726)),MAX($M$2:M725)+1,0)</f>
        <v>724</v>
      </c>
      <c r="V726" s="419" t="s">
        <v>2987</v>
      </c>
      <c r="W726" t="str">
        <f>IFERROR(VLOOKUP(ROWS($W$3:W726),$U$3:$V$992,2,0),"")</f>
        <v>Ostatní vydavatelské činnosti</v>
      </c>
      <c r="X726">
        <f>IF(ISNUMBER(SEARCH('1Př1'!$A$37,N726)),MAX($M$2:M725)+1,0)</f>
        <v>724</v>
      </c>
      <c r="Y726" s="419" t="s">
        <v>2987</v>
      </c>
      <c r="Z726" t="str">
        <f>IFERROR(VLOOKUP(ROWS($Z$3:Z726),$X$3:$Y$992,2,0),"")</f>
        <v>Ostatní vydavatelské činnosti</v>
      </c>
    </row>
    <row r="727" spans="13:26" ht="12.75">
      <c r="M727" s="418">
        <f>IF(ISNUMBER(SEARCH(ZAKL_DATA!$B$29,N727)),MAX($M$2:M726)+1,0)</f>
        <v>725</v>
      </c>
      <c r="N727" s="419" t="s">
        <v>2989</v>
      </c>
      <c r="O727" s="436" t="s">
        <v>2990</v>
      </c>
      <c r="P727" s="421"/>
      <c r="Q727" s="422" t="str">
        <f>IFERROR(VLOOKUP(ROWS($Q$3:Q727),$M$3:$N$992,2,0),"")</f>
        <v>Vydávání počítačových her</v>
      </c>
      <c r="R727">
        <f>IF(ISNUMBER(SEARCH('1Př1'!$A$35,N727)),MAX($M$2:M726)+1,0)</f>
        <v>725</v>
      </c>
      <c r="S727" s="419" t="s">
        <v>2989</v>
      </c>
      <c r="T727" t="str">
        <f>IFERROR(VLOOKUP(ROWS($T$3:T727),$R$3:$S$992,2,0),"")</f>
        <v>Vydávání počítačových her</v>
      </c>
      <c r="U727">
        <f>IF(ISNUMBER(SEARCH('1Př1'!$A$36,N727)),MAX($M$2:M726)+1,0)</f>
        <v>725</v>
      </c>
      <c r="V727" s="419" t="s">
        <v>2989</v>
      </c>
      <c r="W727" t="str">
        <f>IFERROR(VLOOKUP(ROWS($W$3:W727),$U$3:$V$992,2,0),"")</f>
        <v>Vydávání počítačových her</v>
      </c>
      <c r="X727">
        <f>IF(ISNUMBER(SEARCH('1Př1'!$A$37,N727)),MAX($M$2:M726)+1,0)</f>
        <v>725</v>
      </c>
      <c r="Y727" s="419" t="s">
        <v>2989</v>
      </c>
      <c r="Z727" t="str">
        <f>IFERROR(VLOOKUP(ROWS($Z$3:Z727),$X$3:$Y$992,2,0),"")</f>
        <v>Vydávání počítačových her</v>
      </c>
    </row>
    <row r="728" spans="13:26" ht="12.75">
      <c r="M728" s="418">
        <f>IF(ISNUMBER(SEARCH(ZAKL_DATA!$B$29,N728)),MAX($M$2:M727)+1,0)</f>
        <v>726</v>
      </c>
      <c r="N728" s="419" t="s">
        <v>2991</v>
      </c>
      <c r="O728" s="436" t="s">
        <v>2992</v>
      </c>
      <c r="P728" s="421"/>
      <c r="Q728" s="422" t="str">
        <f>IFERROR(VLOOKUP(ROWS($Q$3:Q728),$M$3:$N$992,2,0),"")</f>
        <v>Ostatní vydávání softwaru</v>
      </c>
      <c r="R728">
        <f>IF(ISNUMBER(SEARCH('1Př1'!$A$35,N728)),MAX($M$2:M727)+1,0)</f>
        <v>726</v>
      </c>
      <c r="S728" s="419" t="s">
        <v>2991</v>
      </c>
      <c r="T728" t="str">
        <f>IFERROR(VLOOKUP(ROWS($T$3:T728),$R$3:$S$992,2,0),"")</f>
        <v>Ostatní vydávání softwaru</v>
      </c>
      <c r="U728">
        <f>IF(ISNUMBER(SEARCH('1Př1'!$A$36,N728)),MAX($M$2:M727)+1,0)</f>
        <v>726</v>
      </c>
      <c r="V728" s="419" t="s">
        <v>2991</v>
      </c>
      <c r="W728" t="str">
        <f>IFERROR(VLOOKUP(ROWS($W$3:W728),$U$3:$V$992,2,0),"")</f>
        <v>Ostatní vydávání softwaru</v>
      </c>
      <c r="X728">
        <f>IF(ISNUMBER(SEARCH('1Př1'!$A$37,N728)),MAX($M$2:M727)+1,0)</f>
        <v>726</v>
      </c>
      <c r="Y728" s="419" t="s">
        <v>2991</v>
      </c>
      <c r="Z728" t="str">
        <f>IFERROR(VLOOKUP(ROWS($Z$3:Z728),$X$3:$Y$992,2,0),"")</f>
        <v>Ostatní vydávání softwaru</v>
      </c>
    </row>
    <row r="729" spans="13:26" ht="12.75">
      <c r="M729" s="418">
        <f>IF(ISNUMBER(SEARCH(ZAKL_DATA!$B$29,N729)),MAX($M$2:M728)+1,0)</f>
        <v>727</v>
      </c>
      <c r="N729" s="419" t="s">
        <v>2993</v>
      </c>
      <c r="O729" s="436" t="s">
        <v>2994</v>
      </c>
      <c r="P729" s="421"/>
      <c r="Q729" s="422" t="str">
        <f>IFERROR(VLOOKUP(ROWS($Q$3:Q729),$M$3:$N$992,2,0),"")</f>
        <v>Produkce filmů, videozáznamů a televizních programů</v>
      </c>
      <c r="R729">
        <f>IF(ISNUMBER(SEARCH('1Př1'!$A$35,N729)),MAX($M$2:M728)+1,0)</f>
        <v>727</v>
      </c>
      <c r="S729" s="419" t="s">
        <v>2993</v>
      </c>
      <c r="T729" t="str">
        <f>IFERROR(VLOOKUP(ROWS($T$3:T729),$R$3:$S$992,2,0),"")</f>
        <v>Produkce filmů, videozáznamů a televizních programů</v>
      </c>
      <c r="U729">
        <f>IF(ISNUMBER(SEARCH('1Př1'!$A$36,N729)),MAX($M$2:M728)+1,0)</f>
        <v>727</v>
      </c>
      <c r="V729" s="419" t="s">
        <v>2993</v>
      </c>
      <c r="W729" t="str">
        <f>IFERROR(VLOOKUP(ROWS($W$3:W729),$U$3:$V$992,2,0),"")</f>
        <v>Produkce filmů, videozáznamů a televizních programů</v>
      </c>
      <c r="X729">
        <f>IF(ISNUMBER(SEARCH('1Př1'!$A$37,N729)),MAX($M$2:M728)+1,0)</f>
        <v>727</v>
      </c>
      <c r="Y729" s="419" t="s">
        <v>2993</v>
      </c>
      <c r="Z729" t="str">
        <f>IFERROR(VLOOKUP(ROWS($Z$3:Z729),$X$3:$Y$992,2,0),"")</f>
        <v>Produkce filmů, videozáznamů a televizních programů</v>
      </c>
    </row>
    <row r="730" spans="13:26" ht="12.75">
      <c r="M730" s="418">
        <f>IF(ISNUMBER(SEARCH(ZAKL_DATA!$B$29,N730)),MAX($M$2:M729)+1,0)</f>
        <v>728</v>
      </c>
      <c r="N730" s="419" t="s">
        <v>2995</v>
      </c>
      <c r="O730" s="436" t="s">
        <v>2996</v>
      </c>
      <c r="P730" s="421"/>
      <c r="Q730" s="422" t="str">
        <f>IFERROR(VLOOKUP(ROWS($Q$3:Q730),$M$3:$N$992,2,0),"")</f>
        <v>Postprodukce filmů, videozáznamů a televizních programů</v>
      </c>
      <c r="R730">
        <f>IF(ISNUMBER(SEARCH('1Př1'!$A$35,N730)),MAX($M$2:M729)+1,0)</f>
        <v>728</v>
      </c>
      <c r="S730" s="419" t="s">
        <v>2995</v>
      </c>
      <c r="T730" t="str">
        <f>IFERROR(VLOOKUP(ROWS($T$3:T730),$R$3:$S$992,2,0),"")</f>
        <v>Postprodukce filmů, videozáznamů a televizních programů</v>
      </c>
      <c r="U730">
        <f>IF(ISNUMBER(SEARCH('1Př1'!$A$36,N730)),MAX($M$2:M729)+1,0)</f>
        <v>728</v>
      </c>
      <c r="V730" s="419" t="s">
        <v>2995</v>
      </c>
      <c r="W730" t="str">
        <f>IFERROR(VLOOKUP(ROWS($W$3:W730),$U$3:$V$992,2,0),"")</f>
        <v>Postprodukce filmů, videozáznamů a televizních programů</v>
      </c>
      <c r="X730">
        <f>IF(ISNUMBER(SEARCH('1Př1'!$A$37,N730)),MAX($M$2:M729)+1,0)</f>
        <v>728</v>
      </c>
      <c r="Y730" s="419" t="s">
        <v>2995</v>
      </c>
      <c r="Z730" t="str">
        <f>IFERROR(VLOOKUP(ROWS($Z$3:Z730),$X$3:$Y$992,2,0),"")</f>
        <v>Postprodukce filmů, videozáznamů a televizních programů</v>
      </c>
    </row>
    <row r="731" spans="13:26" ht="12.75">
      <c r="M731" s="418">
        <f>IF(ISNUMBER(SEARCH(ZAKL_DATA!$B$29,N731)),MAX($M$2:M730)+1,0)</f>
        <v>729</v>
      </c>
      <c r="N731" s="419" t="s">
        <v>2997</v>
      </c>
      <c r="O731" s="436" t="s">
        <v>2998</v>
      </c>
      <c r="P731" s="421"/>
      <c r="Q731" s="422" t="str">
        <f>IFERROR(VLOOKUP(ROWS($Q$3:Q731),$M$3:$N$992,2,0),"")</f>
        <v>Distribuce filmů, videozáznamů a televizních programů</v>
      </c>
      <c r="R731">
        <f>IF(ISNUMBER(SEARCH('1Př1'!$A$35,N731)),MAX($M$2:M730)+1,0)</f>
        <v>729</v>
      </c>
      <c r="S731" s="419" t="s">
        <v>2997</v>
      </c>
      <c r="T731" t="str">
        <f>IFERROR(VLOOKUP(ROWS($T$3:T731),$R$3:$S$992,2,0),"")</f>
        <v>Distribuce filmů, videozáznamů a televizních programů</v>
      </c>
      <c r="U731">
        <f>IF(ISNUMBER(SEARCH('1Př1'!$A$36,N731)),MAX($M$2:M730)+1,0)</f>
        <v>729</v>
      </c>
      <c r="V731" s="419" t="s">
        <v>2997</v>
      </c>
      <c r="W731" t="str">
        <f>IFERROR(VLOOKUP(ROWS($W$3:W731),$U$3:$V$992,2,0),"")</f>
        <v>Distribuce filmů, videozáznamů a televizních programů</v>
      </c>
      <c r="X731">
        <f>IF(ISNUMBER(SEARCH('1Př1'!$A$37,N731)),MAX($M$2:M730)+1,0)</f>
        <v>729</v>
      </c>
      <c r="Y731" s="419" t="s">
        <v>2997</v>
      </c>
      <c r="Z731" t="str">
        <f>IFERROR(VLOOKUP(ROWS($Z$3:Z731),$X$3:$Y$992,2,0),"")</f>
        <v>Distribuce filmů, videozáznamů a televizních programů</v>
      </c>
    </row>
    <row r="732" spans="13:26" ht="12.75">
      <c r="M732" s="418">
        <f>IF(ISNUMBER(SEARCH(ZAKL_DATA!$B$29,N732)),MAX($M$2:M731)+1,0)</f>
        <v>730</v>
      </c>
      <c r="N732" s="419" t="s">
        <v>2999</v>
      </c>
      <c r="O732" s="436" t="s">
        <v>3000</v>
      </c>
      <c r="P732" s="421"/>
      <c r="Q732" s="422" t="str">
        <f>IFERROR(VLOOKUP(ROWS($Q$3:Q732),$M$3:$N$992,2,0),"")</f>
        <v>Promítání filmů</v>
      </c>
      <c r="R732">
        <f>IF(ISNUMBER(SEARCH('1Př1'!$A$35,N732)),MAX($M$2:M731)+1,0)</f>
        <v>730</v>
      </c>
      <c r="S732" s="419" t="s">
        <v>2999</v>
      </c>
      <c r="T732" t="str">
        <f>IFERROR(VLOOKUP(ROWS($T$3:T732),$R$3:$S$992,2,0),"")</f>
        <v>Promítání filmů</v>
      </c>
      <c r="U732">
        <f>IF(ISNUMBER(SEARCH('1Př1'!$A$36,N732)),MAX($M$2:M731)+1,0)</f>
        <v>730</v>
      </c>
      <c r="V732" s="419" t="s">
        <v>2999</v>
      </c>
      <c r="W732" t="str">
        <f>IFERROR(VLOOKUP(ROWS($W$3:W732),$U$3:$V$992,2,0),"")</f>
        <v>Promítání filmů</v>
      </c>
      <c r="X732">
        <f>IF(ISNUMBER(SEARCH('1Př1'!$A$37,N732)),MAX($M$2:M731)+1,0)</f>
        <v>730</v>
      </c>
      <c r="Y732" s="419" t="s">
        <v>2999</v>
      </c>
      <c r="Z732" t="str">
        <f>IFERROR(VLOOKUP(ROWS($Z$3:Z732),$X$3:$Y$992,2,0),"")</f>
        <v>Promítání filmů</v>
      </c>
    </row>
    <row r="733" spans="13:26" ht="12.75">
      <c r="M733" s="418">
        <f>IF(ISNUMBER(SEARCH(ZAKL_DATA!$B$29,N733)),MAX($M$2:M732)+1,0)</f>
        <v>731</v>
      </c>
      <c r="N733" s="419" t="s">
        <v>3001</v>
      </c>
      <c r="O733" s="436" t="s">
        <v>3002</v>
      </c>
      <c r="P733" s="421"/>
      <c r="Q733" s="422" t="str">
        <f>IFERROR(VLOOKUP(ROWS($Q$3:Q733),$M$3:$N$992,2,0),"")</f>
        <v>Programování</v>
      </c>
      <c r="R733">
        <f>IF(ISNUMBER(SEARCH('1Př1'!$A$35,N733)),MAX($M$2:M732)+1,0)</f>
        <v>731</v>
      </c>
      <c r="S733" s="419" t="s">
        <v>3001</v>
      </c>
      <c r="T733" t="str">
        <f>IFERROR(VLOOKUP(ROWS($T$3:T733),$R$3:$S$992,2,0),"")</f>
        <v>Programování</v>
      </c>
      <c r="U733">
        <f>IF(ISNUMBER(SEARCH('1Př1'!$A$36,N733)),MAX($M$2:M732)+1,0)</f>
        <v>731</v>
      </c>
      <c r="V733" s="419" t="s">
        <v>3001</v>
      </c>
      <c r="W733" t="str">
        <f>IFERROR(VLOOKUP(ROWS($W$3:W733),$U$3:$V$992,2,0),"")</f>
        <v>Programování</v>
      </c>
      <c r="X733">
        <f>IF(ISNUMBER(SEARCH('1Př1'!$A$37,N733)),MAX($M$2:M732)+1,0)</f>
        <v>731</v>
      </c>
      <c r="Y733" s="419" t="s">
        <v>3001</v>
      </c>
      <c r="Z733" t="str">
        <f>IFERROR(VLOOKUP(ROWS($Z$3:Z733),$X$3:$Y$992,2,0),"")</f>
        <v>Programování</v>
      </c>
    </row>
    <row r="734" spans="13:26" ht="12.75">
      <c r="M734" s="418">
        <f>IF(ISNUMBER(SEARCH(ZAKL_DATA!$B$29,N734)),MAX($M$2:M733)+1,0)</f>
        <v>732</v>
      </c>
      <c r="N734" s="419" t="s">
        <v>3003</v>
      </c>
      <c r="O734" s="436" t="s">
        <v>3004</v>
      </c>
      <c r="P734" s="421"/>
      <c r="Q734" s="422" t="str">
        <f>IFERROR(VLOOKUP(ROWS($Q$3:Q734),$M$3:$N$992,2,0),"")</f>
        <v>Poradenství v oblasti informačních technologií</v>
      </c>
      <c r="R734">
        <f>IF(ISNUMBER(SEARCH('1Př1'!$A$35,N734)),MAX($M$2:M733)+1,0)</f>
        <v>732</v>
      </c>
      <c r="S734" s="419" t="s">
        <v>3003</v>
      </c>
      <c r="T734" t="str">
        <f>IFERROR(VLOOKUP(ROWS($T$3:T734),$R$3:$S$992,2,0),"")</f>
        <v>Poradenství v oblasti informačních technologií</v>
      </c>
      <c r="U734">
        <f>IF(ISNUMBER(SEARCH('1Př1'!$A$36,N734)),MAX($M$2:M733)+1,0)</f>
        <v>732</v>
      </c>
      <c r="V734" s="419" t="s">
        <v>3003</v>
      </c>
      <c r="W734" t="str">
        <f>IFERROR(VLOOKUP(ROWS($W$3:W734),$U$3:$V$992,2,0),"")</f>
        <v>Poradenství v oblasti informačních technologií</v>
      </c>
      <c r="X734">
        <f>IF(ISNUMBER(SEARCH('1Př1'!$A$37,N734)),MAX($M$2:M733)+1,0)</f>
        <v>732</v>
      </c>
      <c r="Y734" s="419" t="s">
        <v>3003</v>
      </c>
      <c r="Z734" t="str">
        <f>IFERROR(VLOOKUP(ROWS($Z$3:Z734),$X$3:$Y$992,2,0),"")</f>
        <v>Poradenství v oblasti informačních technologií</v>
      </c>
    </row>
    <row r="735" spans="13:26" ht="12.75">
      <c r="M735" s="418">
        <f>IF(ISNUMBER(SEARCH(ZAKL_DATA!$B$29,N735)),MAX($M$2:M734)+1,0)</f>
        <v>733</v>
      </c>
      <c r="N735" s="419" t="s">
        <v>3005</v>
      </c>
      <c r="O735" s="436" t="s">
        <v>3006</v>
      </c>
      <c r="P735" s="421"/>
      <c r="Q735" s="422" t="str">
        <f>IFERROR(VLOOKUP(ROWS($Q$3:Q735),$M$3:$N$992,2,0),"")</f>
        <v>Správa počítačového vybavení</v>
      </c>
      <c r="R735">
        <f>IF(ISNUMBER(SEARCH('1Př1'!$A$35,N735)),MAX($M$2:M734)+1,0)</f>
        <v>733</v>
      </c>
      <c r="S735" s="419" t="s">
        <v>3005</v>
      </c>
      <c r="T735" t="str">
        <f>IFERROR(VLOOKUP(ROWS($T$3:T735),$R$3:$S$992,2,0),"")</f>
        <v>Správa počítačového vybavení</v>
      </c>
      <c r="U735">
        <f>IF(ISNUMBER(SEARCH('1Př1'!$A$36,N735)),MAX($M$2:M734)+1,0)</f>
        <v>733</v>
      </c>
      <c r="V735" s="419" t="s">
        <v>3005</v>
      </c>
      <c r="W735" t="str">
        <f>IFERROR(VLOOKUP(ROWS($W$3:W735),$U$3:$V$992,2,0),"")</f>
        <v>Správa počítačového vybavení</v>
      </c>
      <c r="X735">
        <f>IF(ISNUMBER(SEARCH('1Př1'!$A$37,N735)),MAX($M$2:M734)+1,0)</f>
        <v>733</v>
      </c>
      <c r="Y735" s="419" t="s">
        <v>3005</v>
      </c>
      <c r="Z735" t="str">
        <f>IFERROR(VLOOKUP(ROWS($Z$3:Z735),$X$3:$Y$992,2,0),"")</f>
        <v>Správa počítačového vybavení</v>
      </c>
    </row>
    <row r="736" spans="13:26" ht="12.75">
      <c r="M736" s="418">
        <f>IF(ISNUMBER(SEARCH(ZAKL_DATA!$B$29,N736)),MAX($M$2:M735)+1,0)</f>
        <v>734</v>
      </c>
      <c r="N736" s="419" t="s">
        <v>3007</v>
      </c>
      <c r="O736" s="436" t="s">
        <v>3008</v>
      </c>
      <c r="P736" s="421"/>
      <c r="Q736" s="422" t="str">
        <f>IFERROR(VLOOKUP(ROWS($Q$3:Q736),$M$3:$N$992,2,0),"")</f>
        <v>Ostatní činnosti v oblasti informačních technologií</v>
      </c>
      <c r="R736">
        <f>IF(ISNUMBER(SEARCH('1Př1'!$A$35,N736)),MAX($M$2:M735)+1,0)</f>
        <v>734</v>
      </c>
      <c r="S736" s="419" t="s">
        <v>3007</v>
      </c>
      <c r="T736" t="str">
        <f>IFERROR(VLOOKUP(ROWS($T$3:T736),$R$3:$S$992,2,0),"")</f>
        <v>Ostatní činnosti v oblasti informačních technologií</v>
      </c>
      <c r="U736">
        <f>IF(ISNUMBER(SEARCH('1Př1'!$A$36,N736)),MAX($M$2:M735)+1,0)</f>
        <v>734</v>
      </c>
      <c r="V736" s="419" t="s">
        <v>3007</v>
      </c>
      <c r="W736" t="str">
        <f>IFERROR(VLOOKUP(ROWS($W$3:W736),$U$3:$V$992,2,0),"")</f>
        <v>Ostatní činnosti v oblasti informačních technologií</v>
      </c>
      <c r="X736">
        <f>IF(ISNUMBER(SEARCH('1Př1'!$A$37,N736)),MAX($M$2:M735)+1,0)</f>
        <v>734</v>
      </c>
      <c r="Y736" s="419" t="s">
        <v>3007</v>
      </c>
      <c r="Z736" t="str">
        <f>IFERROR(VLOOKUP(ROWS($Z$3:Z736),$X$3:$Y$992,2,0),"")</f>
        <v>Ostatní činnosti v oblasti informačních technologií</v>
      </c>
    </row>
    <row r="737" spans="13:26" ht="12.75">
      <c r="M737" s="418">
        <f>IF(ISNUMBER(SEARCH(ZAKL_DATA!$B$29,N737)),MAX($M$2:M736)+1,0)</f>
        <v>735</v>
      </c>
      <c r="N737" s="419" t="s">
        <v>3009</v>
      </c>
      <c r="O737" s="436" t="s">
        <v>3010</v>
      </c>
      <c r="P737" s="421"/>
      <c r="Q737" s="422" t="str">
        <f>IFERROR(VLOOKUP(ROWS($Q$3:Q737),$M$3:$N$992,2,0),"")</f>
        <v>Činnosti související se zpracováním dat a hostingem</v>
      </c>
      <c r="R737">
        <f>IF(ISNUMBER(SEARCH('1Př1'!$A$35,N737)),MAX($M$2:M736)+1,0)</f>
        <v>735</v>
      </c>
      <c r="S737" s="419" t="s">
        <v>3009</v>
      </c>
      <c r="T737" t="str">
        <f>IFERROR(VLOOKUP(ROWS($T$3:T737),$R$3:$S$992,2,0),"")</f>
        <v>Činnosti související se zpracováním dat a hostingem</v>
      </c>
      <c r="U737">
        <f>IF(ISNUMBER(SEARCH('1Př1'!$A$36,N737)),MAX($M$2:M736)+1,0)</f>
        <v>735</v>
      </c>
      <c r="V737" s="419" t="s">
        <v>3009</v>
      </c>
      <c r="W737" t="str">
        <f>IFERROR(VLOOKUP(ROWS($W$3:W737),$U$3:$V$992,2,0),"")</f>
        <v>Činnosti související se zpracováním dat a hostingem</v>
      </c>
      <c r="X737">
        <f>IF(ISNUMBER(SEARCH('1Př1'!$A$37,N737)),MAX($M$2:M736)+1,0)</f>
        <v>735</v>
      </c>
      <c r="Y737" s="419" t="s">
        <v>3009</v>
      </c>
      <c r="Z737" t="str">
        <f>IFERROR(VLOOKUP(ROWS($Z$3:Z737),$X$3:$Y$992,2,0),"")</f>
        <v>Činnosti související se zpracováním dat a hostingem</v>
      </c>
    </row>
    <row r="738" spans="13:26" ht="12.75">
      <c r="M738" s="418">
        <f>IF(ISNUMBER(SEARCH(ZAKL_DATA!$B$29,N738)),MAX($M$2:M737)+1,0)</f>
        <v>736</v>
      </c>
      <c r="N738" s="419" t="s">
        <v>3011</v>
      </c>
      <c r="O738" s="436" t="s">
        <v>3012</v>
      </c>
      <c r="P738" s="421"/>
      <c r="Q738" s="422" t="str">
        <f>IFERROR(VLOOKUP(ROWS($Q$3:Q738),$M$3:$N$992,2,0),"")</f>
        <v>Činnosti související s webovými portály</v>
      </c>
      <c r="R738">
        <f>IF(ISNUMBER(SEARCH('1Př1'!$A$35,N738)),MAX($M$2:M737)+1,0)</f>
        <v>736</v>
      </c>
      <c r="S738" s="419" t="s">
        <v>3011</v>
      </c>
      <c r="T738" t="str">
        <f>IFERROR(VLOOKUP(ROWS($T$3:T738),$R$3:$S$992,2,0),"")</f>
        <v>Činnosti související s webovými portály</v>
      </c>
      <c r="U738">
        <f>IF(ISNUMBER(SEARCH('1Př1'!$A$36,N738)),MAX($M$2:M737)+1,0)</f>
        <v>736</v>
      </c>
      <c r="V738" s="419" t="s">
        <v>3011</v>
      </c>
      <c r="W738" t="str">
        <f>IFERROR(VLOOKUP(ROWS($W$3:W738),$U$3:$V$992,2,0),"")</f>
        <v>Činnosti související s webovými portály</v>
      </c>
      <c r="X738">
        <f>IF(ISNUMBER(SEARCH('1Př1'!$A$37,N738)),MAX($M$2:M737)+1,0)</f>
        <v>736</v>
      </c>
      <c r="Y738" s="419" t="s">
        <v>3011</v>
      </c>
      <c r="Z738" t="str">
        <f>IFERROR(VLOOKUP(ROWS($Z$3:Z738),$X$3:$Y$992,2,0),"")</f>
        <v>Činnosti související s webovými portály</v>
      </c>
    </row>
    <row r="739" spans="13:26" ht="12.75">
      <c r="M739" s="418">
        <f>IF(ISNUMBER(SEARCH(ZAKL_DATA!$B$29,N739)),MAX($M$2:M738)+1,0)</f>
        <v>737</v>
      </c>
      <c r="N739" s="419" t="s">
        <v>3013</v>
      </c>
      <c r="O739" s="436" t="s">
        <v>3014</v>
      </c>
      <c r="P739" s="421"/>
      <c r="Q739" s="422" t="str">
        <f>IFERROR(VLOOKUP(ROWS($Q$3:Q739),$M$3:$N$992,2,0),"")</f>
        <v>Činnosti zpravodajských tiskových kanceláří a agentur</v>
      </c>
      <c r="R739">
        <f>IF(ISNUMBER(SEARCH('1Př1'!$A$35,N739)),MAX($M$2:M738)+1,0)</f>
        <v>737</v>
      </c>
      <c r="S739" s="419" t="s">
        <v>3013</v>
      </c>
      <c r="T739" t="str">
        <f>IFERROR(VLOOKUP(ROWS($T$3:T739),$R$3:$S$992,2,0),"")</f>
        <v>Činnosti zpravodajských tiskových kanceláří a agentur</v>
      </c>
      <c r="U739">
        <f>IF(ISNUMBER(SEARCH('1Př1'!$A$36,N739)),MAX($M$2:M738)+1,0)</f>
        <v>737</v>
      </c>
      <c r="V739" s="419" t="s">
        <v>3013</v>
      </c>
      <c r="W739" t="str">
        <f>IFERROR(VLOOKUP(ROWS($W$3:W739),$U$3:$V$992,2,0),"")</f>
        <v>Činnosti zpravodajských tiskových kanceláří a agentur</v>
      </c>
      <c r="X739">
        <f>IF(ISNUMBER(SEARCH('1Př1'!$A$37,N739)),MAX($M$2:M738)+1,0)</f>
        <v>737</v>
      </c>
      <c r="Y739" s="419" t="s">
        <v>3013</v>
      </c>
      <c r="Z739" t="str">
        <f>IFERROR(VLOOKUP(ROWS($Z$3:Z739),$X$3:$Y$992,2,0),"")</f>
        <v>Činnosti zpravodajských tiskových kanceláří a agentur</v>
      </c>
    </row>
    <row r="740" spans="13:26" ht="12.75">
      <c r="M740" s="418">
        <f>IF(ISNUMBER(SEARCH(ZAKL_DATA!$B$29,N740)),MAX($M$2:M739)+1,0)</f>
        <v>738</v>
      </c>
      <c r="N740" s="419" t="s">
        <v>3015</v>
      </c>
      <c r="O740" s="436" t="s">
        <v>3016</v>
      </c>
      <c r="P740" s="421"/>
      <c r="Q740" s="422" t="str">
        <f>IFERROR(VLOOKUP(ROWS($Q$3:Q740),$M$3:$N$992,2,0),"")</f>
        <v>Ostatní informační činnosti j. n.</v>
      </c>
      <c r="R740">
        <f>IF(ISNUMBER(SEARCH('1Př1'!$A$35,N740)),MAX($M$2:M739)+1,0)</f>
        <v>738</v>
      </c>
      <c r="S740" s="419" t="s">
        <v>3015</v>
      </c>
      <c r="T740" t="str">
        <f>IFERROR(VLOOKUP(ROWS($T$3:T740),$R$3:$S$992,2,0),"")</f>
        <v>Ostatní informační činnosti j. n.</v>
      </c>
      <c r="U740">
        <f>IF(ISNUMBER(SEARCH('1Př1'!$A$36,N740)),MAX($M$2:M739)+1,0)</f>
        <v>738</v>
      </c>
      <c r="V740" s="419" t="s">
        <v>3015</v>
      </c>
      <c r="W740" t="str">
        <f>IFERROR(VLOOKUP(ROWS($W$3:W740),$U$3:$V$992,2,0),"")</f>
        <v>Ostatní informační činnosti j. n.</v>
      </c>
      <c r="X740">
        <f>IF(ISNUMBER(SEARCH('1Př1'!$A$37,N740)),MAX($M$2:M739)+1,0)</f>
        <v>738</v>
      </c>
      <c r="Y740" s="419" t="s">
        <v>3015</v>
      </c>
      <c r="Z740" t="str">
        <f>IFERROR(VLOOKUP(ROWS($Z$3:Z740),$X$3:$Y$992,2,0),"")</f>
        <v>Ostatní informační činnosti j. n.</v>
      </c>
    </row>
    <row r="741" spans="13:26" ht="12.75">
      <c r="M741" s="418">
        <f>IF(ISNUMBER(SEARCH(ZAKL_DATA!$B$29,N741)),MAX($M$2:M740)+1,0)</f>
        <v>739</v>
      </c>
      <c r="N741" s="419" t="s">
        <v>3017</v>
      </c>
      <c r="O741" s="436" t="s">
        <v>3018</v>
      </c>
      <c r="P741" s="421"/>
      <c r="Q741" s="422" t="str">
        <f>IFERROR(VLOOKUP(ROWS($Q$3:Q741),$M$3:$N$992,2,0),"")</f>
        <v>Centrální bankovnictví</v>
      </c>
      <c r="R741">
        <f>IF(ISNUMBER(SEARCH('1Př1'!$A$35,N741)),MAX($M$2:M740)+1,0)</f>
        <v>739</v>
      </c>
      <c r="S741" s="419" t="s">
        <v>3017</v>
      </c>
      <c r="T741" t="str">
        <f>IFERROR(VLOOKUP(ROWS($T$3:T741),$R$3:$S$992,2,0),"")</f>
        <v>Centrální bankovnictví</v>
      </c>
      <c r="U741">
        <f>IF(ISNUMBER(SEARCH('1Př1'!$A$36,N741)),MAX($M$2:M740)+1,0)</f>
        <v>739</v>
      </c>
      <c r="V741" s="419" t="s">
        <v>3017</v>
      </c>
      <c r="W741" t="str">
        <f>IFERROR(VLOOKUP(ROWS($W$3:W741),$U$3:$V$992,2,0),"")</f>
        <v>Centrální bankovnictví</v>
      </c>
      <c r="X741">
        <f>IF(ISNUMBER(SEARCH('1Př1'!$A$37,N741)),MAX($M$2:M740)+1,0)</f>
        <v>739</v>
      </c>
      <c r="Y741" s="419" t="s">
        <v>3017</v>
      </c>
      <c r="Z741" t="str">
        <f>IFERROR(VLOOKUP(ROWS($Z$3:Z741),$X$3:$Y$992,2,0),"")</f>
        <v>Centrální bankovnictví</v>
      </c>
    </row>
    <row r="742" spans="13:26" ht="12.75">
      <c r="M742" s="418">
        <f>IF(ISNUMBER(SEARCH(ZAKL_DATA!$B$29,N742)),MAX($M$2:M741)+1,0)</f>
        <v>740</v>
      </c>
      <c r="N742" s="419" t="s">
        <v>3019</v>
      </c>
      <c r="O742" s="436" t="s">
        <v>3020</v>
      </c>
      <c r="P742" s="421"/>
      <c r="Q742" s="422" t="str">
        <f>IFERROR(VLOOKUP(ROWS($Q$3:Q742),$M$3:$N$992,2,0),"")</f>
        <v>Ostatní peněžní zprostředkování</v>
      </c>
      <c r="R742">
        <f>IF(ISNUMBER(SEARCH('1Př1'!$A$35,N742)),MAX($M$2:M741)+1,0)</f>
        <v>740</v>
      </c>
      <c r="S742" s="419" t="s">
        <v>3019</v>
      </c>
      <c r="T742" t="str">
        <f>IFERROR(VLOOKUP(ROWS($T$3:T742),$R$3:$S$992,2,0),"")</f>
        <v>Ostatní peněžní zprostředkování</v>
      </c>
      <c r="U742">
        <f>IF(ISNUMBER(SEARCH('1Př1'!$A$36,N742)),MAX($M$2:M741)+1,0)</f>
        <v>740</v>
      </c>
      <c r="V742" s="419" t="s">
        <v>3019</v>
      </c>
      <c r="W742" t="str">
        <f>IFERROR(VLOOKUP(ROWS($W$3:W742),$U$3:$V$992,2,0),"")</f>
        <v>Ostatní peněžní zprostředkování</v>
      </c>
      <c r="X742">
        <f>IF(ISNUMBER(SEARCH('1Př1'!$A$37,N742)),MAX($M$2:M741)+1,0)</f>
        <v>740</v>
      </c>
      <c r="Y742" s="419" t="s">
        <v>3019</v>
      </c>
      <c r="Z742" t="str">
        <f>IFERROR(VLOOKUP(ROWS($Z$3:Z742),$X$3:$Y$992,2,0),"")</f>
        <v>Ostatní peněžní zprostředkování</v>
      </c>
    </row>
    <row r="743" spans="13:26" ht="12.75">
      <c r="M743" s="418">
        <f>IF(ISNUMBER(SEARCH(ZAKL_DATA!$B$29,N743)),MAX($M$2:M742)+1,0)</f>
        <v>741</v>
      </c>
      <c r="N743" s="419" t="s">
        <v>3021</v>
      </c>
      <c r="O743" s="436" t="s">
        <v>3022</v>
      </c>
      <c r="P743" s="421"/>
      <c r="Q743" s="422" t="str">
        <f>IFERROR(VLOOKUP(ROWS($Q$3:Q743),$M$3:$N$992,2,0),"")</f>
        <v>Finanční leasing</v>
      </c>
      <c r="R743">
        <f>IF(ISNUMBER(SEARCH('1Př1'!$A$35,N743)),MAX($M$2:M742)+1,0)</f>
        <v>741</v>
      </c>
      <c r="S743" s="419" t="s">
        <v>3021</v>
      </c>
      <c r="T743" t="str">
        <f>IFERROR(VLOOKUP(ROWS($T$3:T743),$R$3:$S$992,2,0),"")</f>
        <v>Finanční leasing</v>
      </c>
      <c r="U743">
        <f>IF(ISNUMBER(SEARCH('1Př1'!$A$36,N743)),MAX($M$2:M742)+1,0)</f>
        <v>741</v>
      </c>
      <c r="V743" s="419" t="s">
        <v>3021</v>
      </c>
      <c r="W743" t="str">
        <f>IFERROR(VLOOKUP(ROWS($W$3:W743),$U$3:$V$992,2,0),"")</f>
        <v>Finanční leasing</v>
      </c>
      <c r="X743">
        <f>IF(ISNUMBER(SEARCH('1Př1'!$A$37,N743)),MAX($M$2:M742)+1,0)</f>
        <v>741</v>
      </c>
      <c r="Y743" s="419" t="s">
        <v>3021</v>
      </c>
      <c r="Z743" t="str">
        <f>IFERROR(VLOOKUP(ROWS($Z$3:Z743),$X$3:$Y$992,2,0),"")</f>
        <v>Finanční leasing</v>
      </c>
    </row>
    <row r="744" spans="13:26" ht="12.75">
      <c r="M744" s="418">
        <f>IF(ISNUMBER(SEARCH(ZAKL_DATA!$B$29,N744)),MAX($M$2:M743)+1,0)</f>
        <v>742</v>
      </c>
      <c r="N744" s="419" t="s">
        <v>3023</v>
      </c>
      <c r="O744" s="436" t="s">
        <v>3024</v>
      </c>
      <c r="P744" s="421"/>
      <c r="Q744" s="422" t="str">
        <f>IFERROR(VLOOKUP(ROWS($Q$3:Q744),$M$3:$N$992,2,0),"")</f>
        <v>Ostatní poskytování úvěrů</v>
      </c>
      <c r="R744">
        <f>IF(ISNUMBER(SEARCH('1Př1'!$A$35,N744)),MAX($M$2:M743)+1,0)</f>
        <v>742</v>
      </c>
      <c r="S744" s="419" t="s">
        <v>3023</v>
      </c>
      <c r="T744" t="str">
        <f>IFERROR(VLOOKUP(ROWS($T$3:T744),$R$3:$S$992,2,0),"")</f>
        <v>Ostatní poskytování úvěrů</v>
      </c>
      <c r="U744">
        <f>IF(ISNUMBER(SEARCH('1Př1'!$A$36,N744)),MAX($M$2:M743)+1,0)</f>
        <v>742</v>
      </c>
      <c r="V744" s="419" t="s">
        <v>3023</v>
      </c>
      <c r="W744" t="str">
        <f>IFERROR(VLOOKUP(ROWS($W$3:W744),$U$3:$V$992,2,0),"")</f>
        <v>Ostatní poskytování úvěrů</v>
      </c>
      <c r="X744">
        <f>IF(ISNUMBER(SEARCH('1Př1'!$A$37,N744)),MAX($M$2:M743)+1,0)</f>
        <v>742</v>
      </c>
      <c r="Y744" s="419" t="s">
        <v>3023</v>
      </c>
      <c r="Z744" t="str">
        <f>IFERROR(VLOOKUP(ROWS($Z$3:Z744),$X$3:$Y$992,2,0),"")</f>
        <v>Ostatní poskytování úvěrů</v>
      </c>
    </row>
    <row r="745" spans="13:26" ht="12.75">
      <c r="M745" s="418">
        <f>IF(ISNUMBER(SEARCH(ZAKL_DATA!$B$29,N745)),MAX($M$2:M744)+1,0)</f>
        <v>743</v>
      </c>
      <c r="N745" s="419" t="s">
        <v>3025</v>
      </c>
      <c r="O745" s="436" t="s">
        <v>3026</v>
      </c>
      <c r="P745" s="421"/>
      <c r="Q745" s="422" t="str">
        <f>IFERROR(VLOOKUP(ROWS($Q$3:Q745),$M$3:$N$992,2,0),"")</f>
        <v>Ostatní finanční zprostředkování j. n.</v>
      </c>
      <c r="R745">
        <f>IF(ISNUMBER(SEARCH('1Př1'!$A$35,N745)),MAX($M$2:M744)+1,0)</f>
        <v>743</v>
      </c>
      <c r="S745" s="419" t="s">
        <v>3025</v>
      </c>
      <c r="T745" t="str">
        <f>IFERROR(VLOOKUP(ROWS($T$3:T745),$R$3:$S$992,2,0),"")</f>
        <v>Ostatní finanční zprostředkování j. n.</v>
      </c>
      <c r="U745">
        <f>IF(ISNUMBER(SEARCH('1Př1'!$A$36,N745)),MAX($M$2:M744)+1,0)</f>
        <v>743</v>
      </c>
      <c r="V745" s="419" t="s">
        <v>3025</v>
      </c>
      <c r="W745" t="str">
        <f>IFERROR(VLOOKUP(ROWS($W$3:W745),$U$3:$V$992,2,0),"")</f>
        <v>Ostatní finanční zprostředkování j. n.</v>
      </c>
      <c r="X745">
        <f>IF(ISNUMBER(SEARCH('1Př1'!$A$37,N745)),MAX($M$2:M744)+1,0)</f>
        <v>743</v>
      </c>
      <c r="Y745" s="419" t="s">
        <v>3025</v>
      </c>
      <c r="Z745" t="str">
        <f>IFERROR(VLOOKUP(ROWS($Z$3:Z745),$X$3:$Y$992,2,0),"")</f>
        <v>Ostatní finanční zprostředkování j. n.</v>
      </c>
    </row>
    <row r="746" spans="13:26" ht="12.75">
      <c r="M746" s="418">
        <f>IF(ISNUMBER(SEARCH(ZAKL_DATA!$B$29,N746)),MAX($M$2:M745)+1,0)</f>
        <v>744</v>
      </c>
      <c r="N746" s="419" t="s">
        <v>3027</v>
      </c>
      <c r="O746" s="436" t="s">
        <v>3028</v>
      </c>
      <c r="P746" s="421"/>
      <c r="Q746" s="422" t="str">
        <f>IFERROR(VLOOKUP(ROWS($Q$3:Q746),$M$3:$N$992,2,0),"")</f>
        <v>životní pojištění</v>
      </c>
      <c r="R746">
        <f>IF(ISNUMBER(SEARCH('1Př1'!$A$35,N746)),MAX($M$2:M745)+1,0)</f>
        <v>744</v>
      </c>
      <c r="S746" s="419" t="s">
        <v>3027</v>
      </c>
      <c r="T746" t="str">
        <f>IFERROR(VLOOKUP(ROWS($T$3:T746),$R$3:$S$992,2,0),"")</f>
        <v>životní pojištění</v>
      </c>
      <c r="U746">
        <f>IF(ISNUMBER(SEARCH('1Př1'!$A$36,N746)),MAX($M$2:M745)+1,0)</f>
        <v>744</v>
      </c>
      <c r="V746" s="419" t="s">
        <v>3027</v>
      </c>
      <c r="W746" t="str">
        <f>IFERROR(VLOOKUP(ROWS($W$3:W746),$U$3:$V$992,2,0),"")</f>
        <v>životní pojištění</v>
      </c>
      <c r="X746">
        <f>IF(ISNUMBER(SEARCH('1Př1'!$A$37,N746)),MAX($M$2:M745)+1,0)</f>
        <v>744</v>
      </c>
      <c r="Y746" s="419" t="s">
        <v>3027</v>
      </c>
      <c r="Z746" t="str">
        <f>IFERROR(VLOOKUP(ROWS($Z$3:Z746),$X$3:$Y$992,2,0),"")</f>
        <v>životní pojištění</v>
      </c>
    </row>
    <row r="747" spans="13:26" ht="12.75">
      <c r="M747" s="418">
        <f>IF(ISNUMBER(SEARCH(ZAKL_DATA!$B$29,N747)),MAX($M$2:M746)+1,0)</f>
        <v>745</v>
      </c>
      <c r="N747" s="419" t="s">
        <v>3029</v>
      </c>
      <c r="O747" s="436" t="s">
        <v>3030</v>
      </c>
      <c r="P747" s="421"/>
      <c r="Q747" s="422" t="str">
        <f>IFERROR(VLOOKUP(ROWS($Q$3:Q747),$M$3:$N$992,2,0),"")</f>
        <v>Neživotní pojištění</v>
      </c>
      <c r="R747">
        <f>IF(ISNUMBER(SEARCH('1Př1'!$A$35,N747)),MAX($M$2:M746)+1,0)</f>
        <v>745</v>
      </c>
      <c r="S747" s="419" t="s">
        <v>3029</v>
      </c>
      <c r="T747" t="str">
        <f>IFERROR(VLOOKUP(ROWS($T$3:T747),$R$3:$S$992,2,0),"")</f>
        <v>Neživotní pojištění</v>
      </c>
      <c r="U747">
        <f>IF(ISNUMBER(SEARCH('1Př1'!$A$36,N747)),MAX($M$2:M746)+1,0)</f>
        <v>745</v>
      </c>
      <c r="V747" s="419" t="s">
        <v>3029</v>
      </c>
      <c r="W747" t="str">
        <f>IFERROR(VLOOKUP(ROWS($W$3:W747),$U$3:$V$992,2,0),"")</f>
        <v>Neživotní pojištění</v>
      </c>
      <c r="X747">
        <f>IF(ISNUMBER(SEARCH('1Př1'!$A$37,N747)),MAX($M$2:M746)+1,0)</f>
        <v>745</v>
      </c>
      <c r="Y747" s="419" t="s">
        <v>3029</v>
      </c>
      <c r="Z747" t="str">
        <f>IFERROR(VLOOKUP(ROWS($Z$3:Z747),$X$3:$Y$992,2,0),"")</f>
        <v>Neživotní pojištění</v>
      </c>
    </row>
    <row r="748" spans="13:26" ht="12.75">
      <c r="M748" s="418">
        <f>IF(ISNUMBER(SEARCH(ZAKL_DATA!$B$29,N748)),MAX($M$2:M747)+1,0)</f>
        <v>746</v>
      </c>
      <c r="N748" s="419" t="s">
        <v>3031</v>
      </c>
      <c r="O748" s="436" t="s">
        <v>3032</v>
      </c>
      <c r="P748" s="421"/>
      <c r="Q748" s="422" t="str">
        <f>IFERROR(VLOOKUP(ROWS($Q$3:Q748),$M$3:$N$992,2,0),"")</f>
        <v>Řízení a správa finančních trhů</v>
      </c>
      <c r="R748">
        <f>IF(ISNUMBER(SEARCH('1Př1'!$A$35,N748)),MAX($M$2:M747)+1,0)</f>
        <v>746</v>
      </c>
      <c r="S748" s="419" t="s">
        <v>3031</v>
      </c>
      <c r="T748" t="str">
        <f>IFERROR(VLOOKUP(ROWS($T$3:T748),$R$3:$S$992,2,0),"")</f>
        <v>Řízení a správa finančních trhů</v>
      </c>
      <c r="U748">
        <f>IF(ISNUMBER(SEARCH('1Př1'!$A$36,N748)),MAX($M$2:M747)+1,0)</f>
        <v>746</v>
      </c>
      <c r="V748" s="419" t="s">
        <v>3031</v>
      </c>
      <c r="W748" t="str">
        <f>IFERROR(VLOOKUP(ROWS($W$3:W748),$U$3:$V$992,2,0),"")</f>
        <v>Řízení a správa finančních trhů</v>
      </c>
      <c r="X748">
        <f>IF(ISNUMBER(SEARCH('1Př1'!$A$37,N748)),MAX($M$2:M747)+1,0)</f>
        <v>746</v>
      </c>
      <c r="Y748" s="419" t="s">
        <v>3031</v>
      </c>
      <c r="Z748" t="str">
        <f>IFERROR(VLOOKUP(ROWS($Z$3:Z748),$X$3:$Y$992,2,0),"")</f>
        <v>Řízení a správa finančních trhů</v>
      </c>
    </row>
    <row r="749" spans="13:26" ht="12.75">
      <c r="M749" s="418">
        <f>IF(ISNUMBER(SEARCH(ZAKL_DATA!$B$29,N749)),MAX($M$2:M748)+1,0)</f>
        <v>747</v>
      </c>
      <c r="N749" s="419" t="s">
        <v>3033</v>
      </c>
      <c r="O749" s="436" t="s">
        <v>3034</v>
      </c>
      <c r="P749" s="421"/>
      <c r="Q749" s="422" t="str">
        <f>IFERROR(VLOOKUP(ROWS($Q$3:Q749),$M$3:$N$992,2,0),"")</f>
        <v>Obchodování s cennými papíry a komoditami na burzách</v>
      </c>
      <c r="R749">
        <f>IF(ISNUMBER(SEARCH('1Př1'!$A$35,N749)),MAX($M$2:M748)+1,0)</f>
        <v>747</v>
      </c>
      <c r="S749" s="419" t="s">
        <v>3033</v>
      </c>
      <c r="T749" t="str">
        <f>IFERROR(VLOOKUP(ROWS($T$3:T749),$R$3:$S$992,2,0),"")</f>
        <v>Obchodování s cennými papíry a komoditami na burzách</v>
      </c>
      <c r="U749">
        <f>IF(ISNUMBER(SEARCH('1Př1'!$A$36,N749)),MAX($M$2:M748)+1,0)</f>
        <v>747</v>
      </c>
      <c r="V749" s="419" t="s">
        <v>3033</v>
      </c>
      <c r="W749" t="str">
        <f>IFERROR(VLOOKUP(ROWS($W$3:W749),$U$3:$V$992,2,0),"")</f>
        <v>Obchodování s cennými papíry a komoditami na burzách</v>
      </c>
      <c r="X749">
        <f>IF(ISNUMBER(SEARCH('1Př1'!$A$37,N749)),MAX($M$2:M748)+1,0)</f>
        <v>747</v>
      </c>
      <c r="Y749" s="419" t="s">
        <v>3033</v>
      </c>
      <c r="Z749" t="str">
        <f>IFERROR(VLOOKUP(ROWS($Z$3:Z749),$X$3:$Y$992,2,0),"")</f>
        <v>Obchodování s cennými papíry a komoditami na burzách</v>
      </c>
    </row>
    <row r="750" spans="13:26" ht="12.75">
      <c r="M750" s="418">
        <f>IF(ISNUMBER(SEARCH(ZAKL_DATA!$B$29,N750)),MAX($M$2:M749)+1,0)</f>
        <v>748</v>
      </c>
      <c r="N750" s="419" t="s">
        <v>3035</v>
      </c>
      <c r="O750" s="436" t="s">
        <v>3036</v>
      </c>
      <c r="P750" s="421"/>
      <c r="Q750" s="422" t="str">
        <f>IFERROR(VLOOKUP(ROWS($Q$3:Q750),$M$3:$N$992,2,0),"")</f>
        <v>Ostatní pomocné činnosti související s finančním zprostředkováním</v>
      </c>
      <c r="R750">
        <f>IF(ISNUMBER(SEARCH('1Př1'!$A$35,N750)),MAX($M$2:M749)+1,0)</f>
        <v>748</v>
      </c>
      <c r="S750" s="419" t="s">
        <v>3035</v>
      </c>
      <c r="T750" t="str">
        <f>IFERROR(VLOOKUP(ROWS($T$3:T750),$R$3:$S$992,2,0),"")</f>
        <v>Ostatní pomocné činnosti související s finančním zprostředkováním</v>
      </c>
      <c r="U750">
        <f>IF(ISNUMBER(SEARCH('1Př1'!$A$36,N750)),MAX($M$2:M749)+1,0)</f>
        <v>748</v>
      </c>
      <c r="V750" s="419" t="s">
        <v>3035</v>
      </c>
      <c r="W750" t="str">
        <f>IFERROR(VLOOKUP(ROWS($W$3:W750),$U$3:$V$992,2,0),"")</f>
        <v>Ostatní pomocné činnosti související s finančním zprostředkováním</v>
      </c>
      <c r="X750">
        <f>IF(ISNUMBER(SEARCH('1Př1'!$A$37,N750)),MAX($M$2:M749)+1,0)</f>
        <v>748</v>
      </c>
      <c r="Y750" s="419" t="s">
        <v>3035</v>
      </c>
      <c r="Z750" t="str">
        <f>IFERROR(VLOOKUP(ROWS($Z$3:Z750),$X$3:$Y$992,2,0),"")</f>
        <v>Ostatní pomocné činnosti související s finančním zprostředkováním</v>
      </c>
    </row>
    <row r="751" spans="13:26" ht="12.75">
      <c r="M751" s="418">
        <f>IF(ISNUMBER(SEARCH(ZAKL_DATA!$B$29,N751)),MAX($M$2:M750)+1,0)</f>
        <v>749</v>
      </c>
      <c r="N751" s="419" t="s">
        <v>3037</v>
      </c>
      <c r="O751" s="436" t="s">
        <v>3038</v>
      </c>
      <c r="P751" s="421"/>
      <c r="Q751" s="422" t="str">
        <f>IFERROR(VLOOKUP(ROWS($Q$3:Q751),$M$3:$N$992,2,0),"")</f>
        <v>Vyhodnocování rizik a škod</v>
      </c>
      <c r="R751">
        <f>IF(ISNUMBER(SEARCH('1Př1'!$A$35,N751)),MAX($M$2:M750)+1,0)</f>
        <v>749</v>
      </c>
      <c r="S751" s="419" t="s">
        <v>3037</v>
      </c>
      <c r="T751" t="str">
        <f>IFERROR(VLOOKUP(ROWS($T$3:T751),$R$3:$S$992,2,0),"")</f>
        <v>Vyhodnocování rizik a škod</v>
      </c>
      <c r="U751">
        <f>IF(ISNUMBER(SEARCH('1Př1'!$A$36,N751)),MAX($M$2:M750)+1,0)</f>
        <v>749</v>
      </c>
      <c r="V751" s="419" t="s">
        <v>3037</v>
      </c>
      <c r="W751" t="str">
        <f>IFERROR(VLOOKUP(ROWS($W$3:W751),$U$3:$V$992,2,0),"")</f>
        <v>Vyhodnocování rizik a škod</v>
      </c>
      <c r="X751">
        <f>IF(ISNUMBER(SEARCH('1Př1'!$A$37,N751)),MAX($M$2:M750)+1,0)</f>
        <v>749</v>
      </c>
      <c r="Y751" s="419" t="s">
        <v>3037</v>
      </c>
      <c r="Z751" t="str">
        <f>IFERROR(VLOOKUP(ROWS($Z$3:Z751),$X$3:$Y$992,2,0),"")</f>
        <v>Vyhodnocování rizik a škod</v>
      </c>
    </row>
    <row r="752" spans="13:26" ht="12.75">
      <c r="M752" s="418">
        <f>IF(ISNUMBER(SEARCH(ZAKL_DATA!$B$29,N752)),MAX($M$2:M751)+1,0)</f>
        <v>750</v>
      </c>
      <c r="N752" s="419" t="s">
        <v>3039</v>
      </c>
      <c r="O752" s="436" t="s">
        <v>3040</v>
      </c>
      <c r="P752" s="421"/>
      <c r="Q752" s="422" t="str">
        <f>IFERROR(VLOOKUP(ROWS($Q$3:Q752),$M$3:$N$992,2,0),"")</f>
        <v>Činnosti zástupců pojišťovny a makléřů</v>
      </c>
      <c r="R752">
        <f>IF(ISNUMBER(SEARCH('1Př1'!$A$35,N752)),MAX($M$2:M751)+1,0)</f>
        <v>750</v>
      </c>
      <c r="S752" s="419" t="s">
        <v>3039</v>
      </c>
      <c r="T752" t="str">
        <f>IFERROR(VLOOKUP(ROWS($T$3:T752),$R$3:$S$992,2,0),"")</f>
        <v>Činnosti zástupců pojišťovny a makléřů</v>
      </c>
      <c r="U752">
        <f>IF(ISNUMBER(SEARCH('1Př1'!$A$36,N752)),MAX($M$2:M751)+1,0)</f>
        <v>750</v>
      </c>
      <c r="V752" s="419" t="s">
        <v>3039</v>
      </c>
      <c r="W752" t="str">
        <f>IFERROR(VLOOKUP(ROWS($W$3:W752),$U$3:$V$992,2,0),"")</f>
        <v>Činnosti zástupců pojišťovny a makléřů</v>
      </c>
      <c r="X752">
        <f>IF(ISNUMBER(SEARCH('1Př1'!$A$37,N752)),MAX($M$2:M751)+1,0)</f>
        <v>750</v>
      </c>
      <c r="Y752" s="419" t="s">
        <v>3039</v>
      </c>
      <c r="Z752" t="str">
        <f>IFERROR(VLOOKUP(ROWS($Z$3:Z752),$X$3:$Y$992,2,0),"")</f>
        <v>Činnosti zástupců pojišťovny a makléřů</v>
      </c>
    </row>
    <row r="753" spans="13:26" ht="12.75">
      <c r="M753" s="418">
        <f>IF(ISNUMBER(SEARCH(ZAKL_DATA!$B$29,N753)),MAX($M$2:M752)+1,0)</f>
        <v>751</v>
      </c>
      <c r="N753" s="419" t="s">
        <v>3041</v>
      </c>
      <c r="O753" s="436" t="s">
        <v>3042</v>
      </c>
      <c r="P753" s="421"/>
      <c r="Q753" s="422" t="str">
        <f>IFERROR(VLOOKUP(ROWS($Q$3:Q753),$M$3:$N$992,2,0),"")</f>
        <v>Ostatní pomocné činnosti související s pojišťovnictvím a penz.fin.</v>
      </c>
      <c r="R753">
        <f>IF(ISNUMBER(SEARCH('1Př1'!$A$35,N753)),MAX($M$2:M752)+1,0)</f>
        <v>751</v>
      </c>
      <c r="S753" s="419" t="s">
        <v>3041</v>
      </c>
      <c r="T753" t="str">
        <f>IFERROR(VLOOKUP(ROWS($T$3:T753),$R$3:$S$992,2,0),"")</f>
        <v>Ostatní pomocné činnosti související s pojišťovnictvím a penz.fin.</v>
      </c>
      <c r="U753">
        <f>IF(ISNUMBER(SEARCH('1Př1'!$A$36,N753)),MAX($M$2:M752)+1,0)</f>
        <v>751</v>
      </c>
      <c r="V753" s="419" t="s">
        <v>3041</v>
      </c>
      <c r="W753" t="str">
        <f>IFERROR(VLOOKUP(ROWS($W$3:W753),$U$3:$V$992,2,0),"")</f>
        <v>Ostatní pomocné činnosti související s pojišťovnictvím a penz.fin.</v>
      </c>
      <c r="X753">
        <f>IF(ISNUMBER(SEARCH('1Př1'!$A$37,N753)),MAX($M$2:M752)+1,0)</f>
        <v>751</v>
      </c>
      <c r="Y753" s="419" t="s">
        <v>3041</v>
      </c>
      <c r="Z753" t="str">
        <f>IFERROR(VLOOKUP(ROWS($Z$3:Z753),$X$3:$Y$992,2,0),"")</f>
        <v>Ostatní pomocné činnosti související s pojišťovnictvím a penz.fin.</v>
      </c>
    </row>
    <row r="754" spans="13:26" ht="12.75">
      <c r="M754" s="418">
        <f>IF(ISNUMBER(SEARCH(ZAKL_DATA!$B$29,N754)),MAX($M$2:M753)+1,0)</f>
        <v>752</v>
      </c>
      <c r="N754" s="419" t="s">
        <v>3043</v>
      </c>
      <c r="O754" s="436" t="s">
        <v>3044</v>
      </c>
      <c r="P754" s="421"/>
      <c r="Q754" s="422" t="str">
        <f>IFERROR(VLOOKUP(ROWS($Q$3:Q754),$M$3:$N$992,2,0),"")</f>
        <v>Zprostředkovatelské činnosti realitních agentur</v>
      </c>
      <c r="R754">
        <f>IF(ISNUMBER(SEARCH('1Př1'!$A$35,N754)),MAX($M$2:M753)+1,0)</f>
        <v>752</v>
      </c>
      <c r="S754" s="419" t="s">
        <v>3043</v>
      </c>
      <c r="T754" t="str">
        <f>IFERROR(VLOOKUP(ROWS($T$3:T754),$R$3:$S$992,2,0),"")</f>
        <v>Zprostředkovatelské činnosti realitních agentur</v>
      </c>
      <c r="U754">
        <f>IF(ISNUMBER(SEARCH('1Př1'!$A$36,N754)),MAX($M$2:M753)+1,0)</f>
        <v>752</v>
      </c>
      <c r="V754" s="419" t="s">
        <v>3043</v>
      </c>
      <c r="W754" t="str">
        <f>IFERROR(VLOOKUP(ROWS($W$3:W754),$U$3:$V$992,2,0),"")</f>
        <v>Zprostředkovatelské činnosti realitních agentur</v>
      </c>
      <c r="X754">
        <f>IF(ISNUMBER(SEARCH('1Př1'!$A$37,N754)),MAX($M$2:M753)+1,0)</f>
        <v>752</v>
      </c>
      <c r="Y754" s="419" t="s">
        <v>3043</v>
      </c>
      <c r="Z754" t="str">
        <f>IFERROR(VLOOKUP(ROWS($Z$3:Z754),$X$3:$Y$992,2,0),"")</f>
        <v>Zprostředkovatelské činnosti realitních agentur</v>
      </c>
    </row>
    <row r="755" spans="13:26" ht="12.75">
      <c r="M755" s="418">
        <f>IF(ISNUMBER(SEARCH(ZAKL_DATA!$B$29,N755)),MAX($M$2:M754)+1,0)</f>
        <v>753</v>
      </c>
      <c r="N755" s="419" t="s">
        <v>3045</v>
      </c>
      <c r="O755" s="436" t="s">
        <v>3046</v>
      </c>
      <c r="P755" s="421"/>
      <c r="Q755" s="422" t="str">
        <f>IFERROR(VLOOKUP(ROWS($Q$3:Q755),$M$3:$N$992,2,0),"")</f>
        <v>Správa nemovitostí na základě smlouvy</v>
      </c>
      <c r="R755">
        <f>IF(ISNUMBER(SEARCH('1Př1'!$A$35,N755)),MAX($M$2:M754)+1,0)</f>
        <v>753</v>
      </c>
      <c r="S755" s="419" t="s">
        <v>3045</v>
      </c>
      <c r="T755" t="str">
        <f>IFERROR(VLOOKUP(ROWS($T$3:T755),$R$3:$S$992,2,0),"")</f>
        <v>Správa nemovitostí na základě smlouvy</v>
      </c>
      <c r="U755">
        <f>IF(ISNUMBER(SEARCH('1Př1'!$A$36,N755)),MAX($M$2:M754)+1,0)</f>
        <v>753</v>
      </c>
      <c r="V755" s="419" t="s">
        <v>3045</v>
      </c>
      <c r="W755" t="str">
        <f>IFERROR(VLOOKUP(ROWS($W$3:W755),$U$3:$V$992,2,0),"")</f>
        <v>Správa nemovitostí na základě smlouvy</v>
      </c>
      <c r="X755">
        <f>IF(ISNUMBER(SEARCH('1Př1'!$A$37,N755)),MAX($M$2:M754)+1,0)</f>
        <v>753</v>
      </c>
      <c r="Y755" s="419" t="s">
        <v>3045</v>
      </c>
      <c r="Z755" t="str">
        <f>IFERROR(VLOOKUP(ROWS($Z$3:Z755),$X$3:$Y$992,2,0),"")</f>
        <v>Správa nemovitostí na základě smlouvy</v>
      </c>
    </row>
    <row r="756" spans="13:26" ht="12.75">
      <c r="M756" s="418">
        <f>IF(ISNUMBER(SEARCH(ZAKL_DATA!$B$29,N756)),MAX($M$2:M755)+1,0)</f>
        <v>754</v>
      </c>
      <c r="N756" s="419" t="s">
        <v>3047</v>
      </c>
      <c r="O756" s="436" t="s">
        <v>3048</v>
      </c>
      <c r="P756" s="421"/>
      <c r="Q756" s="422" t="str">
        <f>IFERROR(VLOOKUP(ROWS($Q$3:Q756),$M$3:$N$992,2,0),"")</f>
        <v>Poradenství v oblasti vztahů s veřejností a komunikace</v>
      </c>
      <c r="R756">
        <f>IF(ISNUMBER(SEARCH('1Př1'!$A$35,N756)),MAX($M$2:M755)+1,0)</f>
        <v>754</v>
      </c>
      <c r="S756" s="419" t="s">
        <v>3047</v>
      </c>
      <c r="T756" t="str">
        <f>IFERROR(VLOOKUP(ROWS($T$3:T756),$R$3:$S$992,2,0),"")</f>
        <v>Poradenství v oblasti vztahů s veřejností a komunikace</v>
      </c>
      <c r="U756">
        <f>IF(ISNUMBER(SEARCH('1Př1'!$A$36,N756)),MAX($M$2:M755)+1,0)</f>
        <v>754</v>
      </c>
      <c r="V756" s="419" t="s">
        <v>3047</v>
      </c>
      <c r="W756" t="str">
        <f>IFERROR(VLOOKUP(ROWS($W$3:W756),$U$3:$V$992,2,0),"")</f>
        <v>Poradenství v oblasti vztahů s veřejností a komunikace</v>
      </c>
      <c r="X756">
        <f>IF(ISNUMBER(SEARCH('1Př1'!$A$37,N756)),MAX($M$2:M755)+1,0)</f>
        <v>754</v>
      </c>
      <c r="Y756" s="419" t="s">
        <v>3047</v>
      </c>
      <c r="Z756" t="str">
        <f>IFERROR(VLOOKUP(ROWS($Z$3:Z756),$X$3:$Y$992,2,0),"")</f>
        <v>Poradenství v oblasti vztahů s veřejností a komunikace</v>
      </c>
    </row>
    <row r="757" spans="13:26" ht="12.75">
      <c r="M757" s="418">
        <f>IF(ISNUMBER(SEARCH(ZAKL_DATA!$B$29,N757)),MAX($M$2:M756)+1,0)</f>
        <v>755</v>
      </c>
      <c r="N757" s="419" t="s">
        <v>3049</v>
      </c>
      <c r="O757" s="436" t="s">
        <v>3050</v>
      </c>
      <c r="P757" s="421"/>
      <c r="Q757" s="422" t="str">
        <f>IFERROR(VLOOKUP(ROWS($Q$3:Q757),$M$3:$N$992,2,0),"")</f>
        <v>Ostatní poradenství v oblasti podnikání a řízení</v>
      </c>
      <c r="R757">
        <f>IF(ISNUMBER(SEARCH('1Př1'!$A$35,N757)),MAX($M$2:M756)+1,0)</f>
        <v>755</v>
      </c>
      <c r="S757" s="419" t="s">
        <v>3049</v>
      </c>
      <c r="T757" t="str">
        <f>IFERROR(VLOOKUP(ROWS($T$3:T757),$R$3:$S$992,2,0),"")</f>
        <v>Ostatní poradenství v oblasti podnikání a řízení</v>
      </c>
      <c r="U757">
        <f>IF(ISNUMBER(SEARCH('1Př1'!$A$36,N757)),MAX($M$2:M756)+1,0)</f>
        <v>755</v>
      </c>
      <c r="V757" s="419" t="s">
        <v>3049</v>
      </c>
      <c r="W757" t="str">
        <f>IFERROR(VLOOKUP(ROWS($W$3:W757),$U$3:$V$992,2,0),"")</f>
        <v>Ostatní poradenství v oblasti podnikání a řízení</v>
      </c>
      <c r="X757">
        <f>IF(ISNUMBER(SEARCH('1Př1'!$A$37,N757)),MAX($M$2:M756)+1,0)</f>
        <v>755</v>
      </c>
      <c r="Y757" s="419" t="s">
        <v>3049</v>
      </c>
      <c r="Z757" t="str">
        <f>IFERROR(VLOOKUP(ROWS($Z$3:Z757),$X$3:$Y$992,2,0),"")</f>
        <v>Ostatní poradenství v oblasti podnikání a řízení</v>
      </c>
    </row>
    <row r="758" spans="13:26" ht="12.75">
      <c r="M758" s="418">
        <f>IF(ISNUMBER(SEARCH(ZAKL_DATA!$B$29,N758)),MAX($M$2:M757)+1,0)</f>
        <v>756</v>
      </c>
      <c r="N758" s="419" t="s">
        <v>3051</v>
      </c>
      <c r="O758" s="436" t="s">
        <v>3052</v>
      </c>
      <c r="P758" s="421"/>
      <c r="Q758" s="422" t="str">
        <f>IFERROR(VLOOKUP(ROWS($Q$3:Q758),$M$3:$N$992,2,0),"")</f>
        <v>Těžba železných rud</v>
      </c>
      <c r="R758">
        <f>IF(ISNUMBER(SEARCH('1Př1'!$A$35,N758)),MAX($M$2:M757)+1,0)</f>
        <v>756</v>
      </c>
      <c r="S758" s="419" t="s">
        <v>3051</v>
      </c>
      <c r="T758" t="str">
        <f>IFERROR(VLOOKUP(ROWS($T$3:T758),$R$3:$S$992,2,0),"")</f>
        <v>Těžba železných rud</v>
      </c>
      <c r="U758">
        <f>IF(ISNUMBER(SEARCH('1Př1'!$A$36,N758)),MAX($M$2:M757)+1,0)</f>
        <v>756</v>
      </c>
      <c r="V758" s="419" t="s">
        <v>3051</v>
      </c>
      <c r="W758" t="str">
        <f>IFERROR(VLOOKUP(ROWS($W$3:W758),$U$3:$V$992,2,0),"")</f>
        <v>Těžba železných rud</v>
      </c>
      <c r="X758">
        <f>IF(ISNUMBER(SEARCH('1Př1'!$A$37,N758)),MAX($M$2:M757)+1,0)</f>
        <v>756</v>
      </c>
      <c r="Y758" s="419" t="s">
        <v>3051</v>
      </c>
      <c r="Z758" t="str">
        <f>IFERROR(VLOOKUP(ROWS($Z$3:Z758),$X$3:$Y$992,2,0),"")</f>
        <v>Těžba železných rud</v>
      </c>
    </row>
    <row r="759" spans="13:26" ht="12.75">
      <c r="M759" s="418">
        <f>IF(ISNUMBER(SEARCH(ZAKL_DATA!$B$29,N759)),MAX($M$2:M758)+1,0)</f>
        <v>757</v>
      </c>
      <c r="N759" s="419" t="s">
        <v>3053</v>
      </c>
      <c r="O759" s="436" t="s">
        <v>3054</v>
      </c>
      <c r="P759" s="421"/>
      <c r="Q759" s="422" t="str">
        <f>IFERROR(VLOOKUP(ROWS($Q$3:Q759),$M$3:$N$992,2,0),"")</f>
        <v>Úprava železných rud</v>
      </c>
      <c r="R759">
        <f>IF(ISNUMBER(SEARCH('1Př1'!$A$35,N759)),MAX($M$2:M758)+1,0)</f>
        <v>757</v>
      </c>
      <c r="S759" s="419" t="s">
        <v>3053</v>
      </c>
      <c r="T759" t="str">
        <f>IFERROR(VLOOKUP(ROWS($T$3:T759),$R$3:$S$992,2,0),"")</f>
        <v>Úprava železných rud</v>
      </c>
      <c r="U759">
        <f>IF(ISNUMBER(SEARCH('1Př1'!$A$36,N759)),MAX($M$2:M758)+1,0)</f>
        <v>757</v>
      </c>
      <c r="V759" s="419" t="s">
        <v>3053</v>
      </c>
      <c r="W759" t="str">
        <f>IFERROR(VLOOKUP(ROWS($W$3:W759),$U$3:$V$992,2,0),"")</f>
        <v>Úprava železných rud</v>
      </c>
      <c r="X759">
        <f>IF(ISNUMBER(SEARCH('1Př1'!$A$37,N759)),MAX($M$2:M758)+1,0)</f>
        <v>757</v>
      </c>
      <c r="Y759" s="419" t="s">
        <v>3053</v>
      </c>
      <c r="Z759" t="str">
        <f>IFERROR(VLOOKUP(ROWS($Z$3:Z759),$X$3:$Y$992,2,0),"")</f>
        <v>Úprava železných rud</v>
      </c>
    </row>
    <row r="760" spans="13:26" ht="12.75">
      <c r="M760" s="418">
        <f>IF(ISNUMBER(SEARCH(ZAKL_DATA!$B$29,N760)),MAX($M$2:M759)+1,0)</f>
        <v>758</v>
      </c>
      <c r="N760" s="419" t="s">
        <v>3055</v>
      </c>
      <c r="O760" s="436" t="s">
        <v>3056</v>
      </c>
      <c r="P760" s="421"/>
      <c r="Q760" s="422" t="str">
        <f>IFERROR(VLOOKUP(ROWS($Q$3:Q760),$M$3:$N$992,2,0),"")</f>
        <v>Architektonické činnosti</v>
      </c>
      <c r="R760">
        <f>IF(ISNUMBER(SEARCH('1Př1'!$A$35,N760)),MAX($M$2:M759)+1,0)</f>
        <v>758</v>
      </c>
      <c r="S760" s="419" t="s">
        <v>3055</v>
      </c>
      <c r="T760" t="str">
        <f>IFERROR(VLOOKUP(ROWS($T$3:T760),$R$3:$S$992,2,0),"")</f>
        <v>Architektonické činnosti</v>
      </c>
      <c r="U760">
        <f>IF(ISNUMBER(SEARCH('1Př1'!$A$36,N760)),MAX($M$2:M759)+1,0)</f>
        <v>758</v>
      </c>
      <c r="V760" s="419" t="s">
        <v>3055</v>
      </c>
      <c r="W760" t="str">
        <f>IFERROR(VLOOKUP(ROWS($W$3:W760),$U$3:$V$992,2,0),"")</f>
        <v>Architektonické činnosti</v>
      </c>
      <c r="X760">
        <f>IF(ISNUMBER(SEARCH('1Př1'!$A$37,N760)),MAX($M$2:M759)+1,0)</f>
        <v>758</v>
      </c>
      <c r="Y760" s="419" t="s">
        <v>3055</v>
      </c>
      <c r="Z760" t="str">
        <f>IFERROR(VLOOKUP(ROWS($Z$3:Z760),$X$3:$Y$992,2,0),"")</f>
        <v>Architektonické činnosti</v>
      </c>
    </row>
    <row r="761" spans="13:26" ht="12.75">
      <c r="M761" s="418">
        <f>IF(ISNUMBER(SEARCH(ZAKL_DATA!$B$29,N761)),MAX($M$2:M760)+1,0)</f>
        <v>759</v>
      </c>
      <c r="N761" s="419" t="s">
        <v>3057</v>
      </c>
      <c r="O761" s="436" t="s">
        <v>3058</v>
      </c>
      <c r="P761" s="421"/>
      <c r="Q761" s="422" t="str">
        <f>IFERROR(VLOOKUP(ROWS($Q$3:Q761),$M$3:$N$992,2,0),"")</f>
        <v>Inženýrské činnosti a související technické poradenství</v>
      </c>
      <c r="R761">
        <f>IF(ISNUMBER(SEARCH('1Př1'!$A$35,N761)),MAX($M$2:M760)+1,0)</f>
        <v>759</v>
      </c>
      <c r="S761" s="419" t="s">
        <v>3057</v>
      </c>
      <c r="T761" t="str">
        <f>IFERROR(VLOOKUP(ROWS($T$3:T761),$R$3:$S$992,2,0),"")</f>
        <v>Inženýrské činnosti a související technické poradenství</v>
      </c>
      <c r="U761">
        <f>IF(ISNUMBER(SEARCH('1Př1'!$A$36,N761)),MAX($M$2:M760)+1,0)</f>
        <v>759</v>
      </c>
      <c r="V761" s="419" t="s">
        <v>3057</v>
      </c>
      <c r="W761" t="str">
        <f>IFERROR(VLOOKUP(ROWS($W$3:W761),$U$3:$V$992,2,0),"")</f>
        <v>Inženýrské činnosti a související technické poradenství</v>
      </c>
      <c r="X761">
        <f>IF(ISNUMBER(SEARCH('1Př1'!$A$37,N761)),MAX($M$2:M760)+1,0)</f>
        <v>759</v>
      </c>
      <c r="Y761" s="419" t="s">
        <v>3057</v>
      </c>
      <c r="Z761" t="str">
        <f>IFERROR(VLOOKUP(ROWS($Z$3:Z761),$X$3:$Y$992,2,0),"")</f>
        <v>Inženýrské činnosti a související technické poradenství</v>
      </c>
    </row>
    <row r="762" spans="13:26" ht="12.75">
      <c r="M762" s="418">
        <f>IF(ISNUMBER(SEARCH(ZAKL_DATA!$B$29,N762)),MAX($M$2:M761)+1,0)</f>
        <v>760</v>
      </c>
      <c r="N762" s="419" t="s">
        <v>3059</v>
      </c>
      <c r="O762" s="436" t="s">
        <v>3060</v>
      </c>
      <c r="P762" s="421"/>
      <c r="Q762" s="422" t="str">
        <f>IFERROR(VLOOKUP(ROWS($Q$3:Q762),$M$3:$N$992,2,0),"")</f>
        <v>Výzkum a vývoj v oblasti biotechnologie</v>
      </c>
      <c r="R762">
        <f>IF(ISNUMBER(SEARCH('1Př1'!$A$35,N762)),MAX($M$2:M761)+1,0)</f>
        <v>760</v>
      </c>
      <c r="S762" s="419" t="s">
        <v>3059</v>
      </c>
      <c r="T762" t="str">
        <f>IFERROR(VLOOKUP(ROWS($T$3:T762),$R$3:$S$992,2,0),"")</f>
        <v>Výzkum a vývoj v oblasti biotechnologie</v>
      </c>
      <c r="U762">
        <f>IF(ISNUMBER(SEARCH('1Př1'!$A$36,N762)),MAX($M$2:M761)+1,0)</f>
        <v>760</v>
      </c>
      <c r="V762" s="419" t="s">
        <v>3059</v>
      </c>
      <c r="W762" t="str">
        <f>IFERROR(VLOOKUP(ROWS($W$3:W762),$U$3:$V$992,2,0),"")</f>
        <v>Výzkum a vývoj v oblasti biotechnologie</v>
      </c>
      <c r="X762">
        <f>IF(ISNUMBER(SEARCH('1Př1'!$A$37,N762)),MAX($M$2:M761)+1,0)</f>
        <v>760</v>
      </c>
      <c r="Y762" s="419" t="s">
        <v>3059</v>
      </c>
      <c r="Z762" t="str">
        <f>IFERROR(VLOOKUP(ROWS($Z$3:Z762),$X$3:$Y$992,2,0),"")</f>
        <v>Výzkum a vývoj v oblasti biotechnologie</v>
      </c>
    </row>
    <row r="763" spans="13:26" ht="12.75">
      <c r="M763" s="418">
        <f>IF(ISNUMBER(SEARCH(ZAKL_DATA!$B$29,N763)),MAX($M$2:M762)+1,0)</f>
        <v>761</v>
      </c>
      <c r="N763" s="419" t="s">
        <v>3061</v>
      </c>
      <c r="O763" s="436" t="s">
        <v>3062</v>
      </c>
      <c r="P763" s="421"/>
      <c r="Q763" s="422" t="str">
        <f>IFERROR(VLOOKUP(ROWS($Q$3:Q763),$M$3:$N$992,2,0),"")</f>
        <v>Těžba uranových a thoriových rud</v>
      </c>
      <c r="R763">
        <f>IF(ISNUMBER(SEARCH('1Př1'!$A$35,N763)),MAX($M$2:M762)+1,0)</f>
        <v>761</v>
      </c>
      <c r="S763" s="419" t="s">
        <v>3061</v>
      </c>
      <c r="T763" t="str">
        <f>IFERROR(VLOOKUP(ROWS($T$3:T763),$R$3:$S$992,2,0),"")</f>
        <v>Těžba uranových a thoriových rud</v>
      </c>
      <c r="U763">
        <f>IF(ISNUMBER(SEARCH('1Př1'!$A$36,N763)),MAX($M$2:M762)+1,0)</f>
        <v>761</v>
      </c>
      <c r="V763" s="419" t="s">
        <v>3061</v>
      </c>
      <c r="W763" t="str">
        <f>IFERROR(VLOOKUP(ROWS($W$3:W763),$U$3:$V$992,2,0),"")</f>
        <v>Těžba uranových a thoriových rud</v>
      </c>
      <c r="X763">
        <f>IF(ISNUMBER(SEARCH('1Př1'!$A$37,N763)),MAX($M$2:M762)+1,0)</f>
        <v>761</v>
      </c>
      <c r="Y763" s="419" t="s">
        <v>3061</v>
      </c>
      <c r="Z763" t="str">
        <f>IFERROR(VLOOKUP(ROWS($Z$3:Z763),$X$3:$Y$992,2,0),"")</f>
        <v>Těžba uranových a thoriových rud</v>
      </c>
    </row>
    <row r="764" spans="13:26" ht="12.75">
      <c r="M764" s="418">
        <f>IF(ISNUMBER(SEARCH(ZAKL_DATA!$B$29,N764)),MAX($M$2:M763)+1,0)</f>
        <v>762</v>
      </c>
      <c r="N764" s="419" t="s">
        <v>3063</v>
      </c>
      <c r="O764" s="436" t="s">
        <v>3064</v>
      </c>
      <c r="P764" s="421"/>
      <c r="Q764" s="422" t="str">
        <f>IFERROR(VLOOKUP(ROWS($Q$3:Q764),$M$3:$N$992,2,0),"")</f>
        <v>Úprava uranových a thoriových rud</v>
      </c>
      <c r="R764">
        <f>IF(ISNUMBER(SEARCH('1Př1'!$A$35,N764)),MAX($M$2:M763)+1,0)</f>
        <v>762</v>
      </c>
      <c r="S764" s="419" t="s">
        <v>3063</v>
      </c>
      <c r="T764" t="str">
        <f>IFERROR(VLOOKUP(ROWS($T$3:T764),$R$3:$S$992,2,0),"")</f>
        <v>Úprava uranových a thoriových rud</v>
      </c>
      <c r="U764">
        <f>IF(ISNUMBER(SEARCH('1Př1'!$A$36,N764)),MAX($M$2:M763)+1,0)</f>
        <v>762</v>
      </c>
      <c r="V764" s="419" t="s">
        <v>3063</v>
      </c>
      <c r="W764" t="str">
        <f>IFERROR(VLOOKUP(ROWS($W$3:W764),$U$3:$V$992,2,0),"")</f>
        <v>Úprava uranových a thoriových rud</v>
      </c>
      <c r="X764">
        <f>IF(ISNUMBER(SEARCH('1Př1'!$A$37,N764)),MAX($M$2:M763)+1,0)</f>
        <v>762</v>
      </c>
      <c r="Y764" s="419" t="s">
        <v>3063</v>
      </c>
      <c r="Z764" t="str">
        <f>IFERROR(VLOOKUP(ROWS($Z$3:Z764),$X$3:$Y$992,2,0),"")</f>
        <v>Úprava uranových a thoriových rud</v>
      </c>
    </row>
    <row r="765" spans="13:26" ht="12.75">
      <c r="M765" s="418">
        <f>IF(ISNUMBER(SEARCH(ZAKL_DATA!$B$29,N765)),MAX($M$2:M764)+1,0)</f>
        <v>763</v>
      </c>
      <c r="N765" s="419" t="s">
        <v>3065</v>
      </c>
      <c r="O765" s="436" t="s">
        <v>3066</v>
      </c>
      <c r="P765" s="421"/>
      <c r="Q765" s="422" t="str">
        <f>IFERROR(VLOOKUP(ROWS($Q$3:Q765),$M$3:$N$992,2,0),"")</f>
        <v>Ostatní výzkum a vývoj voblasti přírodních atechnických věd</v>
      </c>
      <c r="R765">
        <f>IF(ISNUMBER(SEARCH('1Př1'!$A$35,N765)),MAX($M$2:M764)+1,0)</f>
        <v>763</v>
      </c>
      <c r="S765" s="419" t="s">
        <v>3065</v>
      </c>
      <c r="T765" t="str">
        <f>IFERROR(VLOOKUP(ROWS($T$3:T765),$R$3:$S$992,2,0),"")</f>
        <v>Ostatní výzkum a vývoj voblasti přírodních atechnických věd</v>
      </c>
      <c r="U765">
        <f>IF(ISNUMBER(SEARCH('1Př1'!$A$36,N765)),MAX($M$2:M764)+1,0)</f>
        <v>763</v>
      </c>
      <c r="V765" s="419" t="s">
        <v>3065</v>
      </c>
      <c r="W765" t="str">
        <f>IFERROR(VLOOKUP(ROWS($W$3:W765),$U$3:$V$992,2,0),"")</f>
        <v>Ostatní výzkum a vývoj voblasti přírodních atechnických věd</v>
      </c>
      <c r="X765">
        <f>IF(ISNUMBER(SEARCH('1Př1'!$A$37,N765)),MAX($M$2:M764)+1,0)</f>
        <v>763</v>
      </c>
      <c r="Y765" s="419" t="s">
        <v>3065</v>
      </c>
      <c r="Z765" t="str">
        <f>IFERROR(VLOOKUP(ROWS($Z$3:Z765),$X$3:$Y$992,2,0),"")</f>
        <v>Ostatní výzkum a vývoj voblasti přírodních atechnických věd</v>
      </c>
    </row>
    <row r="766" spans="13:26" ht="12.75">
      <c r="M766" s="418">
        <f>IF(ISNUMBER(SEARCH(ZAKL_DATA!$B$29,N766)),MAX($M$2:M765)+1,0)</f>
        <v>764</v>
      </c>
      <c r="N766" s="419" t="s">
        <v>3067</v>
      </c>
      <c r="O766" s="436" t="s">
        <v>3068</v>
      </c>
      <c r="P766" s="421"/>
      <c r="Q766" s="422" t="str">
        <f>IFERROR(VLOOKUP(ROWS($Q$3:Q766),$M$3:$N$992,2,0),"")</f>
        <v>Těžba ostatních neželezných rud</v>
      </c>
      <c r="R766">
        <f>IF(ISNUMBER(SEARCH('1Př1'!$A$35,N766)),MAX($M$2:M765)+1,0)</f>
        <v>764</v>
      </c>
      <c r="S766" s="419" t="s">
        <v>3067</v>
      </c>
      <c r="T766" t="str">
        <f>IFERROR(VLOOKUP(ROWS($T$3:T766),$R$3:$S$992,2,0),"")</f>
        <v>Těžba ostatních neželezných rud</v>
      </c>
      <c r="U766">
        <f>IF(ISNUMBER(SEARCH('1Př1'!$A$36,N766)),MAX($M$2:M765)+1,0)</f>
        <v>764</v>
      </c>
      <c r="V766" s="419" t="s">
        <v>3067</v>
      </c>
      <c r="W766" t="str">
        <f>IFERROR(VLOOKUP(ROWS($W$3:W766),$U$3:$V$992,2,0),"")</f>
        <v>Těžba ostatních neželezných rud</v>
      </c>
      <c r="X766">
        <f>IF(ISNUMBER(SEARCH('1Př1'!$A$37,N766)),MAX($M$2:M765)+1,0)</f>
        <v>764</v>
      </c>
      <c r="Y766" s="419" t="s">
        <v>3067</v>
      </c>
      <c r="Z766" t="str">
        <f>IFERROR(VLOOKUP(ROWS($Z$3:Z766),$X$3:$Y$992,2,0),"")</f>
        <v>Těžba ostatních neželezných rud</v>
      </c>
    </row>
    <row r="767" spans="13:26" ht="12.75">
      <c r="M767" s="418">
        <f>IF(ISNUMBER(SEARCH(ZAKL_DATA!$B$29,N767)),MAX($M$2:M766)+1,0)</f>
        <v>765</v>
      </c>
      <c r="N767" s="419" t="s">
        <v>3069</v>
      </c>
      <c r="O767" s="436" t="s">
        <v>3070</v>
      </c>
      <c r="P767" s="421"/>
      <c r="Q767" s="422" t="str">
        <f>IFERROR(VLOOKUP(ROWS($Q$3:Q767),$M$3:$N$992,2,0),"")</f>
        <v>Úprava ostatních neželezných rud</v>
      </c>
      <c r="R767">
        <f>IF(ISNUMBER(SEARCH('1Př1'!$A$35,N767)),MAX($M$2:M766)+1,0)</f>
        <v>765</v>
      </c>
      <c r="S767" s="419" t="s">
        <v>3069</v>
      </c>
      <c r="T767" t="str">
        <f>IFERROR(VLOOKUP(ROWS($T$3:T767),$R$3:$S$992,2,0),"")</f>
        <v>Úprava ostatních neželezných rud</v>
      </c>
      <c r="U767">
        <f>IF(ISNUMBER(SEARCH('1Př1'!$A$36,N767)),MAX($M$2:M766)+1,0)</f>
        <v>765</v>
      </c>
      <c r="V767" s="419" t="s">
        <v>3069</v>
      </c>
      <c r="W767" t="str">
        <f>IFERROR(VLOOKUP(ROWS($W$3:W767),$U$3:$V$992,2,0),"")</f>
        <v>Úprava ostatních neželezných rud</v>
      </c>
      <c r="X767">
        <f>IF(ISNUMBER(SEARCH('1Př1'!$A$37,N767)),MAX($M$2:M766)+1,0)</f>
        <v>765</v>
      </c>
      <c r="Y767" s="419" t="s">
        <v>3069</v>
      </c>
      <c r="Z767" t="str">
        <f>IFERROR(VLOOKUP(ROWS($Z$3:Z767),$X$3:$Y$992,2,0),"")</f>
        <v>Úprava ostatních neželezných rud</v>
      </c>
    </row>
    <row r="768" spans="13:26" ht="12.75">
      <c r="M768" s="418">
        <f>IF(ISNUMBER(SEARCH(ZAKL_DATA!$B$29,N768)),MAX($M$2:M767)+1,0)</f>
        <v>766</v>
      </c>
      <c r="N768" s="419" t="s">
        <v>3071</v>
      </c>
      <c r="O768" s="436" t="s">
        <v>3072</v>
      </c>
      <c r="P768" s="421"/>
      <c r="Q768" s="422" t="str">
        <f>IFERROR(VLOOKUP(ROWS($Q$3:Q768),$M$3:$N$992,2,0),"")</f>
        <v>Činnosti reklamních agentur</v>
      </c>
      <c r="R768">
        <f>IF(ISNUMBER(SEARCH('1Př1'!$A$35,N768)),MAX($M$2:M767)+1,0)</f>
        <v>766</v>
      </c>
      <c r="S768" s="419" t="s">
        <v>3071</v>
      </c>
      <c r="T768" t="str">
        <f>IFERROR(VLOOKUP(ROWS($T$3:T768),$R$3:$S$992,2,0),"")</f>
        <v>Činnosti reklamních agentur</v>
      </c>
      <c r="U768">
        <f>IF(ISNUMBER(SEARCH('1Př1'!$A$36,N768)),MAX($M$2:M767)+1,0)</f>
        <v>766</v>
      </c>
      <c r="V768" s="419" t="s">
        <v>3071</v>
      </c>
      <c r="W768" t="str">
        <f>IFERROR(VLOOKUP(ROWS($W$3:W768),$U$3:$V$992,2,0),"")</f>
        <v>Činnosti reklamních agentur</v>
      </c>
      <c r="X768">
        <f>IF(ISNUMBER(SEARCH('1Př1'!$A$37,N768)),MAX($M$2:M767)+1,0)</f>
        <v>766</v>
      </c>
      <c r="Y768" s="419" t="s">
        <v>3071</v>
      </c>
      <c r="Z768" t="str">
        <f>IFERROR(VLOOKUP(ROWS($Z$3:Z768),$X$3:$Y$992,2,0),"")</f>
        <v>Činnosti reklamních agentur</v>
      </c>
    </row>
    <row r="769" spans="13:26" ht="12.75">
      <c r="M769" s="418">
        <f>IF(ISNUMBER(SEARCH(ZAKL_DATA!$B$29,N769)),MAX($M$2:M768)+1,0)</f>
        <v>767</v>
      </c>
      <c r="N769" s="419" t="s">
        <v>3073</v>
      </c>
      <c r="O769" s="436" t="s">
        <v>3074</v>
      </c>
      <c r="P769" s="421"/>
      <c r="Q769" s="422" t="str">
        <f>IFERROR(VLOOKUP(ROWS($Q$3:Q769),$M$3:$N$992,2,0),"")</f>
        <v>Zastupování médií při prodeji reklamního času a prostoru</v>
      </c>
      <c r="R769">
        <f>IF(ISNUMBER(SEARCH('1Př1'!$A$35,N769)),MAX($M$2:M768)+1,0)</f>
        <v>767</v>
      </c>
      <c r="S769" s="419" t="s">
        <v>3073</v>
      </c>
      <c r="T769" t="str">
        <f>IFERROR(VLOOKUP(ROWS($T$3:T769),$R$3:$S$992,2,0),"")</f>
        <v>Zastupování médií při prodeji reklamního času a prostoru</v>
      </c>
      <c r="U769">
        <f>IF(ISNUMBER(SEARCH('1Př1'!$A$36,N769)),MAX($M$2:M768)+1,0)</f>
        <v>767</v>
      </c>
      <c r="V769" s="419" t="s">
        <v>3073</v>
      </c>
      <c r="W769" t="str">
        <f>IFERROR(VLOOKUP(ROWS($W$3:W769),$U$3:$V$992,2,0),"")</f>
        <v>Zastupování médií při prodeji reklamního času a prostoru</v>
      </c>
      <c r="X769">
        <f>IF(ISNUMBER(SEARCH('1Př1'!$A$37,N769)),MAX($M$2:M768)+1,0)</f>
        <v>767</v>
      </c>
      <c r="Y769" s="419" t="s">
        <v>3073</v>
      </c>
      <c r="Z769" t="str">
        <f>IFERROR(VLOOKUP(ROWS($Z$3:Z769),$X$3:$Y$992,2,0),"")</f>
        <v>Zastupování médií při prodeji reklamního času a prostoru</v>
      </c>
    </row>
    <row r="770" spans="13:26" ht="12.75">
      <c r="M770" s="418">
        <f>IF(ISNUMBER(SEARCH(ZAKL_DATA!$B$29,N770)),MAX($M$2:M769)+1,0)</f>
        <v>768</v>
      </c>
      <c r="N770" s="419" t="s">
        <v>3075</v>
      </c>
      <c r="O770" s="436" t="s">
        <v>3076</v>
      </c>
      <c r="P770" s="421"/>
      <c r="Q770" s="422" t="str">
        <f>IFERROR(VLOOKUP(ROWS($Q$3:Q770),$M$3:$N$992,2,0),"")</f>
        <v>Pronájem a leasing automob.a jiných lehkých motor.vozidel,kromě motocyklů</v>
      </c>
      <c r="R770">
        <f>IF(ISNUMBER(SEARCH('1Př1'!$A$35,N770)),MAX($M$2:M769)+1,0)</f>
        <v>768</v>
      </c>
      <c r="S770" s="419" t="s">
        <v>3075</v>
      </c>
      <c r="T770" t="str">
        <f>IFERROR(VLOOKUP(ROWS($T$3:T770),$R$3:$S$992,2,0),"")</f>
        <v>Pronájem a leasing automob.a jiných lehkých motor.vozidel,kromě motocyklů</v>
      </c>
      <c r="U770">
        <f>IF(ISNUMBER(SEARCH('1Př1'!$A$36,N770)),MAX($M$2:M769)+1,0)</f>
        <v>768</v>
      </c>
      <c r="V770" s="419" t="s">
        <v>3075</v>
      </c>
      <c r="W770" t="str">
        <f>IFERROR(VLOOKUP(ROWS($W$3:W770),$U$3:$V$992,2,0),"")</f>
        <v>Pronájem a leasing automob.a jiných lehkých motor.vozidel,kromě motocyklů</v>
      </c>
      <c r="X770">
        <f>IF(ISNUMBER(SEARCH('1Př1'!$A$37,N770)),MAX($M$2:M769)+1,0)</f>
        <v>768</v>
      </c>
      <c r="Y770" s="419" t="s">
        <v>3075</v>
      </c>
      <c r="Z770" t="str">
        <f>IFERROR(VLOOKUP(ROWS($Z$3:Z770),$X$3:$Y$992,2,0),"")</f>
        <v>Pronájem a leasing automob.a jiných lehkých motor.vozidel,kromě motocyklů</v>
      </c>
    </row>
    <row r="771" spans="13:26" ht="12.75">
      <c r="M771" s="418">
        <f>IF(ISNUMBER(SEARCH(ZAKL_DATA!$B$29,N771)),MAX($M$2:M770)+1,0)</f>
        <v>769</v>
      </c>
      <c r="N771" s="419" t="s">
        <v>3077</v>
      </c>
      <c r="O771" s="436" t="s">
        <v>3078</v>
      </c>
      <c r="P771" s="421"/>
      <c r="Q771" s="422" t="str">
        <f>IFERROR(VLOOKUP(ROWS($Q$3:Q771),$M$3:$N$992,2,0),"")</f>
        <v>Pronájem a leasing nákladních automobilů</v>
      </c>
      <c r="R771">
        <f>IF(ISNUMBER(SEARCH('1Př1'!$A$35,N771)),MAX($M$2:M770)+1,0)</f>
        <v>769</v>
      </c>
      <c r="S771" s="419" t="s">
        <v>3077</v>
      </c>
      <c r="T771" t="str">
        <f>IFERROR(VLOOKUP(ROWS($T$3:T771),$R$3:$S$992,2,0),"")</f>
        <v>Pronájem a leasing nákladních automobilů</v>
      </c>
      <c r="U771">
        <f>IF(ISNUMBER(SEARCH('1Př1'!$A$36,N771)),MAX($M$2:M770)+1,0)</f>
        <v>769</v>
      </c>
      <c r="V771" s="419" t="s">
        <v>3077</v>
      </c>
      <c r="W771" t="str">
        <f>IFERROR(VLOOKUP(ROWS($W$3:W771),$U$3:$V$992,2,0),"")</f>
        <v>Pronájem a leasing nákladních automobilů</v>
      </c>
      <c r="X771">
        <f>IF(ISNUMBER(SEARCH('1Př1'!$A$37,N771)),MAX($M$2:M770)+1,0)</f>
        <v>769</v>
      </c>
      <c r="Y771" s="419" t="s">
        <v>3077</v>
      </c>
      <c r="Z771" t="str">
        <f>IFERROR(VLOOKUP(ROWS($Z$3:Z771),$X$3:$Y$992,2,0),"")</f>
        <v>Pronájem a leasing nákladních automobilů</v>
      </c>
    </row>
    <row r="772" spans="13:26" ht="12.75">
      <c r="M772" s="418">
        <f>IF(ISNUMBER(SEARCH(ZAKL_DATA!$B$29,N772)),MAX($M$2:M771)+1,0)</f>
        <v>770</v>
      </c>
      <c r="N772" s="419" t="s">
        <v>3079</v>
      </c>
      <c r="O772" s="436" t="s">
        <v>3080</v>
      </c>
      <c r="P772" s="421"/>
      <c r="Q772" s="422" t="str">
        <f>IFERROR(VLOOKUP(ROWS($Q$3:Q772),$M$3:$N$992,2,0),"")</f>
        <v>Pronájem a leasing rekreačních a sportovních potřeb</v>
      </c>
      <c r="R772">
        <f>IF(ISNUMBER(SEARCH('1Př1'!$A$35,N772)),MAX($M$2:M771)+1,0)</f>
        <v>770</v>
      </c>
      <c r="S772" s="419" t="s">
        <v>3079</v>
      </c>
      <c r="T772" t="str">
        <f>IFERROR(VLOOKUP(ROWS($T$3:T772),$R$3:$S$992,2,0),"")</f>
        <v>Pronájem a leasing rekreačních a sportovních potřeb</v>
      </c>
      <c r="U772">
        <f>IF(ISNUMBER(SEARCH('1Př1'!$A$36,N772)),MAX($M$2:M771)+1,0)</f>
        <v>770</v>
      </c>
      <c r="V772" s="419" t="s">
        <v>3079</v>
      </c>
      <c r="W772" t="str">
        <f>IFERROR(VLOOKUP(ROWS($W$3:W772),$U$3:$V$992,2,0),"")</f>
        <v>Pronájem a leasing rekreačních a sportovních potřeb</v>
      </c>
      <c r="X772">
        <f>IF(ISNUMBER(SEARCH('1Př1'!$A$37,N772)),MAX($M$2:M771)+1,0)</f>
        <v>770</v>
      </c>
      <c r="Y772" s="419" t="s">
        <v>3079</v>
      </c>
      <c r="Z772" t="str">
        <f>IFERROR(VLOOKUP(ROWS($Z$3:Z772),$X$3:$Y$992,2,0),"")</f>
        <v>Pronájem a leasing rekreačních a sportovních potřeb</v>
      </c>
    </row>
    <row r="773" spans="13:26" ht="12.75">
      <c r="M773" s="418">
        <f>IF(ISNUMBER(SEARCH(ZAKL_DATA!$B$29,N773)),MAX($M$2:M772)+1,0)</f>
        <v>771</v>
      </c>
      <c r="N773" s="419" t="s">
        <v>3081</v>
      </c>
      <c r="O773" s="436" t="s">
        <v>3082</v>
      </c>
      <c r="P773" s="421"/>
      <c r="Q773" s="422" t="str">
        <f>IFERROR(VLOOKUP(ROWS($Q$3:Q773),$M$3:$N$992,2,0),"")</f>
        <v>Pronájem videokazet a disků</v>
      </c>
      <c r="R773">
        <f>IF(ISNUMBER(SEARCH('1Př1'!$A$35,N773)),MAX($M$2:M772)+1,0)</f>
        <v>771</v>
      </c>
      <c r="S773" s="419" t="s">
        <v>3081</v>
      </c>
      <c r="T773" t="str">
        <f>IFERROR(VLOOKUP(ROWS($T$3:T773),$R$3:$S$992,2,0),"")</f>
        <v>Pronájem videokazet a disků</v>
      </c>
      <c r="U773">
        <f>IF(ISNUMBER(SEARCH('1Př1'!$A$36,N773)),MAX($M$2:M772)+1,0)</f>
        <v>771</v>
      </c>
      <c r="V773" s="419" t="s">
        <v>3081</v>
      </c>
      <c r="W773" t="str">
        <f>IFERROR(VLOOKUP(ROWS($W$3:W773),$U$3:$V$992,2,0),"")</f>
        <v>Pronájem videokazet a disků</v>
      </c>
      <c r="X773">
        <f>IF(ISNUMBER(SEARCH('1Př1'!$A$37,N773)),MAX($M$2:M772)+1,0)</f>
        <v>771</v>
      </c>
      <c r="Y773" s="419" t="s">
        <v>3081</v>
      </c>
      <c r="Z773" t="str">
        <f>IFERROR(VLOOKUP(ROWS($Z$3:Z773),$X$3:$Y$992,2,0),"")</f>
        <v>Pronájem videokazet a disků</v>
      </c>
    </row>
    <row r="774" spans="13:26" ht="12.75">
      <c r="M774" s="418">
        <f>IF(ISNUMBER(SEARCH(ZAKL_DATA!$B$29,N774)),MAX($M$2:M773)+1,0)</f>
        <v>772</v>
      </c>
      <c r="N774" s="419" t="s">
        <v>3083</v>
      </c>
      <c r="O774" s="436" t="s">
        <v>3084</v>
      </c>
      <c r="P774" s="421"/>
      <c r="Q774" s="422" t="str">
        <f>IFERROR(VLOOKUP(ROWS($Q$3:Q774),$M$3:$N$992,2,0),"")</f>
        <v>Pronájem a leasing ost.výrobků pro osob.potřebu a převážně pro domácnost</v>
      </c>
      <c r="R774">
        <f>IF(ISNUMBER(SEARCH('1Př1'!$A$35,N774)),MAX($M$2:M773)+1,0)</f>
        <v>772</v>
      </c>
      <c r="S774" s="419" t="s">
        <v>3083</v>
      </c>
      <c r="T774" t="str">
        <f>IFERROR(VLOOKUP(ROWS($T$3:T774),$R$3:$S$992,2,0),"")</f>
        <v>Pronájem a leasing ost.výrobků pro osob.potřebu a převážně pro domácnost</v>
      </c>
      <c r="U774">
        <f>IF(ISNUMBER(SEARCH('1Př1'!$A$36,N774)),MAX($M$2:M773)+1,0)</f>
        <v>772</v>
      </c>
      <c r="V774" s="419" t="s">
        <v>3083</v>
      </c>
      <c r="W774" t="str">
        <f>IFERROR(VLOOKUP(ROWS($W$3:W774),$U$3:$V$992,2,0),"")</f>
        <v>Pronájem a leasing ost.výrobků pro osob.potřebu a převážně pro domácnost</v>
      </c>
      <c r="X774">
        <f>IF(ISNUMBER(SEARCH('1Př1'!$A$37,N774)),MAX($M$2:M773)+1,0)</f>
        <v>772</v>
      </c>
      <c r="Y774" s="419" t="s">
        <v>3083</v>
      </c>
      <c r="Z774" t="str">
        <f>IFERROR(VLOOKUP(ROWS($Z$3:Z774),$X$3:$Y$992,2,0),"")</f>
        <v>Pronájem a leasing ost.výrobků pro osob.potřebu a převážně pro domácnost</v>
      </c>
    </row>
    <row r="775" spans="13:26" ht="12.75">
      <c r="M775" s="418">
        <f>IF(ISNUMBER(SEARCH(ZAKL_DATA!$B$29,N775)),MAX($M$2:M774)+1,0)</f>
        <v>773</v>
      </c>
      <c r="N775" s="419" t="s">
        <v>3085</v>
      </c>
      <c r="O775" s="436" t="s">
        <v>3086</v>
      </c>
      <c r="P775" s="421"/>
      <c r="Q775" s="422" t="str">
        <f>IFERROR(VLOOKUP(ROWS($Q$3:Q775),$M$3:$N$992,2,0),"")</f>
        <v>Pronájem a leasing zemědělských strojů a zařízení</v>
      </c>
      <c r="R775">
        <f>IF(ISNUMBER(SEARCH('1Př1'!$A$35,N775)),MAX($M$2:M774)+1,0)</f>
        <v>773</v>
      </c>
      <c r="S775" s="419" t="s">
        <v>3085</v>
      </c>
      <c r="T775" t="str">
        <f>IFERROR(VLOOKUP(ROWS($T$3:T775),$R$3:$S$992,2,0),"")</f>
        <v>Pronájem a leasing zemědělských strojů a zařízení</v>
      </c>
      <c r="U775">
        <f>IF(ISNUMBER(SEARCH('1Př1'!$A$36,N775)),MAX($M$2:M774)+1,0)</f>
        <v>773</v>
      </c>
      <c r="V775" s="419" t="s">
        <v>3085</v>
      </c>
      <c r="W775" t="str">
        <f>IFERROR(VLOOKUP(ROWS($W$3:W775),$U$3:$V$992,2,0),"")</f>
        <v>Pronájem a leasing zemědělských strojů a zařízení</v>
      </c>
      <c r="X775">
        <f>IF(ISNUMBER(SEARCH('1Př1'!$A$37,N775)),MAX($M$2:M774)+1,0)</f>
        <v>773</v>
      </c>
      <c r="Y775" s="419" t="s">
        <v>3085</v>
      </c>
      <c r="Z775" t="str">
        <f>IFERROR(VLOOKUP(ROWS($Z$3:Z775),$X$3:$Y$992,2,0),"")</f>
        <v>Pronájem a leasing zemědělských strojů a zařízení</v>
      </c>
    </row>
    <row r="776" spans="13:26" ht="12.75">
      <c r="M776" s="418">
        <f>IF(ISNUMBER(SEARCH(ZAKL_DATA!$B$29,N776)),MAX($M$2:M775)+1,0)</f>
        <v>774</v>
      </c>
      <c r="N776" s="419" t="s">
        <v>3087</v>
      </c>
      <c r="O776" s="436" t="s">
        <v>3088</v>
      </c>
      <c r="P776" s="421"/>
      <c r="Q776" s="422" t="str">
        <f>IFERROR(VLOOKUP(ROWS($Q$3:Q776),$M$3:$N$992,2,0),"")</f>
        <v>Pronájem a leasing stavebních strojů a zařízení</v>
      </c>
      <c r="R776">
        <f>IF(ISNUMBER(SEARCH('1Př1'!$A$35,N776)),MAX($M$2:M775)+1,0)</f>
        <v>774</v>
      </c>
      <c r="S776" s="419" t="s">
        <v>3087</v>
      </c>
      <c r="T776" t="str">
        <f>IFERROR(VLOOKUP(ROWS($T$3:T776),$R$3:$S$992,2,0),"")</f>
        <v>Pronájem a leasing stavebních strojů a zařízení</v>
      </c>
      <c r="U776">
        <f>IF(ISNUMBER(SEARCH('1Př1'!$A$36,N776)),MAX($M$2:M775)+1,0)</f>
        <v>774</v>
      </c>
      <c r="V776" s="419" t="s">
        <v>3087</v>
      </c>
      <c r="W776" t="str">
        <f>IFERROR(VLOOKUP(ROWS($W$3:W776),$U$3:$V$992,2,0),"")</f>
        <v>Pronájem a leasing stavebních strojů a zařízení</v>
      </c>
      <c r="X776">
        <f>IF(ISNUMBER(SEARCH('1Př1'!$A$37,N776)),MAX($M$2:M775)+1,0)</f>
        <v>774</v>
      </c>
      <c r="Y776" s="419" t="s">
        <v>3087</v>
      </c>
      <c r="Z776" t="str">
        <f>IFERROR(VLOOKUP(ROWS($Z$3:Z776),$X$3:$Y$992,2,0),"")</f>
        <v>Pronájem a leasing stavebních strojů a zařízení</v>
      </c>
    </row>
    <row r="777" spans="13:26" ht="12.75">
      <c r="M777" s="418">
        <f>IF(ISNUMBER(SEARCH(ZAKL_DATA!$B$29,N777)),MAX($M$2:M776)+1,0)</f>
        <v>775</v>
      </c>
      <c r="N777" s="419" t="s">
        <v>3089</v>
      </c>
      <c r="O777" s="436" t="s">
        <v>3090</v>
      </c>
      <c r="P777" s="421"/>
      <c r="Q777" s="422" t="str">
        <f>IFERROR(VLOOKUP(ROWS($Q$3:Q777),$M$3:$N$992,2,0),"")</f>
        <v>Pronájem a leasing kancelářských strojů a zařízení, včetně počítačů</v>
      </c>
      <c r="R777">
        <f>IF(ISNUMBER(SEARCH('1Př1'!$A$35,N777)),MAX($M$2:M776)+1,0)</f>
        <v>775</v>
      </c>
      <c r="S777" s="419" t="s">
        <v>3089</v>
      </c>
      <c r="T777" t="str">
        <f>IFERROR(VLOOKUP(ROWS($T$3:T777),$R$3:$S$992,2,0),"")</f>
        <v>Pronájem a leasing kancelářských strojů a zařízení, včetně počítačů</v>
      </c>
      <c r="U777">
        <f>IF(ISNUMBER(SEARCH('1Př1'!$A$36,N777)),MAX($M$2:M776)+1,0)</f>
        <v>775</v>
      </c>
      <c r="V777" s="419" t="s">
        <v>3089</v>
      </c>
      <c r="W777" t="str">
        <f>IFERROR(VLOOKUP(ROWS($W$3:W777),$U$3:$V$992,2,0),"")</f>
        <v>Pronájem a leasing kancelářských strojů a zařízení, včetně počítačů</v>
      </c>
      <c r="X777">
        <f>IF(ISNUMBER(SEARCH('1Př1'!$A$37,N777)),MAX($M$2:M776)+1,0)</f>
        <v>775</v>
      </c>
      <c r="Y777" s="419" t="s">
        <v>3089</v>
      </c>
      <c r="Z777" t="str">
        <f>IFERROR(VLOOKUP(ROWS($Z$3:Z777),$X$3:$Y$992,2,0),"")</f>
        <v>Pronájem a leasing kancelářských strojů a zařízení, včetně počítačů</v>
      </c>
    </row>
    <row r="778" spans="13:26" ht="12.75">
      <c r="M778" s="418">
        <f>IF(ISNUMBER(SEARCH(ZAKL_DATA!$B$29,N778)),MAX($M$2:M777)+1,0)</f>
        <v>776</v>
      </c>
      <c r="N778" s="419" t="s">
        <v>3091</v>
      </c>
      <c r="O778" s="436" t="s">
        <v>3092</v>
      </c>
      <c r="P778" s="421"/>
      <c r="Q778" s="422" t="str">
        <f>IFERROR(VLOOKUP(ROWS($Q$3:Q778),$M$3:$N$992,2,0),"")</f>
        <v>Pronájem a leasing vodních dopravních prostředků</v>
      </c>
      <c r="R778">
        <f>IF(ISNUMBER(SEARCH('1Př1'!$A$35,N778)),MAX($M$2:M777)+1,0)</f>
        <v>776</v>
      </c>
      <c r="S778" s="419" t="s">
        <v>3091</v>
      </c>
      <c r="T778" t="str">
        <f>IFERROR(VLOOKUP(ROWS($T$3:T778),$R$3:$S$992,2,0),"")</f>
        <v>Pronájem a leasing vodních dopravních prostředků</v>
      </c>
      <c r="U778">
        <f>IF(ISNUMBER(SEARCH('1Př1'!$A$36,N778)),MAX($M$2:M777)+1,0)</f>
        <v>776</v>
      </c>
      <c r="V778" s="419" t="s">
        <v>3091</v>
      </c>
      <c r="W778" t="str">
        <f>IFERROR(VLOOKUP(ROWS($W$3:W778),$U$3:$V$992,2,0),"")</f>
        <v>Pronájem a leasing vodních dopravních prostředků</v>
      </c>
      <c r="X778">
        <f>IF(ISNUMBER(SEARCH('1Př1'!$A$37,N778)),MAX($M$2:M777)+1,0)</f>
        <v>776</v>
      </c>
      <c r="Y778" s="419" t="s">
        <v>3091</v>
      </c>
      <c r="Z778" t="str">
        <f>IFERROR(VLOOKUP(ROWS($Z$3:Z778),$X$3:$Y$992,2,0),"")</f>
        <v>Pronájem a leasing vodních dopravních prostředků</v>
      </c>
    </row>
    <row r="779" spans="13:26" ht="12.75">
      <c r="M779" s="418">
        <f>IF(ISNUMBER(SEARCH(ZAKL_DATA!$B$29,N779)),MAX($M$2:M778)+1,0)</f>
        <v>777</v>
      </c>
      <c r="N779" s="419" t="s">
        <v>3093</v>
      </c>
      <c r="O779" s="436" t="s">
        <v>3094</v>
      </c>
      <c r="P779" s="421"/>
      <c r="Q779" s="422" t="str">
        <f>IFERROR(VLOOKUP(ROWS($Q$3:Q779),$M$3:$N$992,2,0),"")</f>
        <v>Pronájem a leasing leteckých dopravních prostředků</v>
      </c>
      <c r="R779">
        <f>IF(ISNUMBER(SEARCH('1Př1'!$A$35,N779)),MAX($M$2:M778)+1,0)</f>
        <v>777</v>
      </c>
      <c r="S779" s="419" t="s">
        <v>3093</v>
      </c>
      <c r="T779" t="str">
        <f>IFERROR(VLOOKUP(ROWS($T$3:T779),$R$3:$S$992,2,0),"")</f>
        <v>Pronájem a leasing leteckých dopravních prostředků</v>
      </c>
      <c r="U779">
        <f>IF(ISNUMBER(SEARCH('1Př1'!$A$36,N779)),MAX($M$2:M778)+1,0)</f>
        <v>777</v>
      </c>
      <c r="V779" s="419" t="s">
        <v>3093</v>
      </c>
      <c r="W779" t="str">
        <f>IFERROR(VLOOKUP(ROWS($W$3:W779),$U$3:$V$992,2,0),"")</f>
        <v>Pronájem a leasing leteckých dopravních prostředků</v>
      </c>
      <c r="X779">
        <f>IF(ISNUMBER(SEARCH('1Př1'!$A$37,N779)),MAX($M$2:M778)+1,0)</f>
        <v>777</v>
      </c>
      <c r="Y779" s="419" t="s">
        <v>3093</v>
      </c>
      <c r="Z779" t="str">
        <f>IFERROR(VLOOKUP(ROWS($Z$3:Z779),$X$3:$Y$992,2,0),"")</f>
        <v>Pronájem a leasing leteckých dopravních prostředků</v>
      </c>
    </row>
    <row r="780" spans="13:26" ht="12.75">
      <c r="M780" s="418">
        <f>IF(ISNUMBER(SEARCH(ZAKL_DATA!$B$29,N780)),MAX($M$2:M779)+1,0)</f>
        <v>778</v>
      </c>
      <c r="N780" s="419" t="s">
        <v>3095</v>
      </c>
      <c r="O780" s="436" t="s">
        <v>3096</v>
      </c>
      <c r="P780" s="421"/>
      <c r="Q780" s="422" t="str">
        <f>IFERROR(VLOOKUP(ROWS($Q$3:Q780),$M$3:$N$992,2,0),"")</f>
        <v>Pronájem a leasing ostatních strojů, zařízení a výrobků j. n.</v>
      </c>
      <c r="R780">
        <f>IF(ISNUMBER(SEARCH('1Př1'!$A$35,N780)),MAX($M$2:M779)+1,0)</f>
        <v>778</v>
      </c>
      <c r="S780" s="419" t="s">
        <v>3095</v>
      </c>
      <c r="T780" t="str">
        <f>IFERROR(VLOOKUP(ROWS($T$3:T780),$R$3:$S$992,2,0),"")</f>
        <v>Pronájem a leasing ostatních strojů, zařízení a výrobků j. n.</v>
      </c>
      <c r="U780">
        <f>IF(ISNUMBER(SEARCH('1Př1'!$A$36,N780)),MAX($M$2:M779)+1,0)</f>
        <v>778</v>
      </c>
      <c r="V780" s="419" t="s">
        <v>3095</v>
      </c>
      <c r="W780" t="str">
        <f>IFERROR(VLOOKUP(ROWS($W$3:W780),$U$3:$V$992,2,0),"")</f>
        <v>Pronájem a leasing ostatních strojů, zařízení a výrobků j. n.</v>
      </c>
      <c r="X780">
        <f>IF(ISNUMBER(SEARCH('1Př1'!$A$37,N780)),MAX($M$2:M779)+1,0)</f>
        <v>778</v>
      </c>
      <c r="Y780" s="419" t="s">
        <v>3095</v>
      </c>
      <c r="Z780" t="str">
        <f>IFERROR(VLOOKUP(ROWS($Z$3:Z780),$X$3:$Y$992,2,0),"")</f>
        <v>Pronájem a leasing ostatních strojů, zařízení a výrobků j. n.</v>
      </c>
    </row>
    <row r="781" spans="13:26" ht="12.75">
      <c r="M781" s="418">
        <f>IF(ISNUMBER(SEARCH(ZAKL_DATA!$B$29,N781)),MAX($M$2:M780)+1,0)</f>
        <v>779</v>
      </c>
      <c r="N781" s="419" t="s">
        <v>3097</v>
      </c>
      <c r="O781" s="436" t="s">
        <v>3098</v>
      </c>
      <c r="P781" s="421"/>
      <c r="Q781" s="422" t="str">
        <f>IFERROR(VLOOKUP(ROWS($Q$3:Q781),$M$3:$N$992,2,0),"")</f>
        <v>Činnosti cestovních agentur</v>
      </c>
      <c r="R781">
        <f>IF(ISNUMBER(SEARCH('1Př1'!$A$35,N781)),MAX($M$2:M780)+1,0)</f>
        <v>779</v>
      </c>
      <c r="S781" s="419" t="s">
        <v>3097</v>
      </c>
      <c r="T781" t="str">
        <f>IFERROR(VLOOKUP(ROWS($T$3:T781),$R$3:$S$992,2,0),"")</f>
        <v>Činnosti cestovních agentur</v>
      </c>
      <c r="U781">
        <f>IF(ISNUMBER(SEARCH('1Př1'!$A$36,N781)),MAX($M$2:M780)+1,0)</f>
        <v>779</v>
      </c>
      <c r="V781" s="419" t="s">
        <v>3097</v>
      </c>
      <c r="W781" t="str">
        <f>IFERROR(VLOOKUP(ROWS($W$3:W781),$U$3:$V$992,2,0),"")</f>
        <v>Činnosti cestovních agentur</v>
      </c>
      <c r="X781">
        <f>IF(ISNUMBER(SEARCH('1Př1'!$A$37,N781)),MAX($M$2:M780)+1,0)</f>
        <v>779</v>
      </c>
      <c r="Y781" s="419" t="s">
        <v>3097</v>
      </c>
      <c r="Z781" t="str">
        <f>IFERROR(VLOOKUP(ROWS($Z$3:Z781),$X$3:$Y$992,2,0),"")</f>
        <v>Činnosti cestovních agentur</v>
      </c>
    </row>
    <row r="782" spans="13:26" ht="12.75">
      <c r="M782" s="418">
        <f>IF(ISNUMBER(SEARCH(ZAKL_DATA!$B$29,N782)),MAX($M$2:M781)+1,0)</f>
        <v>780</v>
      </c>
      <c r="N782" s="419" t="s">
        <v>3099</v>
      </c>
      <c r="O782" s="436" t="s">
        <v>3100</v>
      </c>
      <c r="P782" s="421"/>
      <c r="Q782" s="422" t="str">
        <f>IFERROR(VLOOKUP(ROWS($Q$3:Q782),$M$3:$N$992,2,0),"")</f>
        <v>Činnosti cestovních kanceláří</v>
      </c>
      <c r="R782">
        <f>IF(ISNUMBER(SEARCH('1Př1'!$A$35,N782)),MAX($M$2:M781)+1,0)</f>
        <v>780</v>
      </c>
      <c r="S782" s="419" t="s">
        <v>3099</v>
      </c>
      <c r="T782" t="str">
        <f>IFERROR(VLOOKUP(ROWS($T$3:T782),$R$3:$S$992,2,0),"")</f>
        <v>Činnosti cestovních kanceláří</v>
      </c>
      <c r="U782">
        <f>IF(ISNUMBER(SEARCH('1Př1'!$A$36,N782)),MAX($M$2:M781)+1,0)</f>
        <v>780</v>
      </c>
      <c r="V782" s="419" t="s">
        <v>3099</v>
      </c>
      <c r="W782" t="str">
        <f>IFERROR(VLOOKUP(ROWS($W$3:W782),$U$3:$V$992,2,0),"")</f>
        <v>Činnosti cestovních kanceláří</v>
      </c>
      <c r="X782">
        <f>IF(ISNUMBER(SEARCH('1Př1'!$A$37,N782)),MAX($M$2:M781)+1,0)</f>
        <v>780</v>
      </c>
      <c r="Y782" s="419" t="s">
        <v>3099</v>
      </c>
      <c r="Z782" t="str">
        <f>IFERROR(VLOOKUP(ROWS($Z$3:Z782),$X$3:$Y$992,2,0),"")</f>
        <v>Činnosti cestovních kanceláří</v>
      </c>
    </row>
    <row r="783" spans="13:26" ht="12.75">
      <c r="M783" s="418">
        <f>IF(ISNUMBER(SEARCH(ZAKL_DATA!$B$29,N783)),MAX($M$2:M782)+1,0)</f>
        <v>781</v>
      </c>
      <c r="N783" s="419" t="s">
        <v>3101</v>
      </c>
      <c r="O783" s="436" t="s">
        <v>3102</v>
      </c>
      <c r="P783" s="421"/>
      <c r="Q783" s="422" t="str">
        <f>IFERROR(VLOOKUP(ROWS($Q$3:Q783),$M$3:$N$992,2,0),"")</f>
        <v>Všeobecný úklid budov</v>
      </c>
      <c r="R783">
        <f>IF(ISNUMBER(SEARCH('1Př1'!$A$35,N783)),MAX($M$2:M782)+1,0)</f>
        <v>781</v>
      </c>
      <c r="S783" s="419" t="s">
        <v>3101</v>
      </c>
      <c r="T783" t="str">
        <f>IFERROR(VLOOKUP(ROWS($T$3:T783),$R$3:$S$992,2,0),"")</f>
        <v>Všeobecný úklid budov</v>
      </c>
      <c r="U783">
        <f>IF(ISNUMBER(SEARCH('1Př1'!$A$36,N783)),MAX($M$2:M782)+1,0)</f>
        <v>781</v>
      </c>
      <c r="V783" s="419" t="s">
        <v>3101</v>
      </c>
      <c r="W783" t="str">
        <f>IFERROR(VLOOKUP(ROWS($W$3:W783),$U$3:$V$992,2,0),"")</f>
        <v>Všeobecný úklid budov</v>
      </c>
      <c r="X783">
        <f>IF(ISNUMBER(SEARCH('1Př1'!$A$37,N783)),MAX($M$2:M782)+1,0)</f>
        <v>781</v>
      </c>
      <c r="Y783" s="419" t="s">
        <v>3101</v>
      </c>
      <c r="Z783" t="str">
        <f>IFERROR(VLOOKUP(ROWS($Z$3:Z783),$X$3:$Y$992,2,0),"")</f>
        <v>Všeobecný úklid budov</v>
      </c>
    </row>
    <row r="784" spans="13:26" ht="12.75">
      <c r="M784" s="418">
        <f>IF(ISNUMBER(SEARCH(ZAKL_DATA!$B$29,N784)),MAX($M$2:M783)+1,0)</f>
        <v>782</v>
      </c>
      <c r="N784" s="419" t="s">
        <v>3103</v>
      </c>
      <c r="O784" s="436" t="s">
        <v>3104</v>
      </c>
      <c r="P784" s="421"/>
      <c r="Q784" s="422" t="str">
        <f>IFERROR(VLOOKUP(ROWS($Q$3:Q784),$M$3:$N$992,2,0),"")</f>
        <v>Specializované čištění a úklid budov a průmyslových zařízení</v>
      </c>
      <c r="R784">
        <f>IF(ISNUMBER(SEARCH('1Př1'!$A$35,N784)),MAX($M$2:M783)+1,0)</f>
        <v>782</v>
      </c>
      <c r="S784" s="419" t="s">
        <v>3103</v>
      </c>
      <c r="T784" t="str">
        <f>IFERROR(VLOOKUP(ROWS($T$3:T784),$R$3:$S$992,2,0),"")</f>
        <v>Specializované čištění a úklid budov a průmyslových zařízení</v>
      </c>
      <c r="U784">
        <f>IF(ISNUMBER(SEARCH('1Př1'!$A$36,N784)),MAX($M$2:M783)+1,0)</f>
        <v>782</v>
      </c>
      <c r="V784" s="419" t="s">
        <v>3103</v>
      </c>
      <c r="W784" t="str">
        <f>IFERROR(VLOOKUP(ROWS($W$3:W784),$U$3:$V$992,2,0),"")</f>
        <v>Specializované čištění a úklid budov a průmyslových zařízení</v>
      </c>
      <c r="X784">
        <f>IF(ISNUMBER(SEARCH('1Př1'!$A$37,N784)),MAX($M$2:M783)+1,0)</f>
        <v>782</v>
      </c>
      <c r="Y784" s="419" t="s">
        <v>3103</v>
      </c>
      <c r="Z784" t="str">
        <f>IFERROR(VLOOKUP(ROWS($Z$3:Z784),$X$3:$Y$992,2,0),"")</f>
        <v>Specializované čištění a úklid budov a průmyslových zařízení</v>
      </c>
    </row>
    <row r="785" spans="13:26" ht="12.75">
      <c r="M785" s="418">
        <f>IF(ISNUMBER(SEARCH(ZAKL_DATA!$B$29,N785)),MAX($M$2:M784)+1,0)</f>
        <v>783</v>
      </c>
      <c r="N785" s="419" t="s">
        <v>3105</v>
      </c>
      <c r="O785" s="436" t="s">
        <v>3106</v>
      </c>
      <c r="P785" s="421"/>
      <c r="Q785" s="422" t="str">
        <f>IFERROR(VLOOKUP(ROWS($Q$3:Q785),$M$3:$N$992,2,0),"")</f>
        <v>Ostatní úklidové činnosti</v>
      </c>
      <c r="R785">
        <f>IF(ISNUMBER(SEARCH('1Př1'!$A$35,N785)),MAX($M$2:M784)+1,0)</f>
        <v>783</v>
      </c>
      <c r="S785" s="419" t="s">
        <v>3105</v>
      </c>
      <c r="T785" t="str">
        <f>IFERROR(VLOOKUP(ROWS($T$3:T785),$R$3:$S$992,2,0),"")</f>
        <v>Ostatní úklidové činnosti</v>
      </c>
      <c r="U785">
        <f>IF(ISNUMBER(SEARCH('1Př1'!$A$36,N785)),MAX($M$2:M784)+1,0)</f>
        <v>783</v>
      </c>
      <c r="V785" s="419" t="s">
        <v>3105</v>
      </c>
      <c r="W785" t="str">
        <f>IFERROR(VLOOKUP(ROWS($W$3:W785),$U$3:$V$992,2,0),"")</f>
        <v>Ostatní úklidové činnosti</v>
      </c>
      <c r="X785">
        <f>IF(ISNUMBER(SEARCH('1Př1'!$A$37,N785)),MAX($M$2:M784)+1,0)</f>
        <v>783</v>
      </c>
      <c r="Y785" s="419" t="s">
        <v>3105</v>
      </c>
      <c r="Z785" t="str">
        <f>IFERROR(VLOOKUP(ROWS($Z$3:Z785),$X$3:$Y$992,2,0),"")</f>
        <v>Ostatní úklidové činnosti</v>
      </c>
    </row>
    <row r="786" spans="13:26" ht="12.75">
      <c r="M786" s="418">
        <f>IF(ISNUMBER(SEARCH(ZAKL_DATA!$B$29,N786)),MAX($M$2:M785)+1,0)</f>
        <v>784</v>
      </c>
      <c r="N786" s="419" t="s">
        <v>3107</v>
      </c>
      <c r="O786" s="436" t="s">
        <v>3108</v>
      </c>
      <c r="P786" s="421"/>
      <c r="Q786" s="422" t="str">
        <f>IFERROR(VLOOKUP(ROWS($Q$3:Q786),$M$3:$N$992,2,0),"")</f>
        <v>Univerzální administrativní činnosti</v>
      </c>
      <c r="R786">
        <f>IF(ISNUMBER(SEARCH('1Př1'!$A$35,N786)),MAX($M$2:M785)+1,0)</f>
        <v>784</v>
      </c>
      <c r="S786" s="419" t="s">
        <v>3107</v>
      </c>
      <c r="T786" t="str">
        <f>IFERROR(VLOOKUP(ROWS($T$3:T786),$R$3:$S$992,2,0),"")</f>
        <v>Univerzální administrativní činnosti</v>
      </c>
      <c r="U786">
        <f>IF(ISNUMBER(SEARCH('1Př1'!$A$36,N786)),MAX($M$2:M785)+1,0)</f>
        <v>784</v>
      </c>
      <c r="V786" s="419" t="s">
        <v>3107</v>
      </c>
      <c r="W786" t="str">
        <f>IFERROR(VLOOKUP(ROWS($W$3:W786),$U$3:$V$992,2,0),"")</f>
        <v>Univerzální administrativní činnosti</v>
      </c>
      <c r="X786">
        <f>IF(ISNUMBER(SEARCH('1Př1'!$A$37,N786)),MAX($M$2:M785)+1,0)</f>
        <v>784</v>
      </c>
      <c r="Y786" s="419" t="s">
        <v>3107</v>
      </c>
      <c r="Z786" t="str">
        <f>IFERROR(VLOOKUP(ROWS($Z$3:Z786),$X$3:$Y$992,2,0),"")</f>
        <v>Univerzální administrativní činnosti</v>
      </c>
    </row>
    <row r="787" spans="13:26" ht="12.75">
      <c r="M787" s="418">
        <f>IF(ISNUMBER(SEARCH(ZAKL_DATA!$B$29,N787)),MAX($M$2:M786)+1,0)</f>
        <v>785</v>
      </c>
      <c r="N787" s="419" t="s">
        <v>3109</v>
      </c>
      <c r="O787" s="436" t="s">
        <v>3110</v>
      </c>
      <c r="P787" s="421"/>
      <c r="Q787" s="422" t="str">
        <f>IFERROR(VLOOKUP(ROWS($Q$3:Q787),$M$3:$N$992,2,0),"")</f>
        <v>Kopírování,příprava dokumentů a ost.specializ.kancel.podpůrné činnosti</v>
      </c>
      <c r="R787">
        <f>IF(ISNUMBER(SEARCH('1Př1'!$A$35,N787)),MAX($M$2:M786)+1,0)</f>
        <v>785</v>
      </c>
      <c r="S787" s="419" t="s">
        <v>3109</v>
      </c>
      <c r="T787" t="str">
        <f>IFERROR(VLOOKUP(ROWS($T$3:T787),$R$3:$S$992,2,0),"")</f>
        <v>Kopírování,příprava dokumentů a ost.specializ.kancel.podpůrné činnosti</v>
      </c>
      <c r="U787">
        <f>IF(ISNUMBER(SEARCH('1Př1'!$A$36,N787)),MAX($M$2:M786)+1,0)</f>
        <v>785</v>
      </c>
      <c r="V787" s="419" t="s">
        <v>3109</v>
      </c>
      <c r="W787" t="str">
        <f>IFERROR(VLOOKUP(ROWS($W$3:W787),$U$3:$V$992,2,0),"")</f>
        <v>Kopírování,příprava dokumentů a ost.specializ.kancel.podpůrné činnosti</v>
      </c>
      <c r="X787">
        <f>IF(ISNUMBER(SEARCH('1Př1'!$A$37,N787)),MAX($M$2:M786)+1,0)</f>
        <v>785</v>
      </c>
      <c r="Y787" s="419" t="s">
        <v>3109</v>
      </c>
      <c r="Z787" t="str">
        <f>IFERROR(VLOOKUP(ROWS($Z$3:Z787),$X$3:$Y$992,2,0),"")</f>
        <v>Kopírování,příprava dokumentů a ost.specializ.kancel.podpůrné činnosti</v>
      </c>
    </row>
    <row r="788" spans="13:26" ht="12.75">
      <c r="M788" s="418">
        <f>IF(ISNUMBER(SEARCH(ZAKL_DATA!$B$29,N788)),MAX($M$2:M787)+1,0)</f>
        <v>786</v>
      </c>
      <c r="N788" s="419" t="s">
        <v>3111</v>
      </c>
      <c r="O788" s="436" t="s">
        <v>3112</v>
      </c>
      <c r="P788" s="421"/>
      <c r="Q788" s="422" t="str">
        <f>IFERROR(VLOOKUP(ROWS($Q$3:Q788),$M$3:$N$992,2,0),"")</f>
        <v>Inkasní činnosti, ověřování solventnosti zákazníka</v>
      </c>
      <c r="R788">
        <f>IF(ISNUMBER(SEARCH('1Př1'!$A$35,N788)),MAX($M$2:M787)+1,0)</f>
        <v>786</v>
      </c>
      <c r="S788" s="419" t="s">
        <v>3111</v>
      </c>
      <c r="T788" t="str">
        <f>IFERROR(VLOOKUP(ROWS($T$3:T788),$R$3:$S$992,2,0),"")</f>
        <v>Inkasní činnosti, ověřování solventnosti zákazníka</v>
      </c>
      <c r="U788">
        <f>IF(ISNUMBER(SEARCH('1Př1'!$A$36,N788)),MAX($M$2:M787)+1,0)</f>
        <v>786</v>
      </c>
      <c r="V788" s="419" t="s">
        <v>3111</v>
      </c>
      <c r="W788" t="str">
        <f>IFERROR(VLOOKUP(ROWS($W$3:W788),$U$3:$V$992,2,0),"")</f>
        <v>Inkasní činnosti, ověřování solventnosti zákazníka</v>
      </c>
      <c r="X788">
        <f>IF(ISNUMBER(SEARCH('1Př1'!$A$37,N788)),MAX($M$2:M787)+1,0)</f>
        <v>786</v>
      </c>
      <c r="Y788" s="419" t="s">
        <v>3111</v>
      </c>
      <c r="Z788" t="str">
        <f>IFERROR(VLOOKUP(ROWS($Z$3:Z788),$X$3:$Y$992,2,0),"")</f>
        <v>Inkasní činnosti, ověřování solventnosti zákazníka</v>
      </c>
    </row>
    <row r="789" spans="13:26" ht="12.75">
      <c r="M789" s="418">
        <f>IF(ISNUMBER(SEARCH(ZAKL_DATA!$B$29,N789)),MAX($M$2:M788)+1,0)</f>
        <v>787</v>
      </c>
      <c r="N789" s="419" t="s">
        <v>3113</v>
      </c>
      <c r="O789" s="436" t="s">
        <v>3114</v>
      </c>
      <c r="P789" s="421"/>
      <c r="Q789" s="422" t="str">
        <f>IFERROR(VLOOKUP(ROWS($Q$3:Q789),$M$3:$N$992,2,0),"")</f>
        <v>Balicí činnosti</v>
      </c>
      <c r="R789">
        <f>IF(ISNUMBER(SEARCH('1Př1'!$A$35,N789)),MAX($M$2:M788)+1,0)</f>
        <v>787</v>
      </c>
      <c r="S789" s="419" t="s">
        <v>3113</v>
      </c>
      <c r="T789" t="str">
        <f>IFERROR(VLOOKUP(ROWS($T$3:T789),$R$3:$S$992,2,0),"")</f>
        <v>Balicí činnosti</v>
      </c>
      <c r="U789">
        <f>IF(ISNUMBER(SEARCH('1Př1'!$A$36,N789)),MAX($M$2:M788)+1,0)</f>
        <v>787</v>
      </c>
      <c r="V789" s="419" t="s">
        <v>3113</v>
      </c>
      <c r="W789" t="str">
        <f>IFERROR(VLOOKUP(ROWS($W$3:W789),$U$3:$V$992,2,0),"")</f>
        <v>Balicí činnosti</v>
      </c>
      <c r="X789">
        <f>IF(ISNUMBER(SEARCH('1Př1'!$A$37,N789)),MAX($M$2:M788)+1,0)</f>
        <v>787</v>
      </c>
      <c r="Y789" s="419" t="s">
        <v>3113</v>
      </c>
      <c r="Z789" t="str">
        <f>IFERROR(VLOOKUP(ROWS($Z$3:Z789),$X$3:$Y$992,2,0),"")</f>
        <v>Balicí činnosti</v>
      </c>
    </row>
    <row r="790" spans="13:26" ht="12.75">
      <c r="M790" s="418">
        <f>IF(ISNUMBER(SEARCH(ZAKL_DATA!$B$29,N790)),MAX($M$2:M789)+1,0)</f>
        <v>788</v>
      </c>
      <c r="N790" s="419" t="s">
        <v>3115</v>
      </c>
      <c r="O790" s="436" t="s">
        <v>3116</v>
      </c>
      <c r="P790" s="421"/>
      <c r="Q790" s="422" t="str">
        <f>IFERROR(VLOOKUP(ROWS($Q$3:Q790),$M$3:$N$992,2,0),"")</f>
        <v>Ostatní podpůrné činnosti pro podnikání j. n.</v>
      </c>
      <c r="R790">
        <f>IF(ISNUMBER(SEARCH('1Př1'!$A$35,N790)),MAX($M$2:M789)+1,0)</f>
        <v>788</v>
      </c>
      <c r="S790" s="419" t="s">
        <v>3115</v>
      </c>
      <c r="T790" t="str">
        <f>IFERROR(VLOOKUP(ROWS($T$3:T790),$R$3:$S$992,2,0),"")</f>
        <v>Ostatní podpůrné činnosti pro podnikání j. n.</v>
      </c>
      <c r="U790">
        <f>IF(ISNUMBER(SEARCH('1Př1'!$A$36,N790)),MAX($M$2:M789)+1,0)</f>
        <v>788</v>
      </c>
      <c r="V790" s="419" t="s">
        <v>3115</v>
      </c>
      <c r="W790" t="str">
        <f>IFERROR(VLOOKUP(ROWS($W$3:W790),$U$3:$V$992,2,0),"")</f>
        <v>Ostatní podpůrné činnosti pro podnikání j. n.</v>
      </c>
      <c r="X790">
        <f>IF(ISNUMBER(SEARCH('1Př1'!$A$37,N790)),MAX($M$2:M789)+1,0)</f>
        <v>788</v>
      </c>
      <c r="Y790" s="419" t="s">
        <v>3115</v>
      </c>
      <c r="Z790" t="str">
        <f>IFERROR(VLOOKUP(ROWS($Z$3:Z790),$X$3:$Y$992,2,0),"")</f>
        <v>Ostatní podpůrné činnosti pro podnikání j. n.</v>
      </c>
    </row>
    <row r="791" spans="13:26" ht="12.75">
      <c r="M791" s="418">
        <f>IF(ISNUMBER(SEARCH(ZAKL_DATA!$B$29,N791)),MAX($M$2:M790)+1,0)</f>
        <v>789</v>
      </c>
      <c r="N791" s="419" t="s">
        <v>3117</v>
      </c>
      <c r="O791" s="436" t="s">
        <v>3118</v>
      </c>
      <c r="P791" s="421"/>
      <c r="Q791" s="422" t="str">
        <f>IFERROR(VLOOKUP(ROWS($Q$3:Q791),$M$3:$N$992,2,0),"")</f>
        <v>Všeobecné činnosti veřejné správy</v>
      </c>
      <c r="R791">
        <f>IF(ISNUMBER(SEARCH('1Př1'!$A$35,N791)),MAX($M$2:M790)+1,0)</f>
        <v>789</v>
      </c>
      <c r="S791" s="419" t="s">
        <v>3117</v>
      </c>
      <c r="T791" t="str">
        <f>IFERROR(VLOOKUP(ROWS($T$3:T791),$R$3:$S$992,2,0),"")</f>
        <v>Všeobecné činnosti veřejné správy</v>
      </c>
      <c r="U791">
        <f>IF(ISNUMBER(SEARCH('1Př1'!$A$36,N791)),MAX($M$2:M790)+1,0)</f>
        <v>789</v>
      </c>
      <c r="V791" s="419" t="s">
        <v>3117</v>
      </c>
      <c r="W791" t="str">
        <f>IFERROR(VLOOKUP(ROWS($W$3:W791),$U$3:$V$992,2,0),"")</f>
        <v>Všeobecné činnosti veřejné správy</v>
      </c>
      <c r="X791">
        <f>IF(ISNUMBER(SEARCH('1Př1'!$A$37,N791)),MAX($M$2:M790)+1,0)</f>
        <v>789</v>
      </c>
      <c r="Y791" s="419" t="s">
        <v>3117</v>
      </c>
      <c r="Z791" t="str">
        <f>IFERROR(VLOOKUP(ROWS($Z$3:Z791),$X$3:$Y$992,2,0),"")</f>
        <v>Všeobecné činnosti veřejné správy</v>
      </c>
    </row>
    <row r="792" spans="13:26" ht="12.75">
      <c r="M792" s="418">
        <f>IF(ISNUMBER(SEARCH(ZAKL_DATA!$B$29,N792)),MAX($M$2:M791)+1,0)</f>
        <v>790</v>
      </c>
      <c r="N792" s="419" t="s">
        <v>3119</v>
      </c>
      <c r="O792" s="436" t="s">
        <v>3120</v>
      </c>
      <c r="P792" s="421"/>
      <c r="Q792" s="422" t="str">
        <f>IFERROR(VLOOKUP(ROWS($Q$3:Q792),$M$3:$N$992,2,0),"")</f>
        <v>Regul.čin.souvis.s poskyt.zdr.péče,vzděl.,kulturou a soc.péčí,kromě soc.z.</v>
      </c>
      <c r="R792">
        <f>IF(ISNUMBER(SEARCH('1Př1'!$A$35,N792)),MAX($M$2:M791)+1,0)</f>
        <v>790</v>
      </c>
      <c r="S792" s="419" t="s">
        <v>3119</v>
      </c>
      <c r="T792" t="str">
        <f>IFERROR(VLOOKUP(ROWS($T$3:T792),$R$3:$S$992,2,0),"")</f>
        <v>Regul.čin.souvis.s poskyt.zdr.péče,vzděl.,kulturou a soc.péčí,kromě soc.z.</v>
      </c>
      <c r="U792">
        <f>IF(ISNUMBER(SEARCH('1Př1'!$A$36,N792)),MAX($M$2:M791)+1,0)</f>
        <v>790</v>
      </c>
      <c r="V792" s="419" t="s">
        <v>3119</v>
      </c>
      <c r="W792" t="str">
        <f>IFERROR(VLOOKUP(ROWS($W$3:W792),$U$3:$V$992,2,0),"")</f>
        <v>Regul.čin.souvis.s poskyt.zdr.péče,vzděl.,kulturou a soc.péčí,kromě soc.z.</v>
      </c>
      <c r="X792">
        <f>IF(ISNUMBER(SEARCH('1Př1'!$A$37,N792)),MAX($M$2:M791)+1,0)</f>
        <v>790</v>
      </c>
      <c r="Y792" s="419" t="s">
        <v>3119</v>
      </c>
      <c r="Z792" t="str">
        <f>IFERROR(VLOOKUP(ROWS($Z$3:Z792),$X$3:$Y$992,2,0),"")</f>
        <v>Regul.čin.souvis.s poskyt.zdr.péče,vzděl.,kulturou a soc.péčí,kromě soc.z.</v>
      </c>
    </row>
    <row r="793" spans="13:26" ht="12.75">
      <c r="M793" s="418">
        <f>IF(ISNUMBER(SEARCH(ZAKL_DATA!$B$29,N793)),MAX($M$2:M792)+1,0)</f>
        <v>791</v>
      </c>
      <c r="N793" s="419" t="s">
        <v>3121</v>
      </c>
      <c r="O793" s="436" t="s">
        <v>3122</v>
      </c>
      <c r="P793" s="421"/>
      <c r="Q793" s="422" t="str">
        <f>IFERROR(VLOOKUP(ROWS($Q$3:Q793),$M$3:$N$992,2,0),"")</f>
        <v>Regulace a podpora podnikatelského prostředí</v>
      </c>
      <c r="R793">
        <f>IF(ISNUMBER(SEARCH('1Př1'!$A$35,N793)),MAX($M$2:M792)+1,0)</f>
        <v>791</v>
      </c>
      <c r="S793" s="419" t="s">
        <v>3121</v>
      </c>
      <c r="T793" t="str">
        <f>IFERROR(VLOOKUP(ROWS($T$3:T793),$R$3:$S$992,2,0),"")</f>
        <v>Regulace a podpora podnikatelského prostředí</v>
      </c>
      <c r="U793">
        <f>IF(ISNUMBER(SEARCH('1Př1'!$A$36,N793)),MAX($M$2:M792)+1,0)</f>
        <v>791</v>
      </c>
      <c r="V793" s="419" t="s">
        <v>3121</v>
      </c>
      <c r="W793" t="str">
        <f>IFERROR(VLOOKUP(ROWS($W$3:W793),$U$3:$V$992,2,0),"")</f>
        <v>Regulace a podpora podnikatelského prostředí</v>
      </c>
      <c r="X793">
        <f>IF(ISNUMBER(SEARCH('1Př1'!$A$37,N793)),MAX($M$2:M792)+1,0)</f>
        <v>791</v>
      </c>
      <c r="Y793" s="419" t="s">
        <v>3121</v>
      </c>
      <c r="Z793" t="str">
        <f>IFERROR(VLOOKUP(ROWS($Z$3:Z793),$X$3:$Y$992,2,0),"")</f>
        <v>Regulace a podpora podnikatelského prostředí</v>
      </c>
    </row>
    <row r="794" spans="13:26" ht="12.75">
      <c r="M794" s="418">
        <f>IF(ISNUMBER(SEARCH(ZAKL_DATA!$B$29,N794)),MAX($M$2:M793)+1,0)</f>
        <v>792</v>
      </c>
      <c r="N794" s="419" t="s">
        <v>3123</v>
      </c>
      <c r="O794" s="436" t="s">
        <v>3124</v>
      </c>
      <c r="P794" s="421"/>
      <c r="Q794" s="422" t="str">
        <f>IFERROR(VLOOKUP(ROWS($Q$3:Q794),$M$3:$N$992,2,0),"")</f>
        <v>Činnosti v oblasti zahraničních věcí</v>
      </c>
      <c r="R794">
        <f>IF(ISNUMBER(SEARCH('1Př1'!$A$35,N794)),MAX($M$2:M793)+1,0)</f>
        <v>792</v>
      </c>
      <c r="S794" s="419" t="s">
        <v>3123</v>
      </c>
      <c r="T794" t="str">
        <f>IFERROR(VLOOKUP(ROWS($T$3:T794),$R$3:$S$992,2,0),"")</f>
        <v>Činnosti v oblasti zahraničních věcí</v>
      </c>
      <c r="U794">
        <f>IF(ISNUMBER(SEARCH('1Př1'!$A$36,N794)),MAX($M$2:M793)+1,0)</f>
        <v>792</v>
      </c>
      <c r="V794" s="419" t="s">
        <v>3123</v>
      </c>
      <c r="W794" t="str">
        <f>IFERROR(VLOOKUP(ROWS($W$3:W794),$U$3:$V$992,2,0),"")</f>
        <v>Činnosti v oblasti zahraničních věcí</v>
      </c>
      <c r="X794">
        <f>IF(ISNUMBER(SEARCH('1Př1'!$A$37,N794)),MAX($M$2:M793)+1,0)</f>
        <v>792</v>
      </c>
      <c r="Y794" s="419" t="s">
        <v>3123</v>
      </c>
      <c r="Z794" t="str">
        <f>IFERROR(VLOOKUP(ROWS($Z$3:Z794),$X$3:$Y$992,2,0),"")</f>
        <v>Činnosti v oblasti zahraničních věcí</v>
      </c>
    </row>
    <row r="795" spans="13:26" ht="12.75">
      <c r="M795" s="418">
        <f>IF(ISNUMBER(SEARCH(ZAKL_DATA!$B$29,N795)),MAX($M$2:M794)+1,0)</f>
        <v>793</v>
      </c>
      <c r="N795" s="419" t="s">
        <v>3125</v>
      </c>
      <c r="O795" s="436" t="s">
        <v>3126</v>
      </c>
      <c r="P795" s="421"/>
      <c r="Q795" s="422" t="str">
        <f>IFERROR(VLOOKUP(ROWS($Q$3:Q795),$M$3:$N$992,2,0),"")</f>
        <v>Činnosti v oblasti obrany</v>
      </c>
      <c r="R795">
        <f>IF(ISNUMBER(SEARCH('1Př1'!$A$35,N795)),MAX($M$2:M794)+1,0)</f>
        <v>793</v>
      </c>
      <c r="S795" s="419" t="s">
        <v>3125</v>
      </c>
      <c r="T795" t="str">
        <f>IFERROR(VLOOKUP(ROWS($T$3:T795),$R$3:$S$992,2,0),"")</f>
        <v>Činnosti v oblasti obrany</v>
      </c>
      <c r="U795">
        <f>IF(ISNUMBER(SEARCH('1Př1'!$A$36,N795)),MAX($M$2:M794)+1,0)</f>
        <v>793</v>
      </c>
      <c r="V795" s="419" t="s">
        <v>3125</v>
      </c>
      <c r="W795" t="str">
        <f>IFERROR(VLOOKUP(ROWS($W$3:W795),$U$3:$V$992,2,0),"")</f>
        <v>Činnosti v oblasti obrany</v>
      </c>
      <c r="X795">
        <f>IF(ISNUMBER(SEARCH('1Př1'!$A$37,N795)),MAX($M$2:M794)+1,0)</f>
        <v>793</v>
      </c>
      <c r="Y795" s="419" t="s">
        <v>3125</v>
      </c>
      <c r="Z795" t="str">
        <f>IFERROR(VLOOKUP(ROWS($Z$3:Z795),$X$3:$Y$992,2,0),"")</f>
        <v>Činnosti v oblasti obrany</v>
      </c>
    </row>
    <row r="796" spans="13:26" ht="12.75">
      <c r="M796" s="418">
        <f>IF(ISNUMBER(SEARCH(ZAKL_DATA!$B$29,N796)),MAX($M$2:M795)+1,0)</f>
        <v>794</v>
      </c>
      <c r="N796" s="419" t="s">
        <v>3127</v>
      </c>
      <c r="O796" s="436" t="s">
        <v>3128</v>
      </c>
      <c r="P796" s="421"/>
      <c r="Q796" s="422" t="str">
        <f>IFERROR(VLOOKUP(ROWS($Q$3:Q796),$M$3:$N$992,2,0),"")</f>
        <v>Činnosti v oblasti spravedlnosti a soudnictví</v>
      </c>
      <c r="R796">
        <f>IF(ISNUMBER(SEARCH('1Př1'!$A$35,N796)),MAX($M$2:M795)+1,0)</f>
        <v>794</v>
      </c>
      <c r="S796" s="419" t="s">
        <v>3127</v>
      </c>
      <c r="T796" t="str">
        <f>IFERROR(VLOOKUP(ROWS($T$3:T796),$R$3:$S$992,2,0),"")</f>
        <v>Činnosti v oblasti spravedlnosti a soudnictví</v>
      </c>
      <c r="U796">
        <f>IF(ISNUMBER(SEARCH('1Př1'!$A$36,N796)),MAX($M$2:M795)+1,0)</f>
        <v>794</v>
      </c>
      <c r="V796" s="419" t="s">
        <v>3127</v>
      </c>
      <c r="W796" t="str">
        <f>IFERROR(VLOOKUP(ROWS($W$3:W796),$U$3:$V$992,2,0),"")</f>
        <v>Činnosti v oblasti spravedlnosti a soudnictví</v>
      </c>
      <c r="X796">
        <f>IF(ISNUMBER(SEARCH('1Př1'!$A$37,N796)),MAX($M$2:M795)+1,0)</f>
        <v>794</v>
      </c>
      <c r="Y796" s="419" t="s">
        <v>3127</v>
      </c>
      <c r="Z796" t="str">
        <f>IFERROR(VLOOKUP(ROWS($Z$3:Z796),$X$3:$Y$992,2,0),"")</f>
        <v>Činnosti v oblasti spravedlnosti a soudnictví</v>
      </c>
    </row>
    <row r="797" spans="13:26" ht="12.75">
      <c r="M797" s="418">
        <f>IF(ISNUMBER(SEARCH(ZAKL_DATA!$B$29,N797)),MAX($M$2:M796)+1,0)</f>
        <v>795</v>
      </c>
      <c r="N797" s="419" t="s">
        <v>3129</v>
      </c>
      <c r="O797" s="436" t="s">
        <v>3130</v>
      </c>
      <c r="P797" s="421"/>
      <c r="Q797" s="422" t="str">
        <f>IFERROR(VLOOKUP(ROWS($Q$3:Q797),$M$3:$N$992,2,0),"")</f>
        <v>Činnosti v oblasti veřejného pořádku a bezpečnosti</v>
      </c>
      <c r="R797">
        <f>IF(ISNUMBER(SEARCH('1Př1'!$A$35,N797)),MAX($M$2:M796)+1,0)</f>
        <v>795</v>
      </c>
      <c r="S797" s="419" t="s">
        <v>3129</v>
      </c>
      <c r="T797" t="str">
        <f>IFERROR(VLOOKUP(ROWS($T$3:T797),$R$3:$S$992,2,0),"")</f>
        <v>Činnosti v oblasti veřejného pořádku a bezpečnosti</v>
      </c>
      <c r="U797">
        <f>IF(ISNUMBER(SEARCH('1Př1'!$A$36,N797)),MAX($M$2:M796)+1,0)</f>
        <v>795</v>
      </c>
      <c r="V797" s="419" t="s">
        <v>3129</v>
      </c>
      <c r="W797" t="str">
        <f>IFERROR(VLOOKUP(ROWS($W$3:W797),$U$3:$V$992,2,0),"")</f>
        <v>Činnosti v oblasti veřejného pořádku a bezpečnosti</v>
      </c>
      <c r="X797">
        <f>IF(ISNUMBER(SEARCH('1Př1'!$A$37,N797)),MAX($M$2:M796)+1,0)</f>
        <v>795</v>
      </c>
      <c r="Y797" s="419" t="s">
        <v>3129</v>
      </c>
      <c r="Z797" t="str">
        <f>IFERROR(VLOOKUP(ROWS($Z$3:Z797),$X$3:$Y$992,2,0),"")</f>
        <v>Činnosti v oblasti veřejného pořádku a bezpečnosti</v>
      </c>
    </row>
    <row r="798" spans="13:26" ht="12.75">
      <c r="M798" s="418">
        <f>IF(ISNUMBER(SEARCH(ZAKL_DATA!$B$29,N798)),MAX($M$2:M797)+1,0)</f>
        <v>796</v>
      </c>
      <c r="N798" s="419" t="s">
        <v>3131</v>
      </c>
      <c r="O798" s="436" t="s">
        <v>3132</v>
      </c>
      <c r="P798" s="421"/>
      <c r="Q798" s="422" t="str">
        <f>IFERROR(VLOOKUP(ROWS($Q$3:Q798),$M$3:$N$992,2,0),"")</f>
        <v>Činnosti v oblasti protipožární ochrany</v>
      </c>
      <c r="R798">
        <f>IF(ISNUMBER(SEARCH('1Př1'!$A$35,N798)),MAX($M$2:M797)+1,0)</f>
        <v>796</v>
      </c>
      <c r="S798" s="419" t="s">
        <v>3131</v>
      </c>
      <c r="T798" t="str">
        <f>IFERROR(VLOOKUP(ROWS($T$3:T798),$R$3:$S$992,2,0),"")</f>
        <v>Činnosti v oblasti protipožární ochrany</v>
      </c>
      <c r="U798">
        <f>IF(ISNUMBER(SEARCH('1Př1'!$A$36,N798)),MAX($M$2:M797)+1,0)</f>
        <v>796</v>
      </c>
      <c r="V798" s="419" t="s">
        <v>3131</v>
      </c>
      <c r="W798" t="str">
        <f>IFERROR(VLOOKUP(ROWS($W$3:W798),$U$3:$V$992,2,0),"")</f>
        <v>Činnosti v oblasti protipožární ochrany</v>
      </c>
      <c r="X798">
        <f>IF(ISNUMBER(SEARCH('1Př1'!$A$37,N798)),MAX($M$2:M797)+1,0)</f>
        <v>796</v>
      </c>
      <c r="Y798" s="419" t="s">
        <v>3131</v>
      </c>
      <c r="Z798" t="str">
        <f>IFERROR(VLOOKUP(ROWS($Z$3:Z798),$X$3:$Y$992,2,0),"")</f>
        <v>Činnosti v oblasti protipožární ochrany</v>
      </c>
    </row>
    <row r="799" spans="13:26" ht="12.75">
      <c r="M799" s="418">
        <f>IF(ISNUMBER(SEARCH(ZAKL_DATA!$B$29,N799)),MAX($M$2:M798)+1,0)</f>
        <v>797</v>
      </c>
      <c r="N799" s="419" t="s">
        <v>3133</v>
      </c>
      <c r="O799" s="436" t="s">
        <v>3134</v>
      </c>
      <c r="P799" s="421"/>
      <c r="Q799" s="422" t="str">
        <f>IFERROR(VLOOKUP(ROWS($Q$3:Q799),$M$3:$N$992,2,0),"")</f>
        <v>Sekundární všeobecné vzdělávání</v>
      </c>
      <c r="R799">
        <f>IF(ISNUMBER(SEARCH('1Př1'!$A$35,N799)),MAX($M$2:M798)+1,0)</f>
        <v>797</v>
      </c>
      <c r="S799" s="419" t="s">
        <v>3133</v>
      </c>
      <c r="T799" t="str">
        <f>IFERROR(VLOOKUP(ROWS($T$3:T799),$R$3:$S$992,2,0),"")</f>
        <v>Sekundární všeobecné vzdělávání</v>
      </c>
      <c r="U799">
        <f>IF(ISNUMBER(SEARCH('1Př1'!$A$36,N799)),MAX($M$2:M798)+1,0)</f>
        <v>797</v>
      </c>
      <c r="V799" s="419" t="s">
        <v>3133</v>
      </c>
      <c r="W799" t="str">
        <f>IFERROR(VLOOKUP(ROWS($W$3:W799),$U$3:$V$992,2,0),"")</f>
        <v>Sekundární všeobecné vzdělávání</v>
      </c>
      <c r="X799">
        <f>IF(ISNUMBER(SEARCH('1Př1'!$A$37,N799)),MAX($M$2:M798)+1,0)</f>
        <v>797</v>
      </c>
      <c r="Y799" s="419" t="s">
        <v>3133</v>
      </c>
      <c r="Z799" t="str">
        <f>IFERROR(VLOOKUP(ROWS($Z$3:Z799),$X$3:$Y$992,2,0),"")</f>
        <v>Sekundární všeobecné vzdělávání</v>
      </c>
    </row>
    <row r="800" spans="13:26" ht="12.75">
      <c r="M800" s="418">
        <f>IF(ISNUMBER(SEARCH(ZAKL_DATA!$B$29,N800)),MAX($M$2:M799)+1,0)</f>
        <v>798</v>
      </c>
      <c r="N800" s="419" t="s">
        <v>3135</v>
      </c>
      <c r="O800" s="436" t="s">
        <v>3136</v>
      </c>
      <c r="P800" s="421"/>
      <c r="Q800" s="422" t="str">
        <f>IFERROR(VLOOKUP(ROWS($Q$3:Q800),$M$3:$N$992,2,0),"")</f>
        <v>Sekundární odborné vzdělávání</v>
      </c>
      <c r="R800">
        <f>IF(ISNUMBER(SEARCH('1Př1'!$A$35,N800)),MAX($M$2:M799)+1,0)</f>
        <v>798</v>
      </c>
      <c r="S800" s="419" t="s">
        <v>3135</v>
      </c>
      <c r="T800" t="str">
        <f>IFERROR(VLOOKUP(ROWS($T$3:T800),$R$3:$S$992,2,0),"")</f>
        <v>Sekundární odborné vzdělávání</v>
      </c>
      <c r="U800">
        <f>IF(ISNUMBER(SEARCH('1Př1'!$A$36,N800)),MAX($M$2:M799)+1,0)</f>
        <v>798</v>
      </c>
      <c r="V800" s="419" t="s">
        <v>3135</v>
      </c>
      <c r="W800" t="str">
        <f>IFERROR(VLOOKUP(ROWS($W$3:W800),$U$3:$V$992,2,0),"")</f>
        <v>Sekundární odborné vzdělávání</v>
      </c>
      <c r="X800">
        <f>IF(ISNUMBER(SEARCH('1Př1'!$A$37,N800)),MAX($M$2:M799)+1,0)</f>
        <v>798</v>
      </c>
      <c r="Y800" s="419" t="s">
        <v>3135</v>
      </c>
      <c r="Z800" t="str">
        <f>IFERROR(VLOOKUP(ROWS($Z$3:Z800),$X$3:$Y$992,2,0),"")</f>
        <v>Sekundární odborné vzdělávání</v>
      </c>
    </row>
    <row r="801" spans="13:26" ht="12.75">
      <c r="M801" s="418">
        <f>IF(ISNUMBER(SEARCH(ZAKL_DATA!$B$29,N801)),MAX($M$2:M800)+1,0)</f>
        <v>799</v>
      </c>
      <c r="N801" s="419" t="s">
        <v>3137</v>
      </c>
      <c r="O801" s="436" t="s">
        <v>3138</v>
      </c>
      <c r="P801" s="421"/>
      <c r="Q801" s="422" t="str">
        <f>IFERROR(VLOOKUP(ROWS($Q$3:Q801),$M$3:$N$992,2,0),"")</f>
        <v>Postsekundární nikoli terciární vzdělávání</v>
      </c>
      <c r="R801">
        <f>IF(ISNUMBER(SEARCH('1Př1'!$A$35,N801)),MAX($M$2:M800)+1,0)</f>
        <v>799</v>
      </c>
      <c r="S801" s="419" t="s">
        <v>3137</v>
      </c>
      <c r="T801" t="str">
        <f>IFERROR(VLOOKUP(ROWS($T$3:T801),$R$3:$S$992,2,0),"")</f>
        <v>Postsekundární nikoli terciární vzdělávání</v>
      </c>
      <c r="U801">
        <f>IF(ISNUMBER(SEARCH('1Př1'!$A$36,N801)),MAX($M$2:M800)+1,0)</f>
        <v>799</v>
      </c>
      <c r="V801" s="419" t="s">
        <v>3137</v>
      </c>
      <c r="W801" t="str">
        <f>IFERROR(VLOOKUP(ROWS($W$3:W801),$U$3:$V$992,2,0),"")</f>
        <v>Postsekundární nikoli terciární vzdělávání</v>
      </c>
      <c r="X801">
        <f>IF(ISNUMBER(SEARCH('1Př1'!$A$37,N801)),MAX($M$2:M800)+1,0)</f>
        <v>799</v>
      </c>
      <c r="Y801" s="419" t="s">
        <v>3137</v>
      </c>
      <c r="Z801" t="str">
        <f>IFERROR(VLOOKUP(ROWS($Z$3:Z801),$X$3:$Y$992,2,0),"")</f>
        <v>Postsekundární nikoli terciární vzdělávání</v>
      </c>
    </row>
    <row r="802" spans="13:26" ht="12.75">
      <c r="M802" s="418">
        <f>IF(ISNUMBER(SEARCH(ZAKL_DATA!$B$29,N802)),MAX($M$2:M801)+1,0)</f>
        <v>800</v>
      </c>
      <c r="N802" s="419" t="s">
        <v>3139</v>
      </c>
      <c r="O802" s="436" t="s">
        <v>3140</v>
      </c>
      <c r="P802" s="421"/>
      <c r="Q802" s="422" t="str">
        <f>IFERROR(VLOOKUP(ROWS($Q$3:Q802),$M$3:$N$992,2,0),"")</f>
        <v>Terciární vzdělávání</v>
      </c>
      <c r="R802">
        <f>IF(ISNUMBER(SEARCH('1Př1'!$A$35,N802)),MAX($M$2:M801)+1,0)</f>
        <v>800</v>
      </c>
      <c r="S802" s="419" t="s">
        <v>3139</v>
      </c>
      <c r="T802" t="str">
        <f>IFERROR(VLOOKUP(ROWS($T$3:T802),$R$3:$S$992,2,0),"")</f>
        <v>Terciární vzdělávání</v>
      </c>
      <c r="U802">
        <f>IF(ISNUMBER(SEARCH('1Př1'!$A$36,N802)),MAX($M$2:M801)+1,0)</f>
        <v>800</v>
      </c>
      <c r="V802" s="419" t="s">
        <v>3139</v>
      </c>
      <c r="W802" t="str">
        <f>IFERROR(VLOOKUP(ROWS($W$3:W802),$U$3:$V$992,2,0),"")</f>
        <v>Terciární vzdělávání</v>
      </c>
      <c r="X802">
        <f>IF(ISNUMBER(SEARCH('1Př1'!$A$37,N802)),MAX($M$2:M801)+1,0)</f>
        <v>800</v>
      </c>
      <c r="Y802" s="419" t="s">
        <v>3139</v>
      </c>
      <c r="Z802" t="str">
        <f>IFERROR(VLOOKUP(ROWS($Z$3:Z802),$X$3:$Y$992,2,0),"")</f>
        <v>Terciární vzdělávání</v>
      </c>
    </row>
    <row r="803" spans="13:26" ht="12.75">
      <c r="M803" s="418">
        <f>IF(ISNUMBER(SEARCH(ZAKL_DATA!$B$29,N803)),MAX($M$2:M802)+1,0)</f>
        <v>801</v>
      </c>
      <c r="N803" s="419" t="s">
        <v>3141</v>
      </c>
      <c r="O803" s="436" t="s">
        <v>3142</v>
      </c>
      <c r="P803" s="421"/>
      <c r="Q803" s="422" t="str">
        <f>IFERROR(VLOOKUP(ROWS($Q$3:Q803),$M$3:$N$992,2,0),"")</f>
        <v>Sportovní a rekreační vzdělávání</v>
      </c>
      <c r="R803">
        <f>IF(ISNUMBER(SEARCH('1Př1'!$A$35,N803)),MAX($M$2:M802)+1,0)</f>
        <v>801</v>
      </c>
      <c r="S803" s="419" t="s">
        <v>3141</v>
      </c>
      <c r="T803" t="str">
        <f>IFERROR(VLOOKUP(ROWS($T$3:T803),$R$3:$S$992,2,0),"")</f>
        <v>Sportovní a rekreační vzdělávání</v>
      </c>
      <c r="U803">
        <f>IF(ISNUMBER(SEARCH('1Př1'!$A$36,N803)),MAX($M$2:M802)+1,0)</f>
        <v>801</v>
      </c>
      <c r="V803" s="419" t="s">
        <v>3141</v>
      </c>
      <c r="W803" t="str">
        <f>IFERROR(VLOOKUP(ROWS($W$3:W803),$U$3:$V$992,2,0),"")</f>
        <v>Sportovní a rekreační vzdělávání</v>
      </c>
      <c r="X803">
        <f>IF(ISNUMBER(SEARCH('1Př1'!$A$37,N803)),MAX($M$2:M802)+1,0)</f>
        <v>801</v>
      </c>
      <c r="Y803" s="419" t="s">
        <v>3141</v>
      </c>
      <c r="Z803" t="str">
        <f>IFERROR(VLOOKUP(ROWS($Z$3:Z803),$X$3:$Y$992,2,0),"")</f>
        <v>Sportovní a rekreační vzdělávání</v>
      </c>
    </row>
    <row r="804" spans="13:26" ht="12.75">
      <c r="M804" s="418">
        <f>IF(ISNUMBER(SEARCH(ZAKL_DATA!$B$29,N804)),MAX($M$2:M803)+1,0)</f>
        <v>802</v>
      </c>
      <c r="N804" s="419" t="s">
        <v>3143</v>
      </c>
      <c r="O804" s="436" t="s">
        <v>3144</v>
      </c>
      <c r="P804" s="421"/>
      <c r="Q804" s="422" t="str">
        <f>IFERROR(VLOOKUP(ROWS($Q$3:Q804),$M$3:$N$992,2,0),"")</f>
        <v>Umělecké vzdělávání</v>
      </c>
      <c r="R804">
        <f>IF(ISNUMBER(SEARCH('1Př1'!$A$35,N804)),MAX($M$2:M803)+1,0)</f>
        <v>802</v>
      </c>
      <c r="S804" s="419" t="s">
        <v>3143</v>
      </c>
      <c r="T804" t="str">
        <f>IFERROR(VLOOKUP(ROWS($T$3:T804),$R$3:$S$992,2,0),"")</f>
        <v>Umělecké vzdělávání</v>
      </c>
      <c r="U804">
        <f>IF(ISNUMBER(SEARCH('1Př1'!$A$36,N804)),MAX($M$2:M803)+1,0)</f>
        <v>802</v>
      </c>
      <c r="V804" s="419" t="s">
        <v>3143</v>
      </c>
      <c r="W804" t="str">
        <f>IFERROR(VLOOKUP(ROWS($W$3:W804),$U$3:$V$992,2,0),"")</f>
        <v>Umělecké vzdělávání</v>
      </c>
      <c r="X804">
        <f>IF(ISNUMBER(SEARCH('1Př1'!$A$37,N804)),MAX($M$2:M803)+1,0)</f>
        <v>802</v>
      </c>
      <c r="Y804" s="419" t="s">
        <v>3143</v>
      </c>
      <c r="Z804" t="str">
        <f>IFERROR(VLOOKUP(ROWS($Z$3:Z804),$X$3:$Y$992,2,0),"")</f>
        <v>Umělecké vzdělávání</v>
      </c>
    </row>
    <row r="805" spans="13:26" ht="12.75">
      <c r="M805" s="418">
        <f>IF(ISNUMBER(SEARCH(ZAKL_DATA!$B$29,N805)),MAX($M$2:M804)+1,0)</f>
        <v>803</v>
      </c>
      <c r="N805" s="419" t="s">
        <v>3145</v>
      </c>
      <c r="O805" s="436" t="s">
        <v>3146</v>
      </c>
      <c r="P805" s="421"/>
      <c r="Q805" s="422" t="str">
        <f>IFERROR(VLOOKUP(ROWS($Q$3:Q805),$M$3:$N$992,2,0),"")</f>
        <v>Činnosti autoškol a jiných škol řízení</v>
      </c>
      <c r="R805">
        <f>IF(ISNUMBER(SEARCH('1Př1'!$A$35,N805)),MAX($M$2:M804)+1,0)</f>
        <v>803</v>
      </c>
      <c r="S805" s="419" t="s">
        <v>3145</v>
      </c>
      <c r="T805" t="str">
        <f>IFERROR(VLOOKUP(ROWS($T$3:T805),$R$3:$S$992,2,0),"")</f>
        <v>Činnosti autoškol a jiných škol řízení</v>
      </c>
      <c r="U805">
        <f>IF(ISNUMBER(SEARCH('1Př1'!$A$36,N805)),MAX($M$2:M804)+1,0)</f>
        <v>803</v>
      </c>
      <c r="V805" s="419" t="s">
        <v>3145</v>
      </c>
      <c r="W805" t="str">
        <f>IFERROR(VLOOKUP(ROWS($W$3:W805),$U$3:$V$992,2,0),"")</f>
        <v>Činnosti autoškol a jiných škol řízení</v>
      </c>
      <c r="X805">
        <f>IF(ISNUMBER(SEARCH('1Př1'!$A$37,N805)),MAX($M$2:M804)+1,0)</f>
        <v>803</v>
      </c>
      <c r="Y805" s="419" t="s">
        <v>3145</v>
      </c>
      <c r="Z805" t="str">
        <f>IFERROR(VLOOKUP(ROWS($Z$3:Z805),$X$3:$Y$992,2,0),"")</f>
        <v>Činnosti autoškol a jiných škol řízení</v>
      </c>
    </row>
    <row r="806" spans="13:26" ht="12.75">
      <c r="M806" s="418">
        <f>IF(ISNUMBER(SEARCH(ZAKL_DATA!$B$29,N806)),MAX($M$2:M805)+1,0)</f>
        <v>804</v>
      </c>
      <c r="N806" s="419" t="s">
        <v>3147</v>
      </c>
      <c r="O806" s="436" t="s">
        <v>3148</v>
      </c>
      <c r="P806" s="421"/>
      <c r="Q806" s="422" t="str">
        <f>IFERROR(VLOOKUP(ROWS($Q$3:Q806),$M$3:$N$992,2,0),"")</f>
        <v>Ostatní vzdělávání j. n.</v>
      </c>
      <c r="R806">
        <f>IF(ISNUMBER(SEARCH('1Př1'!$A$35,N806)),MAX($M$2:M805)+1,0)</f>
        <v>804</v>
      </c>
      <c r="S806" s="419" t="s">
        <v>3147</v>
      </c>
      <c r="T806" t="str">
        <f>IFERROR(VLOOKUP(ROWS($T$3:T806),$R$3:$S$992,2,0),"")</f>
        <v>Ostatní vzdělávání j. n.</v>
      </c>
      <c r="U806">
        <f>IF(ISNUMBER(SEARCH('1Př1'!$A$36,N806)),MAX($M$2:M805)+1,0)</f>
        <v>804</v>
      </c>
      <c r="V806" s="419" t="s">
        <v>3147</v>
      </c>
      <c r="W806" t="str">
        <f>IFERROR(VLOOKUP(ROWS($W$3:W806),$U$3:$V$992,2,0),"")</f>
        <v>Ostatní vzdělávání j. n.</v>
      </c>
      <c r="X806">
        <f>IF(ISNUMBER(SEARCH('1Př1'!$A$37,N806)),MAX($M$2:M805)+1,0)</f>
        <v>804</v>
      </c>
      <c r="Y806" s="419" t="s">
        <v>3147</v>
      </c>
      <c r="Z806" t="str">
        <f>IFERROR(VLOOKUP(ROWS($Z$3:Z806),$X$3:$Y$992,2,0),"")</f>
        <v>Ostatní vzdělávání j. n.</v>
      </c>
    </row>
    <row r="807" spans="13:26" ht="12.75">
      <c r="M807" s="418">
        <f>IF(ISNUMBER(SEARCH(ZAKL_DATA!$B$29,N807)),MAX($M$2:M806)+1,0)</f>
        <v>805</v>
      </c>
      <c r="N807" s="419" t="s">
        <v>3149</v>
      </c>
      <c r="O807" s="436" t="s">
        <v>3150</v>
      </c>
      <c r="P807" s="421"/>
      <c r="Q807" s="422" t="str">
        <f>IFERROR(VLOOKUP(ROWS($Q$3:Q807),$M$3:$N$992,2,0),"")</f>
        <v>Všeobecná ambulantní zdravotní péče</v>
      </c>
      <c r="R807">
        <f>IF(ISNUMBER(SEARCH('1Př1'!$A$35,N807)),MAX($M$2:M806)+1,0)</f>
        <v>805</v>
      </c>
      <c r="S807" s="419" t="s">
        <v>3149</v>
      </c>
      <c r="T807" t="str">
        <f>IFERROR(VLOOKUP(ROWS($T$3:T807),$R$3:$S$992,2,0),"")</f>
        <v>Všeobecná ambulantní zdravotní péče</v>
      </c>
      <c r="U807">
        <f>IF(ISNUMBER(SEARCH('1Př1'!$A$36,N807)),MAX($M$2:M806)+1,0)</f>
        <v>805</v>
      </c>
      <c r="V807" s="419" t="s">
        <v>3149</v>
      </c>
      <c r="W807" t="str">
        <f>IFERROR(VLOOKUP(ROWS($W$3:W807),$U$3:$V$992,2,0),"")</f>
        <v>Všeobecná ambulantní zdravotní péče</v>
      </c>
      <c r="X807">
        <f>IF(ISNUMBER(SEARCH('1Př1'!$A$37,N807)),MAX($M$2:M806)+1,0)</f>
        <v>805</v>
      </c>
      <c r="Y807" s="419" t="s">
        <v>3149</v>
      </c>
      <c r="Z807" t="str">
        <f>IFERROR(VLOOKUP(ROWS($Z$3:Z807),$X$3:$Y$992,2,0),"")</f>
        <v>Všeobecná ambulantní zdravotní péče</v>
      </c>
    </row>
    <row r="808" spans="13:26" ht="12.75">
      <c r="M808" s="418">
        <f>IF(ISNUMBER(SEARCH(ZAKL_DATA!$B$29,N808)),MAX($M$2:M807)+1,0)</f>
        <v>806</v>
      </c>
      <c r="N808" s="419" t="s">
        <v>3151</v>
      </c>
      <c r="O808" s="436" t="s">
        <v>3152</v>
      </c>
      <c r="P808" s="421"/>
      <c r="Q808" s="422" t="str">
        <f>IFERROR(VLOOKUP(ROWS($Q$3:Q808),$M$3:$N$992,2,0),"")</f>
        <v>Specializovaná ambulantní zdravotní péče</v>
      </c>
      <c r="R808">
        <f>IF(ISNUMBER(SEARCH('1Př1'!$A$35,N808)),MAX($M$2:M807)+1,0)</f>
        <v>806</v>
      </c>
      <c r="S808" s="419" t="s">
        <v>3151</v>
      </c>
      <c r="T808" t="str">
        <f>IFERROR(VLOOKUP(ROWS($T$3:T808),$R$3:$S$992,2,0),"")</f>
        <v>Specializovaná ambulantní zdravotní péče</v>
      </c>
      <c r="U808">
        <f>IF(ISNUMBER(SEARCH('1Př1'!$A$36,N808)),MAX($M$2:M807)+1,0)</f>
        <v>806</v>
      </c>
      <c r="V808" s="419" t="s">
        <v>3151</v>
      </c>
      <c r="W808" t="str">
        <f>IFERROR(VLOOKUP(ROWS($W$3:W808),$U$3:$V$992,2,0),"")</f>
        <v>Specializovaná ambulantní zdravotní péče</v>
      </c>
      <c r="X808">
        <f>IF(ISNUMBER(SEARCH('1Př1'!$A$37,N808)),MAX($M$2:M807)+1,0)</f>
        <v>806</v>
      </c>
      <c r="Y808" s="419" t="s">
        <v>3151</v>
      </c>
      <c r="Z808" t="str">
        <f>IFERROR(VLOOKUP(ROWS($Z$3:Z808),$X$3:$Y$992,2,0),"")</f>
        <v>Specializovaná ambulantní zdravotní péče</v>
      </c>
    </row>
    <row r="809" spans="13:26" ht="12.75">
      <c r="M809" s="418">
        <f>IF(ISNUMBER(SEARCH(ZAKL_DATA!$B$29,N809)),MAX($M$2:M808)+1,0)</f>
        <v>807</v>
      </c>
      <c r="N809" s="419" t="s">
        <v>3153</v>
      </c>
      <c r="O809" s="436" t="s">
        <v>3154</v>
      </c>
      <c r="P809" s="421"/>
      <c r="Q809" s="422" t="str">
        <f>IFERROR(VLOOKUP(ROWS($Q$3:Q809),$M$3:$N$992,2,0),"")</f>
        <v>Zubní péče</v>
      </c>
      <c r="R809">
        <f>IF(ISNUMBER(SEARCH('1Př1'!$A$35,N809)),MAX($M$2:M808)+1,0)</f>
        <v>807</v>
      </c>
      <c r="S809" s="419" t="s">
        <v>3153</v>
      </c>
      <c r="T809" t="str">
        <f>IFERROR(VLOOKUP(ROWS($T$3:T809),$R$3:$S$992,2,0),"")</f>
        <v>Zubní péče</v>
      </c>
      <c r="U809">
        <f>IF(ISNUMBER(SEARCH('1Př1'!$A$36,N809)),MAX($M$2:M808)+1,0)</f>
        <v>807</v>
      </c>
      <c r="V809" s="419" t="s">
        <v>3153</v>
      </c>
      <c r="W809" t="str">
        <f>IFERROR(VLOOKUP(ROWS($W$3:W809),$U$3:$V$992,2,0),"")</f>
        <v>Zubní péče</v>
      </c>
      <c r="X809">
        <f>IF(ISNUMBER(SEARCH('1Př1'!$A$37,N809)),MAX($M$2:M808)+1,0)</f>
        <v>807</v>
      </c>
      <c r="Y809" s="419" t="s">
        <v>3153</v>
      </c>
      <c r="Z809" t="str">
        <f>IFERROR(VLOOKUP(ROWS($Z$3:Z809),$X$3:$Y$992,2,0),"")</f>
        <v>Zubní péče</v>
      </c>
    </row>
    <row r="810" spans="13:26" ht="12.75">
      <c r="M810" s="418">
        <f>IF(ISNUMBER(SEARCH(ZAKL_DATA!$B$29,N810)),MAX($M$2:M809)+1,0)</f>
        <v>808</v>
      </c>
      <c r="N810" s="419" t="s">
        <v>3155</v>
      </c>
      <c r="O810" s="436" t="s">
        <v>3156</v>
      </c>
      <c r="P810" s="421"/>
      <c r="Q810" s="422" t="str">
        <f>IFERROR(VLOOKUP(ROWS($Q$3:Q810),$M$3:$N$992,2,0),"")</f>
        <v>Sociální služby poskytované dětem</v>
      </c>
      <c r="R810">
        <f>IF(ISNUMBER(SEARCH('1Př1'!$A$35,N810)),MAX($M$2:M809)+1,0)</f>
        <v>808</v>
      </c>
      <c r="S810" s="419" t="s">
        <v>3155</v>
      </c>
      <c r="T810" t="str">
        <f>IFERROR(VLOOKUP(ROWS($T$3:T810),$R$3:$S$992,2,0),"")</f>
        <v>Sociální služby poskytované dětem</v>
      </c>
      <c r="U810">
        <f>IF(ISNUMBER(SEARCH('1Př1'!$A$36,N810)),MAX($M$2:M809)+1,0)</f>
        <v>808</v>
      </c>
      <c r="V810" s="419" t="s">
        <v>3155</v>
      </c>
      <c r="W810" t="str">
        <f>IFERROR(VLOOKUP(ROWS($W$3:W810),$U$3:$V$992,2,0),"")</f>
        <v>Sociální služby poskytované dětem</v>
      </c>
      <c r="X810">
        <f>IF(ISNUMBER(SEARCH('1Př1'!$A$37,N810)),MAX($M$2:M809)+1,0)</f>
        <v>808</v>
      </c>
      <c r="Y810" s="419" t="s">
        <v>3155</v>
      </c>
      <c r="Z810" t="str">
        <f>IFERROR(VLOOKUP(ROWS($Z$3:Z810),$X$3:$Y$992,2,0),"")</f>
        <v>Sociální služby poskytované dětem</v>
      </c>
    </row>
    <row r="811" spans="13:26" ht="12.75">
      <c r="M811" s="418">
        <f>IF(ISNUMBER(SEARCH(ZAKL_DATA!$B$29,N811)),MAX($M$2:M810)+1,0)</f>
        <v>809</v>
      </c>
      <c r="N811" s="419" t="s">
        <v>3157</v>
      </c>
      <c r="O811" s="436" t="s">
        <v>3158</v>
      </c>
      <c r="P811" s="421"/>
      <c r="Q811" s="422" t="str">
        <f>IFERROR(VLOOKUP(ROWS($Q$3:Q811),$M$3:$N$992,2,0),"")</f>
        <v>Ostatní ambulantní nebo terénní sociální služby j. n.</v>
      </c>
      <c r="R811">
        <f>IF(ISNUMBER(SEARCH('1Př1'!$A$35,N811)),MAX($M$2:M810)+1,0)</f>
        <v>809</v>
      </c>
      <c r="S811" s="419" t="s">
        <v>3157</v>
      </c>
      <c r="T811" t="str">
        <f>IFERROR(VLOOKUP(ROWS($T$3:T811),$R$3:$S$992,2,0),"")</f>
        <v>Ostatní ambulantní nebo terénní sociální služby j. n.</v>
      </c>
      <c r="U811">
        <f>IF(ISNUMBER(SEARCH('1Př1'!$A$36,N811)),MAX($M$2:M810)+1,0)</f>
        <v>809</v>
      </c>
      <c r="V811" s="419" t="s">
        <v>3157</v>
      </c>
      <c r="W811" t="str">
        <f>IFERROR(VLOOKUP(ROWS($W$3:W811),$U$3:$V$992,2,0),"")</f>
        <v>Ostatní ambulantní nebo terénní sociální služby j. n.</v>
      </c>
      <c r="X811">
        <f>IF(ISNUMBER(SEARCH('1Př1'!$A$37,N811)),MAX($M$2:M810)+1,0)</f>
        <v>809</v>
      </c>
      <c r="Y811" s="419" t="s">
        <v>3157</v>
      </c>
      <c r="Z811" t="str">
        <f>IFERROR(VLOOKUP(ROWS($Z$3:Z811),$X$3:$Y$992,2,0),"")</f>
        <v>Ostatní ambulantní nebo terénní sociální služby j. n.</v>
      </c>
    </row>
    <row r="812" spans="13:26" ht="12.75">
      <c r="M812" s="418">
        <f>IF(ISNUMBER(SEARCH(ZAKL_DATA!$B$29,N812)),MAX($M$2:M811)+1,0)</f>
        <v>810</v>
      </c>
      <c r="N812" s="419" t="s">
        <v>3159</v>
      </c>
      <c r="O812" s="436" t="s">
        <v>3160</v>
      </c>
      <c r="P812" s="421"/>
      <c r="Q812" s="422" t="str">
        <f>IFERROR(VLOOKUP(ROWS($Q$3:Q812),$M$3:$N$992,2,0),"")</f>
        <v>Scénická umění</v>
      </c>
      <c r="R812">
        <f>IF(ISNUMBER(SEARCH('1Př1'!$A$35,N812)),MAX($M$2:M811)+1,0)</f>
        <v>810</v>
      </c>
      <c r="S812" s="419" t="s">
        <v>3159</v>
      </c>
      <c r="T812" t="str">
        <f>IFERROR(VLOOKUP(ROWS($T$3:T812),$R$3:$S$992,2,0),"")</f>
        <v>Scénická umění</v>
      </c>
      <c r="U812">
        <f>IF(ISNUMBER(SEARCH('1Př1'!$A$36,N812)),MAX($M$2:M811)+1,0)</f>
        <v>810</v>
      </c>
      <c r="V812" s="419" t="s">
        <v>3159</v>
      </c>
      <c r="W812" t="str">
        <f>IFERROR(VLOOKUP(ROWS($W$3:W812),$U$3:$V$992,2,0),"")</f>
        <v>Scénická umění</v>
      </c>
      <c r="X812">
        <f>IF(ISNUMBER(SEARCH('1Př1'!$A$37,N812)),MAX($M$2:M811)+1,0)</f>
        <v>810</v>
      </c>
      <c r="Y812" s="419" t="s">
        <v>3159</v>
      </c>
      <c r="Z812" t="str">
        <f>IFERROR(VLOOKUP(ROWS($Z$3:Z812),$X$3:$Y$992,2,0),"")</f>
        <v>Scénická umění</v>
      </c>
    </row>
    <row r="813" spans="13:26" ht="12.75">
      <c r="M813" s="418">
        <f>IF(ISNUMBER(SEARCH(ZAKL_DATA!$B$29,N813)),MAX($M$2:M812)+1,0)</f>
        <v>811</v>
      </c>
      <c r="N813" s="419" t="s">
        <v>3161</v>
      </c>
      <c r="O813" s="436" t="s">
        <v>3162</v>
      </c>
      <c r="P813" s="421"/>
      <c r="Q813" s="422" t="str">
        <f>IFERROR(VLOOKUP(ROWS($Q$3:Q813),$M$3:$N$992,2,0),"")</f>
        <v>Podpůrné činnosti pro scénická umění</v>
      </c>
      <c r="R813">
        <f>IF(ISNUMBER(SEARCH('1Př1'!$A$35,N813)),MAX($M$2:M812)+1,0)</f>
        <v>811</v>
      </c>
      <c r="S813" s="419" t="s">
        <v>3161</v>
      </c>
      <c r="T813" t="str">
        <f>IFERROR(VLOOKUP(ROWS($T$3:T813),$R$3:$S$992,2,0),"")</f>
        <v>Podpůrné činnosti pro scénická umění</v>
      </c>
      <c r="U813">
        <f>IF(ISNUMBER(SEARCH('1Př1'!$A$36,N813)),MAX($M$2:M812)+1,0)</f>
        <v>811</v>
      </c>
      <c r="V813" s="419" t="s">
        <v>3161</v>
      </c>
      <c r="W813" t="str">
        <f>IFERROR(VLOOKUP(ROWS($W$3:W813),$U$3:$V$992,2,0),"")</f>
        <v>Podpůrné činnosti pro scénická umění</v>
      </c>
      <c r="X813">
        <f>IF(ISNUMBER(SEARCH('1Př1'!$A$37,N813)),MAX($M$2:M812)+1,0)</f>
        <v>811</v>
      </c>
      <c r="Y813" s="419" t="s">
        <v>3161</v>
      </c>
      <c r="Z813" t="str">
        <f>IFERROR(VLOOKUP(ROWS($Z$3:Z813),$X$3:$Y$992,2,0),"")</f>
        <v>Podpůrné činnosti pro scénická umění</v>
      </c>
    </row>
    <row r="814" spans="13:26" ht="12.75">
      <c r="M814" s="418">
        <f>IF(ISNUMBER(SEARCH(ZAKL_DATA!$B$29,N814)),MAX($M$2:M813)+1,0)</f>
        <v>812</v>
      </c>
      <c r="N814" s="419" t="s">
        <v>3163</v>
      </c>
      <c r="O814" s="436" t="s">
        <v>3164</v>
      </c>
      <c r="P814" s="421"/>
      <c r="Q814" s="422" t="str">
        <f>IFERROR(VLOOKUP(ROWS($Q$3:Q814),$M$3:$N$992,2,0),"")</f>
        <v>Umělecká tvorba</v>
      </c>
      <c r="R814">
        <f>IF(ISNUMBER(SEARCH('1Př1'!$A$35,N814)),MAX($M$2:M813)+1,0)</f>
        <v>812</v>
      </c>
      <c r="S814" s="419" t="s">
        <v>3163</v>
      </c>
      <c r="T814" t="str">
        <f>IFERROR(VLOOKUP(ROWS($T$3:T814),$R$3:$S$992,2,0),"")</f>
        <v>Umělecká tvorba</v>
      </c>
      <c r="U814">
        <f>IF(ISNUMBER(SEARCH('1Př1'!$A$36,N814)),MAX($M$2:M813)+1,0)</f>
        <v>812</v>
      </c>
      <c r="V814" s="419" t="s">
        <v>3163</v>
      </c>
      <c r="W814" t="str">
        <f>IFERROR(VLOOKUP(ROWS($W$3:W814),$U$3:$V$992,2,0),"")</f>
        <v>Umělecká tvorba</v>
      </c>
      <c r="X814">
        <f>IF(ISNUMBER(SEARCH('1Př1'!$A$37,N814)),MAX($M$2:M813)+1,0)</f>
        <v>812</v>
      </c>
      <c r="Y814" s="419" t="s">
        <v>3163</v>
      </c>
      <c r="Z814" t="str">
        <f>IFERROR(VLOOKUP(ROWS($Z$3:Z814),$X$3:$Y$992,2,0),"")</f>
        <v>Umělecká tvorba</v>
      </c>
    </row>
    <row r="815" spans="13:26" ht="12.75">
      <c r="M815" s="418">
        <f>IF(ISNUMBER(SEARCH(ZAKL_DATA!$B$29,N815)),MAX($M$2:M814)+1,0)</f>
        <v>813</v>
      </c>
      <c r="N815" s="419" t="s">
        <v>3165</v>
      </c>
      <c r="O815" s="436" t="s">
        <v>3166</v>
      </c>
      <c r="P815" s="421"/>
      <c r="Q815" s="422" t="str">
        <f>IFERROR(VLOOKUP(ROWS($Q$3:Q815),$M$3:$N$992,2,0),"")</f>
        <v>Provozování kulturních zařízení</v>
      </c>
      <c r="R815">
        <f>IF(ISNUMBER(SEARCH('1Př1'!$A$35,N815)),MAX($M$2:M814)+1,0)</f>
        <v>813</v>
      </c>
      <c r="S815" s="419" t="s">
        <v>3165</v>
      </c>
      <c r="T815" t="str">
        <f>IFERROR(VLOOKUP(ROWS($T$3:T815),$R$3:$S$992,2,0),"")</f>
        <v>Provozování kulturních zařízení</v>
      </c>
      <c r="U815">
        <f>IF(ISNUMBER(SEARCH('1Př1'!$A$36,N815)),MAX($M$2:M814)+1,0)</f>
        <v>813</v>
      </c>
      <c r="V815" s="419" t="s">
        <v>3165</v>
      </c>
      <c r="W815" t="str">
        <f>IFERROR(VLOOKUP(ROWS($W$3:W815),$U$3:$V$992,2,0),"")</f>
        <v>Provozování kulturních zařízení</v>
      </c>
      <c r="X815">
        <f>IF(ISNUMBER(SEARCH('1Př1'!$A$37,N815)),MAX($M$2:M814)+1,0)</f>
        <v>813</v>
      </c>
      <c r="Y815" s="419" t="s">
        <v>3165</v>
      </c>
      <c r="Z815" t="str">
        <f>IFERROR(VLOOKUP(ROWS($Z$3:Z815),$X$3:$Y$992,2,0),"")</f>
        <v>Provozování kulturních zařízení</v>
      </c>
    </row>
    <row r="816" spans="13:26" ht="12.75">
      <c r="M816" s="418">
        <f>IF(ISNUMBER(SEARCH(ZAKL_DATA!$B$29,N816)),MAX($M$2:M815)+1,0)</f>
        <v>814</v>
      </c>
      <c r="N816" s="419" t="s">
        <v>3167</v>
      </c>
      <c r="O816" s="436" t="s">
        <v>3168</v>
      </c>
      <c r="P816" s="421"/>
      <c r="Q816" s="422" t="str">
        <f>IFERROR(VLOOKUP(ROWS($Q$3:Q816),$M$3:$N$992,2,0),"")</f>
        <v>Činnosti knihoven a archivů</v>
      </c>
      <c r="R816">
        <f>IF(ISNUMBER(SEARCH('1Př1'!$A$35,N816)),MAX($M$2:M815)+1,0)</f>
        <v>814</v>
      </c>
      <c r="S816" s="419" t="s">
        <v>3167</v>
      </c>
      <c r="T816" t="str">
        <f>IFERROR(VLOOKUP(ROWS($T$3:T816),$R$3:$S$992,2,0),"")</f>
        <v>Činnosti knihoven a archivů</v>
      </c>
      <c r="U816">
        <f>IF(ISNUMBER(SEARCH('1Př1'!$A$36,N816)),MAX($M$2:M815)+1,0)</f>
        <v>814</v>
      </c>
      <c r="V816" s="419" t="s">
        <v>3167</v>
      </c>
      <c r="W816" t="str">
        <f>IFERROR(VLOOKUP(ROWS($W$3:W816),$U$3:$V$992,2,0),"")</f>
        <v>Činnosti knihoven a archivů</v>
      </c>
      <c r="X816">
        <f>IF(ISNUMBER(SEARCH('1Př1'!$A$37,N816)),MAX($M$2:M815)+1,0)</f>
        <v>814</v>
      </c>
      <c r="Y816" s="419" t="s">
        <v>3167</v>
      </c>
      <c r="Z816" t="str">
        <f>IFERROR(VLOOKUP(ROWS($Z$3:Z816),$X$3:$Y$992,2,0),"")</f>
        <v>Činnosti knihoven a archivů</v>
      </c>
    </row>
    <row r="817" spans="13:26" ht="12.75">
      <c r="M817" s="418">
        <f>IF(ISNUMBER(SEARCH(ZAKL_DATA!$B$29,N817)),MAX($M$2:M816)+1,0)</f>
        <v>815</v>
      </c>
      <c r="N817" s="419" t="s">
        <v>3169</v>
      </c>
      <c r="O817" s="436" t="s">
        <v>3170</v>
      </c>
      <c r="P817" s="421"/>
      <c r="Q817" s="422" t="str">
        <f>IFERROR(VLOOKUP(ROWS($Q$3:Q817),$M$3:$N$992,2,0),"")</f>
        <v>Činnosti muzeí</v>
      </c>
      <c r="R817">
        <f>IF(ISNUMBER(SEARCH('1Př1'!$A$35,N817)),MAX($M$2:M816)+1,0)</f>
        <v>815</v>
      </c>
      <c r="S817" s="419" t="s">
        <v>3169</v>
      </c>
      <c r="T817" t="str">
        <f>IFERROR(VLOOKUP(ROWS($T$3:T817),$R$3:$S$992,2,0),"")</f>
        <v>Činnosti muzeí</v>
      </c>
      <c r="U817">
        <f>IF(ISNUMBER(SEARCH('1Př1'!$A$36,N817)),MAX($M$2:M816)+1,0)</f>
        <v>815</v>
      </c>
      <c r="V817" s="419" t="s">
        <v>3169</v>
      </c>
      <c r="W817" t="str">
        <f>IFERROR(VLOOKUP(ROWS($W$3:W817),$U$3:$V$992,2,0),"")</f>
        <v>Činnosti muzeí</v>
      </c>
      <c r="X817">
        <f>IF(ISNUMBER(SEARCH('1Př1'!$A$37,N817)),MAX($M$2:M816)+1,0)</f>
        <v>815</v>
      </c>
      <c r="Y817" s="419" t="s">
        <v>3169</v>
      </c>
      <c r="Z817" t="str">
        <f>IFERROR(VLOOKUP(ROWS($Z$3:Z817),$X$3:$Y$992,2,0),"")</f>
        <v>Činnosti muzeí</v>
      </c>
    </row>
    <row r="818" spans="13:26" ht="12.75">
      <c r="M818" s="418">
        <f>IF(ISNUMBER(SEARCH(ZAKL_DATA!$B$29,N818)),MAX($M$2:M817)+1,0)</f>
        <v>816</v>
      </c>
      <c r="N818" s="419" t="s">
        <v>3171</v>
      </c>
      <c r="O818" s="436" t="s">
        <v>3172</v>
      </c>
      <c r="P818" s="421"/>
      <c r="Q818" s="422" t="str">
        <f>IFERROR(VLOOKUP(ROWS($Q$3:Q818),$M$3:$N$992,2,0),"")</f>
        <v>Provozování kultur.památek,histor.staveb a obdobných turist.zajímavostí</v>
      </c>
      <c r="R818">
        <f>IF(ISNUMBER(SEARCH('1Př1'!$A$35,N818)),MAX($M$2:M817)+1,0)</f>
        <v>816</v>
      </c>
      <c r="S818" s="419" t="s">
        <v>3171</v>
      </c>
      <c r="T818" t="str">
        <f>IFERROR(VLOOKUP(ROWS($T$3:T818),$R$3:$S$992,2,0),"")</f>
        <v>Provozování kultur.památek,histor.staveb a obdobných turist.zajímavostí</v>
      </c>
      <c r="U818">
        <f>IF(ISNUMBER(SEARCH('1Př1'!$A$36,N818)),MAX($M$2:M817)+1,0)</f>
        <v>816</v>
      </c>
      <c r="V818" s="419" t="s">
        <v>3171</v>
      </c>
      <c r="W818" t="str">
        <f>IFERROR(VLOOKUP(ROWS($W$3:W818),$U$3:$V$992,2,0),"")</f>
        <v>Provozování kultur.památek,histor.staveb a obdobných turist.zajímavostí</v>
      </c>
      <c r="X818">
        <f>IF(ISNUMBER(SEARCH('1Př1'!$A$37,N818)),MAX($M$2:M817)+1,0)</f>
        <v>816</v>
      </c>
      <c r="Y818" s="419" t="s">
        <v>3171</v>
      </c>
      <c r="Z818" t="str">
        <f>IFERROR(VLOOKUP(ROWS($Z$3:Z818),$X$3:$Y$992,2,0),"")</f>
        <v>Provozování kultur.památek,histor.staveb a obdobných turist.zajímavostí</v>
      </c>
    </row>
    <row r="819" spans="13:26" ht="12.75">
      <c r="M819" s="418">
        <f>IF(ISNUMBER(SEARCH(ZAKL_DATA!$B$29,N819)),MAX($M$2:M818)+1,0)</f>
        <v>817</v>
      </c>
      <c r="N819" s="419" t="s">
        <v>3173</v>
      </c>
      <c r="O819" s="436" t="s">
        <v>3174</v>
      </c>
      <c r="P819" s="421"/>
      <c r="Q819" s="422" t="str">
        <f>IFERROR(VLOOKUP(ROWS($Q$3:Q819),$M$3:$N$992,2,0),"")</f>
        <v>Činnosti botanických a zoologických zahrad,přír.rezervací a národ.parků</v>
      </c>
      <c r="R819">
        <f>IF(ISNUMBER(SEARCH('1Př1'!$A$35,N819)),MAX($M$2:M818)+1,0)</f>
        <v>817</v>
      </c>
      <c r="S819" s="419" t="s">
        <v>3173</v>
      </c>
      <c r="T819" t="str">
        <f>IFERROR(VLOOKUP(ROWS($T$3:T819),$R$3:$S$992,2,0),"")</f>
        <v>Činnosti botanických a zoologických zahrad,přír.rezervací a národ.parků</v>
      </c>
      <c r="U819">
        <f>IF(ISNUMBER(SEARCH('1Př1'!$A$36,N819)),MAX($M$2:M818)+1,0)</f>
        <v>817</v>
      </c>
      <c r="V819" s="419" t="s">
        <v>3173</v>
      </c>
      <c r="W819" t="str">
        <f>IFERROR(VLOOKUP(ROWS($W$3:W819),$U$3:$V$992,2,0),"")</f>
        <v>Činnosti botanických a zoologických zahrad,přír.rezervací a národ.parků</v>
      </c>
      <c r="X819">
        <f>IF(ISNUMBER(SEARCH('1Př1'!$A$37,N819)),MAX($M$2:M818)+1,0)</f>
        <v>817</v>
      </c>
      <c r="Y819" s="419" t="s">
        <v>3173</v>
      </c>
      <c r="Z819" t="str">
        <f>IFERROR(VLOOKUP(ROWS($Z$3:Z819),$X$3:$Y$992,2,0),"")</f>
        <v>Činnosti botanických a zoologických zahrad,přír.rezervací a národ.parků</v>
      </c>
    </row>
    <row r="820" spans="13:26" ht="12.75">
      <c r="M820" s="418">
        <f>IF(ISNUMBER(SEARCH(ZAKL_DATA!$B$29,N820)),MAX($M$2:M819)+1,0)</f>
        <v>818</v>
      </c>
      <c r="N820" s="419" t="s">
        <v>3175</v>
      </c>
      <c r="O820" s="436" t="s">
        <v>3176</v>
      </c>
      <c r="P820" s="421"/>
      <c r="Q820" s="422" t="str">
        <f>IFERROR(VLOOKUP(ROWS($Q$3:Q820),$M$3:$N$992,2,0),"")</f>
        <v>Provozování sportovních zařízení</v>
      </c>
      <c r="R820">
        <f>IF(ISNUMBER(SEARCH('1Př1'!$A$35,N820)),MAX($M$2:M819)+1,0)</f>
        <v>818</v>
      </c>
      <c r="S820" s="419" t="s">
        <v>3175</v>
      </c>
      <c r="T820" t="str">
        <f>IFERROR(VLOOKUP(ROWS($T$3:T820),$R$3:$S$992,2,0),"")</f>
        <v>Provozování sportovních zařízení</v>
      </c>
      <c r="U820">
        <f>IF(ISNUMBER(SEARCH('1Př1'!$A$36,N820)),MAX($M$2:M819)+1,0)</f>
        <v>818</v>
      </c>
      <c r="V820" s="419" t="s">
        <v>3175</v>
      </c>
      <c r="W820" t="str">
        <f>IFERROR(VLOOKUP(ROWS($W$3:W820),$U$3:$V$992,2,0),"")</f>
        <v>Provozování sportovních zařízení</v>
      </c>
      <c r="X820">
        <f>IF(ISNUMBER(SEARCH('1Př1'!$A$37,N820)),MAX($M$2:M819)+1,0)</f>
        <v>818</v>
      </c>
      <c r="Y820" s="419" t="s">
        <v>3175</v>
      </c>
      <c r="Z820" t="str">
        <f>IFERROR(VLOOKUP(ROWS($Z$3:Z820),$X$3:$Y$992,2,0),"")</f>
        <v>Provozování sportovních zařízení</v>
      </c>
    </row>
    <row r="821" spans="13:26" ht="12.75">
      <c r="M821" s="418">
        <f>IF(ISNUMBER(SEARCH(ZAKL_DATA!$B$29,N821)),MAX($M$2:M820)+1,0)</f>
        <v>819</v>
      </c>
      <c r="N821" s="419" t="s">
        <v>3177</v>
      </c>
      <c r="O821" s="436" t="s">
        <v>3178</v>
      </c>
      <c r="P821" s="421"/>
      <c r="Q821" s="422" t="str">
        <f>IFERROR(VLOOKUP(ROWS($Q$3:Q821),$M$3:$N$992,2,0),"")</f>
        <v>Činnosti sportovních klubů</v>
      </c>
      <c r="R821">
        <f>IF(ISNUMBER(SEARCH('1Př1'!$A$35,N821)),MAX($M$2:M820)+1,0)</f>
        <v>819</v>
      </c>
      <c r="S821" s="419" t="s">
        <v>3177</v>
      </c>
      <c r="T821" t="str">
        <f>IFERROR(VLOOKUP(ROWS($T$3:T821),$R$3:$S$992,2,0),"")</f>
        <v>Činnosti sportovních klubů</v>
      </c>
      <c r="U821">
        <f>IF(ISNUMBER(SEARCH('1Př1'!$A$36,N821)),MAX($M$2:M820)+1,0)</f>
        <v>819</v>
      </c>
      <c r="V821" s="419" t="s">
        <v>3177</v>
      </c>
      <c r="W821" t="str">
        <f>IFERROR(VLOOKUP(ROWS($W$3:W821),$U$3:$V$992,2,0),"")</f>
        <v>Činnosti sportovních klubů</v>
      </c>
      <c r="X821">
        <f>IF(ISNUMBER(SEARCH('1Př1'!$A$37,N821)),MAX($M$2:M820)+1,0)</f>
        <v>819</v>
      </c>
      <c r="Y821" s="419" t="s">
        <v>3177</v>
      </c>
      <c r="Z821" t="str">
        <f>IFERROR(VLOOKUP(ROWS($Z$3:Z821),$X$3:$Y$992,2,0),"")</f>
        <v>Činnosti sportovních klubů</v>
      </c>
    </row>
    <row r="822" spans="13:26" ht="12.75">
      <c r="M822" s="418">
        <f>IF(ISNUMBER(SEARCH(ZAKL_DATA!$B$29,N822)),MAX($M$2:M821)+1,0)</f>
        <v>820</v>
      </c>
      <c r="N822" s="419" t="s">
        <v>3179</v>
      </c>
      <c r="O822" s="436" t="s">
        <v>3180</v>
      </c>
      <c r="P822" s="421"/>
      <c r="Q822" s="422" t="str">
        <f>IFERROR(VLOOKUP(ROWS($Q$3:Q822),$M$3:$N$992,2,0),"")</f>
        <v>Činnosti fitcenter</v>
      </c>
      <c r="R822">
        <f>IF(ISNUMBER(SEARCH('1Př1'!$A$35,N822)),MAX($M$2:M821)+1,0)</f>
        <v>820</v>
      </c>
      <c r="S822" s="419" t="s">
        <v>3179</v>
      </c>
      <c r="T822" t="str">
        <f>IFERROR(VLOOKUP(ROWS($T$3:T822),$R$3:$S$992,2,0),"")</f>
        <v>Činnosti fitcenter</v>
      </c>
      <c r="U822">
        <f>IF(ISNUMBER(SEARCH('1Př1'!$A$36,N822)),MAX($M$2:M821)+1,0)</f>
        <v>820</v>
      </c>
      <c r="V822" s="419" t="s">
        <v>3179</v>
      </c>
      <c r="W822" t="str">
        <f>IFERROR(VLOOKUP(ROWS($W$3:W822),$U$3:$V$992,2,0),"")</f>
        <v>Činnosti fitcenter</v>
      </c>
      <c r="X822">
        <f>IF(ISNUMBER(SEARCH('1Př1'!$A$37,N822)),MAX($M$2:M821)+1,0)</f>
        <v>820</v>
      </c>
      <c r="Y822" s="419" t="s">
        <v>3179</v>
      </c>
      <c r="Z822" t="str">
        <f>IFERROR(VLOOKUP(ROWS($Z$3:Z822),$X$3:$Y$992,2,0),"")</f>
        <v>Činnosti fitcenter</v>
      </c>
    </row>
    <row r="823" spans="13:26" ht="12.75">
      <c r="M823" s="418">
        <f>IF(ISNUMBER(SEARCH(ZAKL_DATA!$B$29,N823)),MAX($M$2:M822)+1,0)</f>
        <v>821</v>
      </c>
      <c r="N823" s="419" t="s">
        <v>3181</v>
      </c>
      <c r="O823" s="436" t="s">
        <v>3182</v>
      </c>
      <c r="P823" s="421"/>
      <c r="Q823" s="422" t="str">
        <f>IFERROR(VLOOKUP(ROWS($Q$3:Q823),$M$3:$N$992,2,0),"")</f>
        <v>Ostatní sportovní činnosti</v>
      </c>
      <c r="R823">
        <f>IF(ISNUMBER(SEARCH('1Př1'!$A$35,N823)),MAX($M$2:M822)+1,0)</f>
        <v>821</v>
      </c>
      <c r="S823" s="419" t="s">
        <v>3181</v>
      </c>
      <c r="T823" t="str">
        <f>IFERROR(VLOOKUP(ROWS($T$3:T823),$R$3:$S$992,2,0),"")</f>
        <v>Ostatní sportovní činnosti</v>
      </c>
      <c r="U823">
        <f>IF(ISNUMBER(SEARCH('1Př1'!$A$36,N823)),MAX($M$2:M822)+1,0)</f>
        <v>821</v>
      </c>
      <c r="V823" s="419" t="s">
        <v>3181</v>
      </c>
      <c r="W823" t="str">
        <f>IFERROR(VLOOKUP(ROWS($W$3:W823),$U$3:$V$992,2,0),"")</f>
        <v>Ostatní sportovní činnosti</v>
      </c>
      <c r="X823">
        <f>IF(ISNUMBER(SEARCH('1Př1'!$A$37,N823)),MAX($M$2:M822)+1,0)</f>
        <v>821</v>
      </c>
      <c r="Y823" s="419" t="s">
        <v>3181</v>
      </c>
      <c r="Z823" t="str">
        <f>IFERROR(VLOOKUP(ROWS($Z$3:Z823),$X$3:$Y$992,2,0),"")</f>
        <v>Ostatní sportovní činnosti</v>
      </c>
    </row>
    <row r="824" spans="13:26" ht="12.75">
      <c r="M824" s="418">
        <f>IF(ISNUMBER(SEARCH(ZAKL_DATA!$B$29,N824)),MAX($M$2:M823)+1,0)</f>
        <v>822</v>
      </c>
      <c r="N824" s="419" t="s">
        <v>3183</v>
      </c>
      <c r="O824" s="436" t="s">
        <v>3184</v>
      </c>
      <c r="P824" s="421"/>
      <c r="Q824" s="422" t="str">
        <f>IFERROR(VLOOKUP(ROWS($Q$3:Q824),$M$3:$N$992,2,0),"")</f>
        <v>Činnosti lunaparků a zábavních parků</v>
      </c>
      <c r="R824">
        <f>IF(ISNUMBER(SEARCH('1Př1'!$A$35,N824)),MAX($M$2:M823)+1,0)</f>
        <v>822</v>
      </c>
      <c r="S824" s="419" t="s">
        <v>3183</v>
      </c>
      <c r="T824" t="str">
        <f>IFERROR(VLOOKUP(ROWS($T$3:T824),$R$3:$S$992,2,0),"")</f>
        <v>Činnosti lunaparků a zábavních parků</v>
      </c>
      <c r="U824">
        <f>IF(ISNUMBER(SEARCH('1Př1'!$A$36,N824)),MAX($M$2:M823)+1,0)</f>
        <v>822</v>
      </c>
      <c r="V824" s="419" t="s">
        <v>3183</v>
      </c>
      <c r="W824" t="str">
        <f>IFERROR(VLOOKUP(ROWS($W$3:W824),$U$3:$V$992,2,0),"")</f>
        <v>Činnosti lunaparků a zábavních parků</v>
      </c>
      <c r="X824">
        <f>IF(ISNUMBER(SEARCH('1Př1'!$A$37,N824)),MAX($M$2:M823)+1,0)</f>
        <v>822</v>
      </c>
      <c r="Y824" s="419" t="s">
        <v>3183</v>
      </c>
      <c r="Z824" t="str">
        <f>IFERROR(VLOOKUP(ROWS($Z$3:Z824),$X$3:$Y$992,2,0),"")</f>
        <v>Činnosti lunaparků a zábavních parků</v>
      </c>
    </row>
    <row r="825" spans="13:26" ht="12.75">
      <c r="M825" s="418">
        <f>IF(ISNUMBER(SEARCH(ZAKL_DATA!$B$29,N825)),MAX($M$2:M824)+1,0)</f>
        <v>823</v>
      </c>
      <c r="N825" s="419" t="s">
        <v>3185</v>
      </c>
      <c r="O825" s="436" t="s">
        <v>3186</v>
      </c>
      <c r="P825" s="421"/>
      <c r="Q825" s="422" t="str">
        <f>IFERROR(VLOOKUP(ROWS($Q$3:Q825),$M$3:$N$992,2,0),"")</f>
        <v>Ostatní zábavní a rekreační činnosti j. n.</v>
      </c>
      <c r="R825">
        <f>IF(ISNUMBER(SEARCH('1Př1'!$A$35,N825)),MAX($M$2:M824)+1,0)</f>
        <v>823</v>
      </c>
      <c r="S825" s="419" t="s">
        <v>3185</v>
      </c>
      <c r="T825" t="str">
        <f>IFERROR(VLOOKUP(ROWS($T$3:T825),$R$3:$S$992,2,0),"")</f>
        <v>Ostatní zábavní a rekreační činnosti j. n.</v>
      </c>
      <c r="U825">
        <f>IF(ISNUMBER(SEARCH('1Př1'!$A$36,N825)),MAX($M$2:M824)+1,0)</f>
        <v>823</v>
      </c>
      <c r="V825" s="419" t="s">
        <v>3185</v>
      </c>
      <c r="W825" t="str">
        <f>IFERROR(VLOOKUP(ROWS($W$3:W825),$U$3:$V$992,2,0),"")</f>
        <v>Ostatní zábavní a rekreační činnosti j. n.</v>
      </c>
      <c r="X825">
        <f>IF(ISNUMBER(SEARCH('1Př1'!$A$37,N825)),MAX($M$2:M824)+1,0)</f>
        <v>823</v>
      </c>
      <c r="Y825" s="419" t="s">
        <v>3185</v>
      </c>
      <c r="Z825" t="str">
        <f>IFERROR(VLOOKUP(ROWS($Z$3:Z825),$X$3:$Y$992,2,0),"")</f>
        <v>Ostatní zábavní a rekreační činnosti j. n.</v>
      </c>
    </row>
    <row r="826" spans="13:26" ht="12.75">
      <c r="M826" s="418">
        <f>IF(ISNUMBER(SEARCH(ZAKL_DATA!$B$29,N826)),MAX($M$2:M825)+1,0)</f>
        <v>824</v>
      </c>
      <c r="N826" s="419" t="s">
        <v>3187</v>
      </c>
      <c r="O826" s="436" t="s">
        <v>3188</v>
      </c>
      <c r="P826" s="421"/>
      <c r="Q826" s="422" t="str">
        <f>IFERROR(VLOOKUP(ROWS($Q$3:Q826),$M$3:$N$992,2,0),"")</f>
        <v>Činnosti podnikatelských a zaměstnavatelských organizací</v>
      </c>
      <c r="R826">
        <f>IF(ISNUMBER(SEARCH('1Př1'!$A$35,N826)),MAX($M$2:M825)+1,0)</f>
        <v>824</v>
      </c>
      <c r="S826" s="419" t="s">
        <v>3187</v>
      </c>
      <c r="T826" t="str">
        <f>IFERROR(VLOOKUP(ROWS($T$3:T826),$R$3:$S$992,2,0),"")</f>
        <v>Činnosti podnikatelských a zaměstnavatelských organizací</v>
      </c>
      <c r="U826">
        <f>IF(ISNUMBER(SEARCH('1Př1'!$A$36,N826)),MAX($M$2:M825)+1,0)</f>
        <v>824</v>
      </c>
      <c r="V826" s="419" t="s">
        <v>3187</v>
      </c>
      <c r="W826" t="str">
        <f>IFERROR(VLOOKUP(ROWS($W$3:W826),$U$3:$V$992,2,0),"")</f>
        <v>Činnosti podnikatelských a zaměstnavatelských organizací</v>
      </c>
      <c r="X826">
        <f>IF(ISNUMBER(SEARCH('1Př1'!$A$37,N826)),MAX($M$2:M825)+1,0)</f>
        <v>824</v>
      </c>
      <c r="Y826" s="419" t="s">
        <v>3187</v>
      </c>
      <c r="Z826" t="str">
        <f>IFERROR(VLOOKUP(ROWS($Z$3:Z826),$X$3:$Y$992,2,0),"")</f>
        <v>Činnosti podnikatelských a zaměstnavatelských organizací</v>
      </c>
    </row>
    <row r="827" spans="13:26" ht="12.75">
      <c r="M827" s="418">
        <f>IF(ISNUMBER(SEARCH(ZAKL_DATA!$B$29,N827)),MAX($M$2:M826)+1,0)</f>
        <v>825</v>
      </c>
      <c r="N827" s="419" t="s">
        <v>3189</v>
      </c>
      <c r="O827" s="436" t="s">
        <v>3190</v>
      </c>
      <c r="P827" s="421"/>
      <c r="Q827" s="422" t="str">
        <f>IFERROR(VLOOKUP(ROWS($Q$3:Q827),$M$3:$N$992,2,0),"")</f>
        <v>Činnosti profesních organizací</v>
      </c>
      <c r="R827">
        <f>IF(ISNUMBER(SEARCH('1Př1'!$A$35,N827)),MAX($M$2:M826)+1,0)</f>
        <v>825</v>
      </c>
      <c r="S827" s="419" t="s">
        <v>3189</v>
      </c>
      <c r="T827" t="str">
        <f>IFERROR(VLOOKUP(ROWS($T$3:T827),$R$3:$S$992,2,0),"")</f>
        <v>Činnosti profesních organizací</v>
      </c>
      <c r="U827">
        <f>IF(ISNUMBER(SEARCH('1Př1'!$A$36,N827)),MAX($M$2:M826)+1,0)</f>
        <v>825</v>
      </c>
      <c r="V827" s="419" t="s">
        <v>3189</v>
      </c>
      <c r="W827" t="str">
        <f>IFERROR(VLOOKUP(ROWS($W$3:W827),$U$3:$V$992,2,0),"")</f>
        <v>Činnosti profesních organizací</v>
      </c>
      <c r="X827">
        <f>IF(ISNUMBER(SEARCH('1Př1'!$A$37,N827)),MAX($M$2:M826)+1,0)</f>
        <v>825</v>
      </c>
      <c r="Y827" s="419" t="s">
        <v>3189</v>
      </c>
      <c r="Z827" t="str">
        <f>IFERROR(VLOOKUP(ROWS($Z$3:Z827),$X$3:$Y$992,2,0),"")</f>
        <v>Činnosti profesních organizací</v>
      </c>
    </row>
    <row r="828" spans="13:26" ht="12.75">
      <c r="M828" s="418">
        <f>IF(ISNUMBER(SEARCH(ZAKL_DATA!$B$29,N828)),MAX($M$2:M827)+1,0)</f>
        <v>826</v>
      </c>
      <c r="N828" s="419" t="s">
        <v>3191</v>
      </c>
      <c r="O828" s="436" t="s">
        <v>3192</v>
      </c>
      <c r="P828" s="421"/>
      <c r="Q828" s="422" t="str">
        <f>IFERROR(VLOOKUP(ROWS($Q$3:Q828),$M$3:$N$992,2,0),"")</f>
        <v>Činnosti náboženských organizací</v>
      </c>
      <c r="R828">
        <f>IF(ISNUMBER(SEARCH('1Př1'!$A$35,N828)),MAX($M$2:M827)+1,0)</f>
        <v>826</v>
      </c>
      <c r="S828" s="419" t="s">
        <v>3191</v>
      </c>
      <c r="T828" t="str">
        <f>IFERROR(VLOOKUP(ROWS($T$3:T828),$R$3:$S$992,2,0),"")</f>
        <v>Činnosti náboženských organizací</v>
      </c>
      <c r="U828">
        <f>IF(ISNUMBER(SEARCH('1Př1'!$A$36,N828)),MAX($M$2:M827)+1,0)</f>
        <v>826</v>
      </c>
      <c r="V828" s="419" t="s">
        <v>3191</v>
      </c>
      <c r="W828" t="str">
        <f>IFERROR(VLOOKUP(ROWS($W$3:W828),$U$3:$V$992,2,0),"")</f>
        <v>Činnosti náboženských organizací</v>
      </c>
      <c r="X828">
        <f>IF(ISNUMBER(SEARCH('1Př1'!$A$37,N828)),MAX($M$2:M827)+1,0)</f>
        <v>826</v>
      </c>
      <c r="Y828" s="419" t="s">
        <v>3191</v>
      </c>
      <c r="Z828" t="str">
        <f>IFERROR(VLOOKUP(ROWS($Z$3:Z828),$X$3:$Y$992,2,0),"")</f>
        <v>Činnosti náboženských organizací</v>
      </c>
    </row>
    <row r="829" spans="13:26" ht="12.75">
      <c r="M829" s="418">
        <f>IF(ISNUMBER(SEARCH(ZAKL_DATA!$B$29,N829)),MAX($M$2:M828)+1,0)</f>
        <v>827</v>
      </c>
      <c r="N829" s="419" t="s">
        <v>3193</v>
      </c>
      <c r="O829" s="436" t="s">
        <v>3194</v>
      </c>
      <c r="P829" s="421"/>
      <c r="Q829" s="422" t="str">
        <f>IFERROR(VLOOKUP(ROWS($Q$3:Q829),$M$3:$N$992,2,0),"")</f>
        <v>Činnosti politických stran a organizací</v>
      </c>
      <c r="R829">
        <f>IF(ISNUMBER(SEARCH('1Př1'!$A$35,N829)),MAX($M$2:M828)+1,0)</f>
        <v>827</v>
      </c>
      <c r="S829" s="419" t="s">
        <v>3193</v>
      </c>
      <c r="T829" t="str">
        <f>IFERROR(VLOOKUP(ROWS($T$3:T829),$R$3:$S$992,2,0),"")</f>
        <v>Činnosti politických stran a organizací</v>
      </c>
      <c r="U829">
        <f>IF(ISNUMBER(SEARCH('1Př1'!$A$36,N829)),MAX($M$2:M828)+1,0)</f>
        <v>827</v>
      </c>
      <c r="V829" s="419" t="s">
        <v>3193</v>
      </c>
      <c r="W829" t="str">
        <f>IFERROR(VLOOKUP(ROWS($W$3:W829),$U$3:$V$992,2,0),"")</f>
        <v>Činnosti politických stran a organizací</v>
      </c>
      <c r="X829">
        <f>IF(ISNUMBER(SEARCH('1Př1'!$A$37,N829)),MAX($M$2:M828)+1,0)</f>
        <v>827</v>
      </c>
      <c r="Y829" s="419" t="s">
        <v>3193</v>
      </c>
      <c r="Z829" t="str">
        <f>IFERROR(VLOOKUP(ROWS($Z$3:Z829),$X$3:$Y$992,2,0),"")</f>
        <v>Činnosti politických stran a organizací</v>
      </c>
    </row>
    <row r="830" spans="13:26" ht="12.75">
      <c r="M830" s="418">
        <f>IF(ISNUMBER(SEARCH(ZAKL_DATA!$B$29,N830)),MAX($M$2:M829)+1,0)</f>
        <v>828</v>
      </c>
      <c r="N830" s="419" t="s">
        <v>3195</v>
      </c>
      <c r="O830" s="436" t="s">
        <v>3196</v>
      </c>
      <c r="P830" s="421"/>
      <c r="Q830" s="422" t="str">
        <f>IFERROR(VLOOKUP(ROWS($Q$3:Q830),$M$3:$N$992,2,0),"")</f>
        <v>Činnosti ost.org.sdružujících osoby za účelem prosazování spol.zájmů j.n.</v>
      </c>
      <c r="R830">
        <f>IF(ISNUMBER(SEARCH('1Př1'!$A$35,N830)),MAX($M$2:M829)+1,0)</f>
        <v>828</v>
      </c>
      <c r="S830" s="419" t="s">
        <v>3195</v>
      </c>
      <c r="T830" t="str">
        <f>IFERROR(VLOOKUP(ROWS($T$3:T830),$R$3:$S$992,2,0),"")</f>
        <v>Činnosti ost.org.sdružujících osoby za účelem prosazování spol.zájmů j.n.</v>
      </c>
      <c r="U830">
        <f>IF(ISNUMBER(SEARCH('1Př1'!$A$36,N830)),MAX($M$2:M829)+1,0)</f>
        <v>828</v>
      </c>
      <c r="V830" s="419" t="s">
        <v>3195</v>
      </c>
      <c r="W830" t="str">
        <f>IFERROR(VLOOKUP(ROWS($W$3:W830),$U$3:$V$992,2,0),"")</f>
        <v>Činnosti ost.org.sdružujících osoby za účelem prosazování spol.zájmů j.n.</v>
      </c>
      <c r="X830">
        <f>IF(ISNUMBER(SEARCH('1Př1'!$A$37,N830)),MAX($M$2:M829)+1,0)</f>
        <v>828</v>
      </c>
      <c r="Y830" s="419" t="s">
        <v>3195</v>
      </c>
      <c r="Z830" t="str">
        <f>IFERROR(VLOOKUP(ROWS($Z$3:Z830),$X$3:$Y$992,2,0),"")</f>
        <v>Činnosti ost.org.sdružujících osoby za účelem prosazování spol.zájmů j.n.</v>
      </c>
    </row>
    <row r="831" spans="13:26" ht="12.75">
      <c r="M831" s="418">
        <f>IF(ISNUMBER(SEARCH(ZAKL_DATA!$B$29,N831)),MAX($M$2:M830)+1,0)</f>
        <v>829</v>
      </c>
      <c r="N831" s="419" t="s">
        <v>3197</v>
      </c>
      <c r="O831" s="436" t="s">
        <v>3198</v>
      </c>
      <c r="P831" s="421"/>
      <c r="Q831" s="422" t="str">
        <f>IFERROR(VLOOKUP(ROWS($Q$3:Q831),$M$3:$N$992,2,0),"")</f>
        <v>Opravy počítačů a periferních zařízení</v>
      </c>
      <c r="R831">
        <f>IF(ISNUMBER(SEARCH('1Př1'!$A$35,N831)),MAX($M$2:M830)+1,0)</f>
        <v>829</v>
      </c>
      <c r="S831" s="419" t="s">
        <v>3197</v>
      </c>
      <c r="T831" t="str">
        <f>IFERROR(VLOOKUP(ROWS($T$3:T831),$R$3:$S$992,2,0),"")</f>
        <v>Opravy počítačů a periferních zařízení</v>
      </c>
      <c r="U831">
        <f>IF(ISNUMBER(SEARCH('1Př1'!$A$36,N831)),MAX($M$2:M830)+1,0)</f>
        <v>829</v>
      </c>
      <c r="V831" s="419" t="s">
        <v>3197</v>
      </c>
      <c r="W831" t="str">
        <f>IFERROR(VLOOKUP(ROWS($W$3:W831),$U$3:$V$992,2,0),"")</f>
        <v>Opravy počítačů a periferních zařízení</v>
      </c>
      <c r="X831">
        <f>IF(ISNUMBER(SEARCH('1Př1'!$A$37,N831)),MAX($M$2:M830)+1,0)</f>
        <v>829</v>
      </c>
      <c r="Y831" s="419" t="s">
        <v>3197</v>
      </c>
      <c r="Z831" t="str">
        <f>IFERROR(VLOOKUP(ROWS($Z$3:Z831),$X$3:$Y$992,2,0),"")</f>
        <v>Opravy počítačů a periferních zařízení</v>
      </c>
    </row>
    <row r="832" spans="13:26" ht="12.75">
      <c r="M832" s="418">
        <f>IF(ISNUMBER(SEARCH(ZAKL_DATA!$B$29,N832)),MAX($M$2:M831)+1,0)</f>
        <v>830</v>
      </c>
      <c r="N832" s="419" t="s">
        <v>3199</v>
      </c>
      <c r="O832" s="436" t="s">
        <v>3200</v>
      </c>
      <c r="P832" s="421"/>
      <c r="Q832" s="422" t="str">
        <f>IFERROR(VLOOKUP(ROWS($Q$3:Q832),$M$3:$N$992,2,0),"")</f>
        <v>Opravy komunikačních zařízení</v>
      </c>
      <c r="R832">
        <f>IF(ISNUMBER(SEARCH('1Př1'!$A$35,N832)),MAX($M$2:M831)+1,0)</f>
        <v>830</v>
      </c>
      <c r="S832" s="419" t="s">
        <v>3199</v>
      </c>
      <c r="T832" t="str">
        <f>IFERROR(VLOOKUP(ROWS($T$3:T832),$R$3:$S$992,2,0),"")</f>
        <v>Opravy komunikačních zařízení</v>
      </c>
      <c r="U832">
        <f>IF(ISNUMBER(SEARCH('1Př1'!$A$36,N832)),MAX($M$2:M831)+1,0)</f>
        <v>830</v>
      </c>
      <c r="V832" s="419" t="s">
        <v>3199</v>
      </c>
      <c r="W832" t="str">
        <f>IFERROR(VLOOKUP(ROWS($W$3:W832),$U$3:$V$992,2,0),"")</f>
        <v>Opravy komunikačních zařízení</v>
      </c>
      <c r="X832">
        <f>IF(ISNUMBER(SEARCH('1Př1'!$A$37,N832)),MAX($M$2:M831)+1,0)</f>
        <v>830</v>
      </c>
      <c r="Y832" s="419" t="s">
        <v>3199</v>
      </c>
      <c r="Z832" t="str">
        <f>IFERROR(VLOOKUP(ROWS($Z$3:Z832),$X$3:$Y$992,2,0),"")</f>
        <v>Opravy komunikačních zařízení</v>
      </c>
    </row>
    <row r="833" spans="13:26" ht="12.75">
      <c r="M833" s="418">
        <f>IF(ISNUMBER(SEARCH(ZAKL_DATA!$B$29,N833)),MAX($M$2:M832)+1,0)</f>
        <v>831</v>
      </c>
      <c r="N833" s="419" t="s">
        <v>3201</v>
      </c>
      <c r="O833" s="436" t="s">
        <v>3202</v>
      </c>
      <c r="P833" s="421"/>
      <c r="Q833" s="422" t="str">
        <f>IFERROR(VLOOKUP(ROWS($Q$3:Q833),$M$3:$N$992,2,0),"")</f>
        <v>Opravy spotřební elektroniky</v>
      </c>
      <c r="R833">
        <f>IF(ISNUMBER(SEARCH('1Př1'!$A$35,N833)),MAX($M$2:M832)+1,0)</f>
        <v>831</v>
      </c>
      <c r="S833" s="419" t="s">
        <v>3201</v>
      </c>
      <c r="T833" t="str">
        <f>IFERROR(VLOOKUP(ROWS($T$3:T833),$R$3:$S$992,2,0),"")</f>
        <v>Opravy spotřební elektroniky</v>
      </c>
      <c r="U833">
        <f>IF(ISNUMBER(SEARCH('1Př1'!$A$36,N833)),MAX($M$2:M832)+1,0)</f>
        <v>831</v>
      </c>
      <c r="V833" s="419" t="s">
        <v>3201</v>
      </c>
      <c r="W833" t="str">
        <f>IFERROR(VLOOKUP(ROWS($W$3:W833),$U$3:$V$992,2,0),"")</f>
        <v>Opravy spotřební elektroniky</v>
      </c>
      <c r="X833">
        <f>IF(ISNUMBER(SEARCH('1Př1'!$A$37,N833)),MAX($M$2:M832)+1,0)</f>
        <v>831</v>
      </c>
      <c r="Y833" s="419" t="s">
        <v>3201</v>
      </c>
      <c r="Z833" t="str">
        <f>IFERROR(VLOOKUP(ROWS($Z$3:Z833),$X$3:$Y$992,2,0),"")</f>
        <v>Opravy spotřební elektroniky</v>
      </c>
    </row>
    <row r="834" spans="13:26" ht="12.75">
      <c r="M834" s="418">
        <f>IF(ISNUMBER(SEARCH(ZAKL_DATA!$B$29,N834)),MAX($M$2:M833)+1,0)</f>
        <v>832</v>
      </c>
      <c r="N834" s="419" t="s">
        <v>3203</v>
      </c>
      <c r="O834" s="436" t="s">
        <v>3204</v>
      </c>
      <c r="P834" s="421"/>
      <c r="Q834" s="422" t="str">
        <f>IFERROR(VLOOKUP(ROWS($Q$3:Q834),$M$3:$N$992,2,0),"")</f>
        <v>Opravy přístrojů a zařízení převážně pro domácnost, dům a zahradu</v>
      </c>
      <c r="R834">
        <f>IF(ISNUMBER(SEARCH('1Př1'!$A$35,N834)),MAX($M$2:M833)+1,0)</f>
        <v>832</v>
      </c>
      <c r="S834" s="419" t="s">
        <v>3203</v>
      </c>
      <c r="T834" t="str">
        <f>IFERROR(VLOOKUP(ROWS($T$3:T834),$R$3:$S$992,2,0),"")</f>
        <v>Opravy přístrojů a zařízení převážně pro domácnost, dům a zahradu</v>
      </c>
      <c r="U834">
        <f>IF(ISNUMBER(SEARCH('1Př1'!$A$36,N834)),MAX($M$2:M833)+1,0)</f>
        <v>832</v>
      </c>
      <c r="V834" s="419" t="s">
        <v>3203</v>
      </c>
      <c r="W834" t="str">
        <f>IFERROR(VLOOKUP(ROWS($W$3:W834),$U$3:$V$992,2,0),"")</f>
        <v>Opravy přístrojů a zařízení převážně pro domácnost, dům a zahradu</v>
      </c>
      <c r="X834">
        <f>IF(ISNUMBER(SEARCH('1Př1'!$A$37,N834)),MAX($M$2:M833)+1,0)</f>
        <v>832</v>
      </c>
      <c r="Y834" s="419" t="s">
        <v>3203</v>
      </c>
      <c r="Z834" t="str">
        <f>IFERROR(VLOOKUP(ROWS($Z$3:Z834),$X$3:$Y$992,2,0),"")</f>
        <v>Opravy přístrojů a zařízení převážně pro domácnost, dům a zahradu</v>
      </c>
    </row>
    <row r="835" spans="13:26" ht="12.75">
      <c r="M835" s="418">
        <f>IF(ISNUMBER(SEARCH(ZAKL_DATA!$B$29,N835)),MAX($M$2:M834)+1,0)</f>
        <v>833</v>
      </c>
      <c r="N835" s="419" t="s">
        <v>3205</v>
      </c>
      <c r="O835" s="436" t="s">
        <v>3206</v>
      </c>
      <c r="P835" s="421"/>
      <c r="Q835" s="422" t="str">
        <f>IFERROR(VLOOKUP(ROWS($Q$3:Q835),$M$3:$N$992,2,0),"")</f>
        <v>Opravy obuvi a kožených výrobků</v>
      </c>
      <c r="R835">
        <f>IF(ISNUMBER(SEARCH('1Př1'!$A$35,N835)),MAX($M$2:M834)+1,0)</f>
        <v>833</v>
      </c>
      <c r="S835" s="419" t="s">
        <v>3205</v>
      </c>
      <c r="T835" t="str">
        <f>IFERROR(VLOOKUP(ROWS($T$3:T835),$R$3:$S$992,2,0),"")</f>
        <v>Opravy obuvi a kožených výrobků</v>
      </c>
      <c r="U835">
        <f>IF(ISNUMBER(SEARCH('1Př1'!$A$36,N835)),MAX($M$2:M834)+1,0)</f>
        <v>833</v>
      </c>
      <c r="V835" s="419" t="s">
        <v>3205</v>
      </c>
      <c r="W835" t="str">
        <f>IFERROR(VLOOKUP(ROWS($W$3:W835),$U$3:$V$992,2,0),"")</f>
        <v>Opravy obuvi a kožených výrobků</v>
      </c>
      <c r="X835">
        <f>IF(ISNUMBER(SEARCH('1Př1'!$A$37,N835)),MAX($M$2:M834)+1,0)</f>
        <v>833</v>
      </c>
      <c r="Y835" s="419" t="s">
        <v>3205</v>
      </c>
      <c r="Z835" t="str">
        <f>IFERROR(VLOOKUP(ROWS($Z$3:Z835),$X$3:$Y$992,2,0),"")</f>
        <v>Opravy obuvi a kožených výrobků</v>
      </c>
    </row>
    <row r="836" spans="13:26" ht="12.75">
      <c r="M836" s="418">
        <f>IF(ISNUMBER(SEARCH(ZAKL_DATA!$B$29,N836)),MAX($M$2:M835)+1,0)</f>
        <v>834</v>
      </c>
      <c r="N836" s="419" t="s">
        <v>3207</v>
      </c>
      <c r="O836" s="436" t="s">
        <v>3208</v>
      </c>
      <c r="P836" s="421"/>
      <c r="Q836" s="422" t="str">
        <f>IFERROR(VLOOKUP(ROWS($Q$3:Q836),$M$3:$N$992,2,0),"")</f>
        <v>Opravy nábytku a bytového zařízení</v>
      </c>
      <c r="R836">
        <f>IF(ISNUMBER(SEARCH('1Př1'!$A$35,N836)),MAX($M$2:M835)+1,0)</f>
        <v>834</v>
      </c>
      <c r="S836" s="419" t="s">
        <v>3207</v>
      </c>
      <c r="T836" t="str">
        <f>IFERROR(VLOOKUP(ROWS($T$3:T836),$R$3:$S$992,2,0),"")</f>
        <v>Opravy nábytku a bytového zařízení</v>
      </c>
      <c r="U836">
        <f>IF(ISNUMBER(SEARCH('1Př1'!$A$36,N836)),MAX($M$2:M835)+1,0)</f>
        <v>834</v>
      </c>
      <c r="V836" s="419" t="s">
        <v>3207</v>
      </c>
      <c r="W836" t="str">
        <f>IFERROR(VLOOKUP(ROWS($W$3:W836),$U$3:$V$992,2,0),"")</f>
        <v>Opravy nábytku a bytového zařízení</v>
      </c>
      <c r="X836">
        <f>IF(ISNUMBER(SEARCH('1Př1'!$A$37,N836)),MAX($M$2:M835)+1,0)</f>
        <v>834</v>
      </c>
      <c r="Y836" s="419" t="s">
        <v>3207</v>
      </c>
      <c r="Z836" t="str">
        <f>IFERROR(VLOOKUP(ROWS($Z$3:Z836),$X$3:$Y$992,2,0),"")</f>
        <v>Opravy nábytku a bytového zařízení</v>
      </c>
    </row>
    <row r="837" spans="13:26" ht="12.75">
      <c r="M837" s="418">
        <f>IF(ISNUMBER(SEARCH(ZAKL_DATA!$B$29,N837)),MAX($M$2:M836)+1,0)</f>
        <v>835</v>
      </c>
      <c r="N837" s="419" t="s">
        <v>3209</v>
      </c>
      <c r="O837" s="436" t="s">
        <v>3210</v>
      </c>
      <c r="P837" s="421"/>
      <c r="Q837" s="422" t="str">
        <f>IFERROR(VLOOKUP(ROWS($Q$3:Q837),$M$3:$N$992,2,0),"")</f>
        <v>Opravy hodin, hodinek a klenotnických výrobků</v>
      </c>
      <c r="R837">
        <f>IF(ISNUMBER(SEARCH('1Př1'!$A$35,N837)),MAX($M$2:M836)+1,0)</f>
        <v>835</v>
      </c>
      <c r="S837" s="419" t="s">
        <v>3209</v>
      </c>
      <c r="T837" t="str">
        <f>IFERROR(VLOOKUP(ROWS($T$3:T837),$R$3:$S$992,2,0),"")</f>
        <v>Opravy hodin, hodinek a klenotnických výrobků</v>
      </c>
      <c r="U837">
        <f>IF(ISNUMBER(SEARCH('1Př1'!$A$36,N837)),MAX($M$2:M836)+1,0)</f>
        <v>835</v>
      </c>
      <c r="V837" s="419" t="s">
        <v>3209</v>
      </c>
      <c r="W837" t="str">
        <f>IFERROR(VLOOKUP(ROWS($W$3:W837),$U$3:$V$992,2,0),"")</f>
        <v>Opravy hodin, hodinek a klenotnických výrobků</v>
      </c>
      <c r="X837">
        <f>IF(ISNUMBER(SEARCH('1Př1'!$A$37,N837)),MAX($M$2:M836)+1,0)</f>
        <v>835</v>
      </c>
      <c r="Y837" s="419" t="s">
        <v>3209</v>
      </c>
      <c r="Z837" t="str">
        <f>IFERROR(VLOOKUP(ROWS($Z$3:Z837),$X$3:$Y$992,2,0),"")</f>
        <v>Opravy hodin, hodinek a klenotnických výrobků</v>
      </c>
    </row>
    <row r="838" spans="13:26" ht="12.75">
      <c r="M838" s="418">
        <f>IF(ISNUMBER(SEARCH(ZAKL_DATA!$B$29,N838)),MAX($M$2:M837)+1,0)</f>
        <v>836</v>
      </c>
      <c r="N838" s="419" t="s">
        <v>3211</v>
      </c>
      <c r="O838" s="436" t="s">
        <v>3212</v>
      </c>
      <c r="P838" s="421"/>
      <c r="Q838" s="422" t="str">
        <f>IFERROR(VLOOKUP(ROWS($Q$3:Q838),$M$3:$N$992,2,0),"")</f>
        <v>Opravy ostatních výrobků pro osobní potřebu a převážně pro domácnost</v>
      </c>
      <c r="R838">
        <f>IF(ISNUMBER(SEARCH('1Př1'!$A$35,N838)),MAX($M$2:M837)+1,0)</f>
        <v>836</v>
      </c>
      <c r="S838" s="419" t="s">
        <v>3211</v>
      </c>
      <c r="T838" t="str">
        <f>IFERROR(VLOOKUP(ROWS($T$3:T838),$R$3:$S$992,2,0),"")</f>
        <v>Opravy ostatních výrobků pro osobní potřebu a převážně pro domácnost</v>
      </c>
      <c r="U838">
        <f>IF(ISNUMBER(SEARCH('1Př1'!$A$36,N838)),MAX($M$2:M837)+1,0)</f>
        <v>836</v>
      </c>
      <c r="V838" s="419" t="s">
        <v>3211</v>
      </c>
      <c r="W838" t="str">
        <f>IFERROR(VLOOKUP(ROWS($W$3:W838),$U$3:$V$992,2,0),"")</f>
        <v>Opravy ostatních výrobků pro osobní potřebu a převážně pro domácnost</v>
      </c>
      <c r="X838">
        <f>IF(ISNUMBER(SEARCH('1Př1'!$A$37,N838)),MAX($M$2:M837)+1,0)</f>
        <v>836</v>
      </c>
      <c r="Y838" s="419" t="s">
        <v>3211</v>
      </c>
      <c r="Z838" t="str">
        <f>IFERROR(VLOOKUP(ROWS($Z$3:Z838),$X$3:$Y$992,2,0),"")</f>
        <v>Opravy ostatních výrobků pro osobní potřebu a převážně pro domácnost</v>
      </c>
    </row>
    <row r="839" spans="13:26" ht="12.75">
      <c r="M839" s="418">
        <f>IF(ISNUMBER(SEARCH(ZAKL_DATA!$B$29,N839)),MAX($M$2:M838)+1,0)</f>
        <v>837</v>
      </c>
      <c r="N839" s="419" t="s">
        <v>3213</v>
      </c>
      <c r="O839" s="436" t="s">
        <v>3214</v>
      </c>
      <c r="P839" s="421"/>
      <c r="Q839" s="422" t="str">
        <f>IFERROR(VLOOKUP(ROWS($Q$3:Q839),$M$3:$N$992,2,0),"")</f>
        <v>Praní a chemické čištění textilních a kožešinových výrobků</v>
      </c>
      <c r="R839">
        <f>IF(ISNUMBER(SEARCH('1Př1'!$A$35,N839)),MAX($M$2:M838)+1,0)</f>
        <v>837</v>
      </c>
      <c r="S839" s="419" t="s">
        <v>3213</v>
      </c>
      <c r="T839" t="str">
        <f>IFERROR(VLOOKUP(ROWS($T$3:T839),$R$3:$S$992,2,0),"")</f>
        <v>Praní a chemické čištění textilních a kožešinových výrobků</v>
      </c>
      <c r="U839">
        <f>IF(ISNUMBER(SEARCH('1Př1'!$A$36,N839)),MAX($M$2:M838)+1,0)</f>
        <v>837</v>
      </c>
      <c r="V839" s="419" t="s">
        <v>3213</v>
      </c>
      <c r="W839" t="str">
        <f>IFERROR(VLOOKUP(ROWS($W$3:W839),$U$3:$V$992,2,0),"")</f>
        <v>Praní a chemické čištění textilních a kožešinových výrobků</v>
      </c>
      <c r="X839">
        <f>IF(ISNUMBER(SEARCH('1Př1'!$A$37,N839)),MAX($M$2:M838)+1,0)</f>
        <v>837</v>
      </c>
      <c r="Y839" s="419" t="s">
        <v>3213</v>
      </c>
      <c r="Z839" t="str">
        <f>IFERROR(VLOOKUP(ROWS($Z$3:Z839),$X$3:$Y$992,2,0),"")</f>
        <v>Praní a chemické čištění textilních a kožešinových výrobků</v>
      </c>
    </row>
    <row r="840" spans="13:26" ht="12.75">
      <c r="M840" s="418">
        <f>IF(ISNUMBER(SEARCH(ZAKL_DATA!$B$29,N840)),MAX($M$2:M839)+1,0)</f>
        <v>838</v>
      </c>
      <c r="N840" s="419" t="s">
        <v>3215</v>
      </c>
      <c r="O840" s="436" t="s">
        <v>3216</v>
      </c>
      <c r="P840" s="421"/>
      <c r="Q840" s="422" t="str">
        <f>IFERROR(VLOOKUP(ROWS($Q$3:Q840),$M$3:$N$992,2,0),"")</f>
        <v>Kadeřnické, kosmetické a podobné činnosti</v>
      </c>
      <c r="R840">
        <f>IF(ISNUMBER(SEARCH('1Př1'!$A$35,N840)),MAX($M$2:M839)+1,0)</f>
        <v>838</v>
      </c>
      <c r="S840" s="419" t="s">
        <v>3215</v>
      </c>
      <c r="T840" t="str">
        <f>IFERROR(VLOOKUP(ROWS($T$3:T840),$R$3:$S$992,2,0),"")</f>
        <v>Kadeřnické, kosmetické a podobné činnosti</v>
      </c>
      <c r="U840">
        <f>IF(ISNUMBER(SEARCH('1Př1'!$A$36,N840)),MAX($M$2:M839)+1,0)</f>
        <v>838</v>
      </c>
      <c r="V840" s="419" t="s">
        <v>3215</v>
      </c>
      <c r="W840" t="str">
        <f>IFERROR(VLOOKUP(ROWS($W$3:W840),$U$3:$V$992,2,0),"")</f>
        <v>Kadeřnické, kosmetické a podobné činnosti</v>
      </c>
      <c r="X840">
        <f>IF(ISNUMBER(SEARCH('1Př1'!$A$37,N840)),MAX($M$2:M839)+1,0)</f>
        <v>838</v>
      </c>
      <c r="Y840" s="419" t="s">
        <v>3215</v>
      </c>
      <c r="Z840" t="str">
        <f>IFERROR(VLOOKUP(ROWS($Z$3:Z840),$X$3:$Y$992,2,0),"")</f>
        <v>Kadeřnické, kosmetické a podobné činnosti</v>
      </c>
    </row>
    <row r="841" spans="13:26" ht="12.75">
      <c r="M841" s="418">
        <f>IF(ISNUMBER(SEARCH(ZAKL_DATA!$B$29,N841)),MAX($M$2:M840)+1,0)</f>
        <v>839</v>
      </c>
      <c r="N841" s="419" t="s">
        <v>3217</v>
      </c>
      <c r="O841" s="436" t="s">
        <v>3218</v>
      </c>
      <c r="P841" s="421"/>
      <c r="Q841" s="422" t="str">
        <f>IFERROR(VLOOKUP(ROWS($Q$3:Q841),$M$3:$N$992,2,0),"")</f>
        <v>Pohřební a související činnosti</v>
      </c>
      <c r="R841">
        <f>IF(ISNUMBER(SEARCH('1Př1'!$A$35,N841)),MAX($M$2:M840)+1,0)</f>
        <v>839</v>
      </c>
      <c r="S841" s="419" t="s">
        <v>3217</v>
      </c>
      <c r="T841" t="str">
        <f>IFERROR(VLOOKUP(ROWS($T$3:T841),$R$3:$S$992,2,0),"")</f>
        <v>Pohřební a související činnosti</v>
      </c>
      <c r="U841">
        <f>IF(ISNUMBER(SEARCH('1Př1'!$A$36,N841)),MAX($M$2:M840)+1,0)</f>
        <v>839</v>
      </c>
      <c r="V841" s="419" t="s">
        <v>3217</v>
      </c>
      <c r="W841" t="str">
        <f>IFERROR(VLOOKUP(ROWS($W$3:W841),$U$3:$V$992,2,0),"")</f>
        <v>Pohřební a související činnosti</v>
      </c>
      <c r="X841">
        <f>IF(ISNUMBER(SEARCH('1Př1'!$A$37,N841)),MAX($M$2:M840)+1,0)</f>
        <v>839</v>
      </c>
      <c r="Y841" s="419" t="s">
        <v>3217</v>
      </c>
      <c r="Z841" t="str">
        <f>IFERROR(VLOOKUP(ROWS($Z$3:Z841),$X$3:$Y$992,2,0),"")</f>
        <v>Pohřební a související činnosti</v>
      </c>
    </row>
    <row r="842" spans="13:26" ht="12.75">
      <c r="M842" s="418">
        <f>IF(ISNUMBER(SEARCH(ZAKL_DATA!$B$29,N842)),MAX($M$2:M841)+1,0)</f>
        <v>840</v>
      </c>
      <c r="N842" s="419" t="s">
        <v>3219</v>
      </c>
      <c r="O842" s="436" t="s">
        <v>3220</v>
      </c>
      <c r="P842" s="421"/>
      <c r="Q842" s="422" t="str">
        <f>IFERROR(VLOOKUP(ROWS($Q$3:Q842),$M$3:$N$992,2,0),"")</f>
        <v>Činnosti pro osobní a fyzickou pohodu</v>
      </c>
      <c r="R842">
        <f>IF(ISNUMBER(SEARCH('1Př1'!$A$35,N842)),MAX($M$2:M841)+1,0)</f>
        <v>840</v>
      </c>
      <c r="S842" s="419" t="s">
        <v>3219</v>
      </c>
      <c r="T842" t="str">
        <f>IFERROR(VLOOKUP(ROWS($T$3:T842),$R$3:$S$992,2,0),"")</f>
        <v>Činnosti pro osobní a fyzickou pohodu</v>
      </c>
      <c r="U842">
        <f>IF(ISNUMBER(SEARCH('1Př1'!$A$36,N842)),MAX($M$2:M841)+1,0)</f>
        <v>840</v>
      </c>
      <c r="V842" s="419" t="s">
        <v>3219</v>
      </c>
      <c r="W842" t="str">
        <f>IFERROR(VLOOKUP(ROWS($W$3:W842),$U$3:$V$992,2,0),"")</f>
        <v>Činnosti pro osobní a fyzickou pohodu</v>
      </c>
      <c r="X842">
        <f>IF(ISNUMBER(SEARCH('1Př1'!$A$37,N842)),MAX($M$2:M841)+1,0)</f>
        <v>840</v>
      </c>
      <c r="Y842" s="419" t="s">
        <v>3219</v>
      </c>
      <c r="Z842" t="str">
        <f>IFERROR(VLOOKUP(ROWS($Z$3:Z842),$X$3:$Y$992,2,0),"")</f>
        <v>Činnosti pro osobní a fyzickou pohodu</v>
      </c>
    </row>
    <row r="843" spans="13:26" ht="12.75">
      <c r="M843" s="418">
        <f>IF(ISNUMBER(SEARCH(ZAKL_DATA!$B$29,N843)),MAX($M$2:M842)+1,0)</f>
        <v>841</v>
      </c>
      <c r="N843" s="419" t="s">
        <v>3221</v>
      </c>
      <c r="O843" s="436" t="s">
        <v>3222</v>
      </c>
      <c r="P843" s="421"/>
      <c r="Q843" s="422" t="str">
        <f>IFERROR(VLOOKUP(ROWS($Q$3:Q843),$M$3:$N$992,2,0),"")</f>
        <v>Poskytování ostatních osobních služeb j. n.</v>
      </c>
      <c r="R843">
        <f>IF(ISNUMBER(SEARCH('1Př1'!$A$35,N843)),MAX($M$2:M842)+1,0)</f>
        <v>841</v>
      </c>
      <c r="S843" s="419" t="s">
        <v>3221</v>
      </c>
      <c r="T843" t="str">
        <f>IFERROR(VLOOKUP(ROWS($T$3:T843),$R$3:$S$992,2,0),"")</f>
        <v>Poskytování ostatních osobních služeb j. n.</v>
      </c>
      <c r="U843">
        <f>IF(ISNUMBER(SEARCH('1Př1'!$A$36,N843)),MAX($M$2:M842)+1,0)</f>
        <v>841</v>
      </c>
      <c r="V843" s="419" t="s">
        <v>3221</v>
      </c>
      <c r="W843" t="str">
        <f>IFERROR(VLOOKUP(ROWS($W$3:W843),$U$3:$V$992,2,0),"")</f>
        <v>Poskytování ostatních osobních služeb j. n.</v>
      </c>
      <c r="X843">
        <f>IF(ISNUMBER(SEARCH('1Př1'!$A$37,N843)),MAX($M$2:M842)+1,0)</f>
        <v>841</v>
      </c>
      <c r="Y843" s="419" t="s">
        <v>3221</v>
      </c>
      <c r="Z843" t="str">
        <f>IFERROR(VLOOKUP(ROWS($Z$3:Z843),$X$3:$Y$992,2,0),"")</f>
        <v>Poskytování ostatních osobních služeb j. n.</v>
      </c>
    </row>
    <row r="844" spans="13:26" ht="12.75">
      <c r="M844" s="418">
        <f>IF(ISNUMBER(SEARCH(ZAKL_DATA!$B$29,N844)),MAX($M$2:M843)+1,0)</f>
        <v>842</v>
      </c>
      <c r="N844" s="419" t="s">
        <v>3223</v>
      </c>
      <c r="O844" s="436" t="s">
        <v>2313</v>
      </c>
      <c r="P844" s="421"/>
      <c r="Q844" s="422" t="str">
        <f>IFERROR(VLOOKUP(ROWS($Q$3:Q844),$M$3:$N$992,2,0),"")</f>
        <v>Činnosti domácností produk.blíže neurčené výrobky pro vlastní potřebu</v>
      </c>
      <c r="R844">
        <f>IF(ISNUMBER(SEARCH('1Př1'!$A$35,N844)),MAX($M$2:M843)+1,0)</f>
        <v>842</v>
      </c>
      <c r="S844" s="419" t="s">
        <v>3223</v>
      </c>
      <c r="T844" t="str">
        <f>IFERROR(VLOOKUP(ROWS($T$3:T844),$R$3:$S$992,2,0),"")</f>
        <v>Činnosti domácností produk.blíže neurčené výrobky pro vlastní potřebu</v>
      </c>
      <c r="U844">
        <f>IF(ISNUMBER(SEARCH('1Př1'!$A$36,N844)),MAX($M$2:M843)+1,0)</f>
        <v>842</v>
      </c>
      <c r="V844" s="419" t="s">
        <v>3223</v>
      </c>
      <c r="W844" t="str">
        <f>IFERROR(VLOOKUP(ROWS($W$3:W844),$U$3:$V$992,2,0),"")</f>
        <v>Činnosti domácností produk.blíže neurčené výrobky pro vlastní potřebu</v>
      </c>
      <c r="X844">
        <f>IF(ISNUMBER(SEARCH('1Př1'!$A$37,N844)),MAX($M$2:M843)+1,0)</f>
        <v>842</v>
      </c>
      <c r="Y844" s="419" t="s">
        <v>3223</v>
      </c>
      <c r="Z844" t="str">
        <f>IFERROR(VLOOKUP(ROWS($Z$3:Z844),$X$3:$Y$992,2,0),"")</f>
        <v>Činnosti domácností produk.blíže neurčené výrobky pro vlastní potřebu</v>
      </c>
    </row>
    <row r="845" spans="13:26" ht="12.75">
      <c r="M845" s="418">
        <f>IF(ISNUMBER(SEARCH(ZAKL_DATA!$B$29,N845)),MAX($M$2:M844)+1,0)</f>
        <v>843</v>
      </c>
      <c r="N845" s="419" t="s">
        <v>3224</v>
      </c>
      <c r="O845" s="436" t="s">
        <v>3225</v>
      </c>
      <c r="P845" s="421"/>
      <c r="Q845" s="422" t="str">
        <f>IFERROR(VLOOKUP(ROWS($Q$3:Q845),$M$3:$N$992,2,0),"")</f>
        <v>Výroba obuvi s usňovým svrškem</v>
      </c>
      <c r="R845">
        <f>IF(ISNUMBER(SEARCH('1Př1'!$A$35,N845)),MAX($M$2:M844)+1,0)</f>
        <v>843</v>
      </c>
      <c r="S845" s="419" t="s">
        <v>3224</v>
      </c>
      <c r="T845" t="str">
        <f>IFERROR(VLOOKUP(ROWS($T$3:T845),$R$3:$S$992,2,0),"")</f>
        <v>Výroba obuvi s usňovým svrškem</v>
      </c>
      <c r="U845">
        <f>IF(ISNUMBER(SEARCH('1Př1'!$A$36,N845)),MAX($M$2:M844)+1,0)</f>
        <v>843</v>
      </c>
      <c r="V845" s="419" t="s">
        <v>3224</v>
      </c>
      <c r="W845" t="str">
        <f>IFERROR(VLOOKUP(ROWS($W$3:W845),$U$3:$V$992,2,0),"")</f>
        <v>Výroba obuvi s usňovým svrškem</v>
      </c>
      <c r="X845">
        <f>IF(ISNUMBER(SEARCH('1Př1'!$A$37,N845)),MAX($M$2:M844)+1,0)</f>
        <v>843</v>
      </c>
      <c r="Y845" s="419" t="s">
        <v>3224</v>
      </c>
      <c r="Z845" t="str">
        <f>IFERROR(VLOOKUP(ROWS($Z$3:Z845),$X$3:$Y$992,2,0),"")</f>
        <v>Výroba obuvi s usňovým svrškem</v>
      </c>
    </row>
    <row r="846" spans="13:26" ht="12.75">
      <c r="M846" s="418">
        <f>IF(ISNUMBER(SEARCH(ZAKL_DATA!$B$29,N846)),MAX($M$2:M845)+1,0)</f>
        <v>844</v>
      </c>
      <c r="N846" s="419" t="s">
        <v>3226</v>
      </c>
      <c r="O846" s="436" t="s">
        <v>3227</v>
      </c>
      <c r="P846" s="421"/>
      <c r="Q846" s="422" t="str">
        <f>IFERROR(VLOOKUP(ROWS($Q$3:Q846),$M$3:$N$992,2,0),"")</f>
        <v>Výroba obuvi z ostatních materiálů</v>
      </c>
      <c r="R846">
        <f>IF(ISNUMBER(SEARCH('1Př1'!$A$35,N846)),MAX($M$2:M845)+1,0)</f>
        <v>844</v>
      </c>
      <c r="S846" s="419" t="s">
        <v>3226</v>
      </c>
      <c r="T846" t="str">
        <f>IFERROR(VLOOKUP(ROWS($T$3:T846),$R$3:$S$992,2,0),"")</f>
        <v>Výroba obuvi z ostatních materiálů</v>
      </c>
      <c r="U846">
        <f>IF(ISNUMBER(SEARCH('1Př1'!$A$36,N846)),MAX($M$2:M845)+1,0)</f>
        <v>844</v>
      </c>
      <c r="V846" s="419" t="s">
        <v>3226</v>
      </c>
      <c r="W846" t="str">
        <f>IFERROR(VLOOKUP(ROWS($W$3:W846),$U$3:$V$992,2,0),"")</f>
        <v>Výroba obuvi z ostatních materiálů</v>
      </c>
      <c r="X846">
        <f>IF(ISNUMBER(SEARCH('1Př1'!$A$37,N846)),MAX($M$2:M845)+1,0)</f>
        <v>844</v>
      </c>
      <c r="Y846" s="419" t="s">
        <v>3226</v>
      </c>
      <c r="Z846" t="str">
        <f>IFERROR(VLOOKUP(ROWS($Z$3:Z846),$X$3:$Y$992,2,0),"")</f>
        <v>Výroba obuvi z ostatních materiálů</v>
      </c>
    </row>
    <row r="847" spans="13:26" ht="12.75">
      <c r="M847" s="418">
        <f>IF(ISNUMBER(SEARCH(ZAKL_DATA!$B$29,N847)),MAX($M$2:M846)+1,0)</f>
        <v>845</v>
      </c>
      <c r="N847" s="419" t="s">
        <v>3228</v>
      </c>
      <c r="O847" s="436" t="s">
        <v>3229</v>
      </c>
      <c r="P847" s="421"/>
      <c r="Q847" s="422" t="str">
        <f>IFERROR(VLOOKUP(ROWS($Q$3:Q847),$M$3:$N$992,2,0),"")</f>
        <v>Výroba chemických buničin</v>
      </c>
      <c r="R847">
        <f>IF(ISNUMBER(SEARCH('1Př1'!$A$35,N847)),MAX($M$2:M846)+1,0)</f>
        <v>845</v>
      </c>
      <c r="S847" s="419" t="s">
        <v>3228</v>
      </c>
      <c r="T847" t="str">
        <f>IFERROR(VLOOKUP(ROWS($T$3:T847),$R$3:$S$992,2,0),"")</f>
        <v>Výroba chemických buničin</v>
      </c>
      <c r="U847">
        <f>IF(ISNUMBER(SEARCH('1Př1'!$A$36,N847)),MAX($M$2:M846)+1,0)</f>
        <v>845</v>
      </c>
      <c r="V847" s="419" t="s">
        <v>3228</v>
      </c>
      <c r="W847" t="str">
        <f>IFERROR(VLOOKUP(ROWS($W$3:W847),$U$3:$V$992,2,0),"")</f>
        <v>Výroba chemických buničin</v>
      </c>
      <c r="X847">
        <f>IF(ISNUMBER(SEARCH('1Př1'!$A$37,N847)),MAX($M$2:M846)+1,0)</f>
        <v>845</v>
      </c>
      <c r="Y847" s="419" t="s">
        <v>3228</v>
      </c>
      <c r="Z847" t="str">
        <f>IFERROR(VLOOKUP(ROWS($Z$3:Z847),$X$3:$Y$992,2,0),"")</f>
        <v>Výroba chemických buničin</v>
      </c>
    </row>
    <row r="848" spans="13:26" ht="12.75">
      <c r="M848" s="418">
        <f>IF(ISNUMBER(SEARCH(ZAKL_DATA!$B$29,N848)),MAX($M$2:M847)+1,0)</f>
        <v>846</v>
      </c>
      <c r="N848" s="419" t="s">
        <v>3230</v>
      </c>
      <c r="O848" s="436" t="s">
        <v>3231</v>
      </c>
      <c r="P848" s="421"/>
      <c r="Q848" s="422" t="str">
        <f>IFERROR(VLOOKUP(ROWS($Q$3:Q848),$M$3:$N$992,2,0),"")</f>
        <v>Výroba mechanických vláknin</v>
      </c>
      <c r="R848">
        <f>IF(ISNUMBER(SEARCH('1Př1'!$A$35,N848)),MAX($M$2:M847)+1,0)</f>
        <v>846</v>
      </c>
      <c r="S848" s="419" t="s">
        <v>3230</v>
      </c>
      <c r="T848" t="str">
        <f>IFERROR(VLOOKUP(ROWS($T$3:T848),$R$3:$S$992,2,0),"")</f>
        <v>Výroba mechanických vláknin</v>
      </c>
      <c r="U848">
        <f>IF(ISNUMBER(SEARCH('1Př1'!$A$36,N848)),MAX($M$2:M847)+1,0)</f>
        <v>846</v>
      </c>
      <c r="V848" s="419" t="s">
        <v>3230</v>
      </c>
      <c r="W848" t="str">
        <f>IFERROR(VLOOKUP(ROWS($W$3:W848),$U$3:$V$992,2,0),"")</f>
        <v>Výroba mechanických vláknin</v>
      </c>
      <c r="X848">
        <f>IF(ISNUMBER(SEARCH('1Př1'!$A$37,N848)),MAX($M$2:M847)+1,0)</f>
        <v>846</v>
      </c>
      <c r="Y848" s="419" t="s">
        <v>3230</v>
      </c>
      <c r="Z848" t="str">
        <f>IFERROR(VLOOKUP(ROWS($Z$3:Z848),$X$3:$Y$992,2,0),"")</f>
        <v>Výroba mechanických vláknin</v>
      </c>
    </row>
    <row r="849" spans="13:26" ht="12.75">
      <c r="M849" s="418">
        <f>IF(ISNUMBER(SEARCH(ZAKL_DATA!$B$29,N849)),MAX($M$2:M848)+1,0)</f>
        <v>847</v>
      </c>
      <c r="N849" s="419" t="s">
        <v>3232</v>
      </c>
      <c r="O849" s="436" t="s">
        <v>3233</v>
      </c>
      <c r="P849" s="421"/>
      <c r="Q849" s="422" t="str">
        <f>IFERROR(VLOOKUP(ROWS($Q$3:Q849),$M$3:$N$992,2,0),"")</f>
        <v>Výroba ostatních papírenských vláknin</v>
      </c>
      <c r="R849">
        <f>IF(ISNUMBER(SEARCH('1Př1'!$A$35,N849)),MAX($M$2:M848)+1,0)</f>
        <v>847</v>
      </c>
      <c r="S849" s="419" t="s">
        <v>3232</v>
      </c>
      <c r="T849" t="str">
        <f>IFERROR(VLOOKUP(ROWS($T$3:T849),$R$3:$S$992,2,0),"")</f>
        <v>Výroba ostatních papírenských vláknin</v>
      </c>
      <c r="U849">
        <f>IF(ISNUMBER(SEARCH('1Př1'!$A$36,N849)),MAX($M$2:M848)+1,0)</f>
        <v>847</v>
      </c>
      <c r="V849" s="419" t="s">
        <v>3232</v>
      </c>
      <c r="W849" t="str">
        <f>IFERROR(VLOOKUP(ROWS($W$3:W849),$U$3:$V$992,2,0),"")</f>
        <v>Výroba ostatních papírenských vláknin</v>
      </c>
      <c r="X849">
        <f>IF(ISNUMBER(SEARCH('1Př1'!$A$37,N849)),MAX($M$2:M848)+1,0)</f>
        <v>847</v>
      </c>
      <c r="Y849" s="419" t="s">
        <v>3232</v>
      </c>
      <c r="Z849" t="str">
        <f>IFERROR(VLOOKUP(ROWS($Z$3:Z849),$X$3:$Y$992,2,0),"")</f>
        <v>Výroba ostatních papírenských vláknin</v>
      </c>
    </row>
    <row r="850" spans="13:26" ht="12.75">
      <c r="M850" s="418">
        <f>IF(ISNUMBER(SEARCH(ZAKL_DATA!$B$29,N850)),MAX($M$2:M849)+1,0)</f>
        <v>848</v>
      </c>
      <c r="N850" s="419" t="s">
        <v>3234</v>
      </c>
      <c r="O850" s="436" t="s">
        <v>3235</v>
      </c>
      <c r="P850" s="421"/>
      <c r="Q850" s="422" t="str">
        <f>IFERROR(VLOOKUP(ROWS($Q$3:Q850),$M$3:$N$992,2,0),"")</f>
        <v>Výroba bioet.(biolihu)pro pohon motorů a pro výr.směsí a komp.paliv</v>
      </c>
      <c r="R850">
        <f>IF(ISNUMBER(SEARCH('1Př1'!$A$35,N850)),MAX($M$2:M849)+1,0)</f>
        <v>848</v>
      </c>
      <c r="S850" s="419" t="s">
        <v>3234</v>
      </c>
      <c r="T850" t="str">
        <f>IFERROR(VLOOKUP(ROWS($T$3:T850),$R$3:$S$992,2,0),"")</f>
        <v>Výroba bioet.(biolihu)pro pohon motorů a pro výr.směsí a komp.paliv</v>
      </c>
      <c r="U850">
        <f>IF(ISNUMBER(SEARCH('1Př1'!$A$36,N850)),MAX($M$2:M849)+1,0)</f>
        <v>848</v>
      </c>
      <c r="V850" s="419" t="s">
        <v>3234</v>
      </c>
      <c r="W850" t="str">
        <f>IFERROR(VLOOKUP(ROWS($W$3:W850),$U$3:$V$992,2,0),"")</f>
        <v>Výroba bioet.(biolihu)pro pohon motorů a pro výr.směsí a komp.paliv</v>
      </c>
      <c r="X850">
        <f>IF(ISNUMBER(SEARCH('1Př1'!$A$37,N850)),MAX($M$2:M849)+1,0)</f>
        <v>848</v>
      </c>
      <c r="Y850" s="419" t="s">
        <v>3234</v>
      </c>
      <c r="Z850" t="str">
        <f>IFERROR(VLOOKUP(ROWS($Z$3:Z850),$X$3:$Y$992,2,0),"")</f>
        <v>Výroba bioet.(biolihu)pro pohon motorů a pro výr.směsí a komp.paliv</v>
      </c>
    </row>
    <row r="851" spans="13:26" ht="12.75">
      <c r="M851" s="418">
        <f>IF(ISNUMBER(SEARCH(ZAKL_DATA!$B$29,N851)),MAX($M$2:M850)+1,0)</f>
        <v>849</v>
      </c>
      <c r="N851" s="419" t="s">
        <v>3236</v>
      </c>
      <c r="O851" s="436" t="s">
        <v>3237</v>
      </c>
      <c r="P851" s="421"/>
      <c r="Q851" s="422" t="str">
        <f>IFERROR(VLOOKUP(ROWS($Q$3:Q851),$M$3:$N$992,2,0),"")</f>
        <v>Výroba ostatních základních organických chemických látek</v>
      </c>
      <c r="R851">
        <f>IF(ISNUMBER(SEARCH('1Př1'!$A$35,N851)),MAX($M$2:M850)+1,0)</f>
        <v>849</v>
      </c>
      <c r="S851" s="419" t="s">
        <v>3236</v>
      </c>
      <c r="T851" t="str">
        <f>IFERROR(VLOOKUP(ROWS($T$3:T851),$R$3:$S$992,2,0),"")</f>
        <v>Výroba ostatních základních organických chemických látek</v>
      </c>
      <c r="U851">
        <f>IF(ISNUMBER(SEARCH('1Př1'!$A$36,N851)),MAX($M$2:M850)+1,0)</f>
        <v>849</v>
      </c>
      <c r="V851" s="419" t="s">
        <v>3236</v>
      </c>
      <c r="W851" t="str">
        <f>IFERROR(VLOOKUP(ROWS($W$3:W851),$U$3:$V$992,2,0),"")</f>
        <v>Výroba ostatních základních organických chemických látek</v>
      </c>
      <c r="X851">
        <f>IF(ISNUMBER(SEARCH('1Př1'!$A$37,N851)),MAX($M$2:M850)+1,0)</f>
        <v>849</v>
      </c>
      <c r="Y851" s="419" t="s">
        <v>3236</v>
      </c>
      <c r="Z851" t="str">
        <f>IFERROR(VLOOKUP(ROWS($Z$3:Z851),$X$3:$Y$992,2,0),"")</f>
        <v>Výroba ostatních základních organických chemických látek</v>
      </c>
    </row>
    <row r="852" spans="13:26" ht="12.75">
      <c r="M852" s="418">
        <f>IF(ISNUMBER(SEARCH(ZAKL_DATA!$B$29,N852)),MAX($M$2:M851)+1,0)</f>
        <v>850</v>
      </c>
      <c r="N852" s="419" t="s">
        <v>3238</v>
      </c>
      <c r="O852" s="436" t="s">
        <v>3239</v>
      </c>
      <c r="P852" s="421"/>
      <c r="Q852" s="422" t="str">
        <f>IFERROR(VLOOKUP(ROWS($Q$3:Q852),$M$3:$N$992,2,0),"")</f>
        <v>Výr.metylesterů a etylesterů mast.kys.pro pohon motorů a pro výr.sm.p.</v>
      </c>
      <c r="R852">
        <f>IF(ISNUMBER(SEARCH('1Př1'!$A$35,N852)),MAX($M$2:M851)+1,0)</f>
        <v>850</v>
      </c>
      <c r="S852" s="419" t="s">
        <v>3238</v>
      </c>
      <c r="T852" t="str">
        <f>IFERROR(VLOOKUP(ROWS($T$3:T852),$R$3:$S$992,2,0),"")</f>
        <v>Výr.metylesterů a etylesterů mast.kys.pro pohon motorů a pro výr.sm.p.</v>
      </c>
      <c r="U852">
        <f>IF(ISNUMBER(SEARCH('1Př1'!$A$36,N852)),MAX($M$2:M851)+1,0)</f>
        <v>850</v>
      </c>
      <c r="V852" s="419" t="s">
        <v>3238</v>
      </c>
      <c r="W852" t="str">
        <f>IFERROR(VLOOKUP(ROWS($W$3:W852),$U$3:$V$992,2,0),"")</f>
        <v>Výr.metylesterů a etylesterů mast.kys.pro pohon motorů a pro výr.sm.p.</v>
      </c>
      <c r="X852">
        <f>IF(ISNUMBER(SEARCH('1Př1'!$A$37,N852)),MAX($M$2:M851)+1,0)</f>
        <v>850</v>
      </c>
      <c r="Y852" s="419" t="s">
        <v>3238</v>
      </c>
      <c r="Z852" t="str">
        <f>IFERROR(VLOOKUP(ROWS($Z$3:Z852),$X$3:$Y$992,2,0),"")</f>
        <v>Výr.metylesterů a etylesterů mast.kys.pro pohon motorů a pro výr.sm.p.</v>
      </c>
    </row>
    <row r="853" spans="13:26" ht="12.75">
      <c r="M853" s="418">
        <f>IF(ISNUMBER(SEARCH(ZAKL_DATA!$B$29,N853)),MAX($M$2:M852)+1,0)</f>
        <v>851</v>
      </c>
      <c r="N853" s="419" t="s">
        <v>3240</v>
      </c>
      <c r="O853" s="436" t="s">
        <v>3241</v>
      </c>
      <c r="P853" s="421"/>
      <c r="Q853" s="422" t="str">
        <f>IFERROR(VLOOKUP(ROWS($Q$3:Q853),$M$3:$N$992,2,0),"")</f>
        <v>Výroba jiných chemických výrobků j. n.</v>
      </c>
      <c r="R853">
        <f>IF(ISNUMBER(SEARCH('1Př1'!$A$35,N853)),MAX($M$2:M852)+1,0)</f>
        <v>851</v>
      </c>
      <c r="S853" s="419" t="s">
        <v>3240</v>
      </c>
      <c r="T853" t="str">
        <f>IFERROR(VLOOKUP(ROWS($T$3:T853),$R$3:$S$992,2,0),"")</f>
        <v>Výroba jiných chemických výrobků j. n.</v>
      </c>
      <c r="U853">
        <f>IF(ISNUMBER(SEARCH('1Př1'!$A$36,N853)),MAX($M$2:M852)+1,0)</f>
        <v>851</v>
      </c>
      <c r="V853" s="419" t="s">
        <v>3240</v>
      </c>
      <c r="W853" t="str">
        <f>IFERROR(VLOOKUP(ROWS($W$3:W853),$U$3:$V$992,2,0),"")</f>
        <v>Výroba jiných chemických výrobků j. n.</v>
      </c>
      <c r="X853">
        <f>IF(ISNUMBER(SEARCH('1Př1'!$A$37,N853)),MAX($M$2:M852)+1,0)</f>
        <v>851</v>
      </c>
      <c r="Y853" s="419" t="s">
        <v>3240</v>
      </c>
      <c r="Z853" t="str">
        <f>IFERROR(VLOOKUP(ROWS($Z$3:Z853),$X$3:$Y$992,2,0),"")</f>
        <v>Výroba jiných chemických výrobků j. n.</v>
      </c>
    </row>
    <row r="854" spans="13:26" ht="12.75">
      <c r="M854" s="418">
        <f>IF(ISNUMBER(SEARCH(ZAKL_DATA!$B$29,N854)),MAX($M$2:M853)+1,0)</f>
        <v>852</v>
      </c>
      <c r="N854" s="419" t="s">
        <v>3242</v>
      </c>
      <c r="O854" s="436" t="s">
        <v>3243</v>
      </c>
      <c r="P854" s="421"/>
      <c r="Q854" s="422" t="str">
        <f>IFERROR(VLOOKUP(ROWS($Q$3:Q854),$M$3:$N$992,2,0),"")</f>
        <v>Výroba surového železa, oceli a feroslitin</v>
      </c>
      <c r="R854">
        <f>IF(ISNUMBER(SEARCH('1Př1'!$A$35,N854)),MAX($M$2:M853)+1,0)</f>
        <v>852</v>
      </c>
      <c r="S854" s="419" t="s">
        <v>3242</v>
      </c>
      <c r="T854" t="str">
        <f>IFERROR(VLOOKUP(ROWS($T$3:T854),$R$3:$S$992,2,0),"")</f>
        <v>Výroba surového železa, oceli a feroslitin</v>
      </c>
      <c r="U854">
        <f>IF(ISNUMBER(SEARCH('1Př1'!$A$36,N854)),MAX($M$2:M853)+1,0)</f>
        <v>852</v>
      </c>
      <c r="V854" s="419" t="s">
        <v>3242</v>
      </c>
      <c r="W854" t="str">
        <f>IFERROR(VLOOKUP(ROWS($W$3:W854),$U$3:$V$992,2,0),"")</f>
        <v>Výroba surového železa, oceli a feroslitin</v>
      </c>
      <c r="X854">
        <f>IF(ISNUMBER(SEARCH('1Př1'!$A$37,N854)),MAX($M$2:M853)+1,0)</f>
        <v>852</v>
      </c>
      <c r="Y854" s="419" t="s">
        <v>3242</v>
      </c>
      <c r="Z854" t="str">
        <f>IFERROR(VLOOKUP(ROWS($Z$3:Z854),$X$3:$Y$992,2,0),"")</f>
        <v>Výroba surového železa, oceli a feroslitin</v>
      </c>
    </row>
    <row r="855" spans="13:26" ht="12.75">
      <c r="M855" s="418">
        <f>IF(ISNUMBER(SEARCH(ZAKL_DATA!$B$29,N855)),MAX($M$2:M854)+1,0)</f>
        <v>853</v>
      </c>
      <c r="N855" s="419" t="s">
        <v>3244</v>
      </c>
      <c r="O855" s="436" t="s">
        <v>3245</v>
      </c>
      <c r="P855" s="421"/>
      <c r="Q855" s="422" t="str">
        <f>IFERROR(VLOOKUP(ROWS($Q$3:Q855),$M$3:$N$992,2,0),"")</f>
        <v>Výroba plochých výrobků (kromě pásky za studena)</v>
      </c>
      <c r="R855">
        <f>IF(ISNUMBER(SEARCH('1Př1'!$A$35,N855)),MAX($M$2:M854)+1,0)</f>
        <v>853</v>
      </c>
      <c r="S855" s="419" t="s">
        <v>3244</v>
      </c>
      <c r="T855" t="str">
        <f>IFERROR(VLOOKUP(ROWS($T$3:T855),$R$3:$S$992,2,0),"")</f>
        <v>Výroba plochých výrobků (kromě pásky za studena)</v>
      </c>
      <c r="U855">
        <f>IF(ISNUMBER(SEARCH('1Př1'!$A$36,N855)),MAX($M$2:M854)+1,0)</f>
        <v>853</v>
      </c>
      <c r="V855" s="419" t="s">
        <v>3244</v>
      </c>
      <c r="W855" t="str">
        <f>IFERROR(VLOOKUP(ROWS($W$3:W855),$U$3:$V$992,2,0),"")</f>
        <v>Výroba plochých výrobků (kromě pásky za studena)</v>
      </c>
      <c r="X855">
        <f>IF(ISNUMBER(SEARCH('1Př1'!$A$37,N855)),MAX($M$2:M854)+1,0)</f>
        <v>853</v>
      </c>
      <c r="Y855" s="419" t="s">
        <v>3244</v>
      </c>
      <c r="Z855" t="str">
        <f>IFERROR(VLOOKUP(ROWS($Z$3:Z855),$X$3:$Y$992,2,0),"")</f>
        <v>Výroba plochých výrobků (kromě pásky za studena)</v>
      </c>
    </row>
    <row r="856" spans="13:26" ht="12.75">
      <c r="M856" s="418">
        <f>IF(ISNUMBER(SEARCH(ZAKL_DATA!$B$29,N856)),MAX($M$2:M855)+1,0)</f>
        <v>854</v>
      </c>
      <c r="N856" s="419" t="s">
        <v>3246</v>
      </c>
      <c r="O856" s="436" t="s">
        <v>3247</v>
      </c>
      <c r="P856" s="421"/>
      <c r="Q856" s="422" t="str">
        <f>IFERROR(VLOOKUP(ROWS($Q$3:Q856),$M$3:$N$992,2,0),"")</f>
        <v>Tváření výrobků za tepla</v>
      </c>
      <c r="R856">
        <f>IF(ISNUMBER(SEARCH('1Př1'!$A$35,N856)),MAX($M$2:M855)+1,0)</f>
        <v>854</v>
      </c>
      <c r="S856" s="419" t="s">
        <v>3246</v>
      </c>
      <c r="T856" t="str">
        <f>IFERROR(VLOOKUP(ROWS($T$3:T856),$R$3:$S$992,2,0),"")</f>
        <v>Tváření výrobků za tepla</v>
      </c>
      <c r="U856">
        <f>IF(ISNUMBER(SEARCH('1Př1'!$A$36,N856)),MAX($M$2:M855)+1,0)</f>
        <v>854</v>
      </c>
      <c r="V856" s="419" t="s">
        <v>3246</v>
      </c>
      <c r="W856" t="str">
        <f>IFERROR(VLOOKUP(ROWS($W$3:W856),$U$3:$V$992,2,0),"")</f>
        <v>Tváření výrobků za tepla</v>
      </c>
      <c r="X856">
        <f>IF(ISNUMBER(SEARCH('1Př1'!$A$37,N856)),MAX($M$2:M855)+1,0)</f>
        <v>854</v>
      </c>
      <c r="Y856" s="419" t="s">
        <v>3246</v>
      </c>
      <c r="Z856" t="str">
        <f>IFERROR(VLOOKUP(ROWS($Z$3:Z856),$X$3:$Y$992,2,0),"")</f>
        <v>Tváření výrobků za tepla</v>
      </c>
    </row>
    <row r="857" spans="13:26" ht="12.75">
      <c r="M857" s="418">
        <f>IF(ISNUMBER(SEARCH(ZAKL_DATA!$B$29,N857)),MAX($M$2:M856)+1,0)</f>
        <v>855</v>
      </c>
      <c r="N857" s="419" t="s">
        <v>3248</v>
      </c>
      <c r="O857" s="436" t="s">
        <v>3249</v>
      </c>
      <c r="P857" s="421"/>
      <c r="Q857" s="422" t="str">
        <f>IFERROR(VLOOKUP(ROWS($Q$3:Q857),$M$3:$N$992,2,0),"")</f>
        <v>Výroba odlitků z litiny s lupínkovým grafitem</v>
      </c>
      <c r="R857">
        <f>IF(ISNUMBER(SEARCH('1Př1'!$A$35,N857)),MAX($M$2:M856)+1,0)</f>
        <v>855</v>
      </c>
      <c r="S857" s="419" t="s">
        <v>3248</v>
      </c>
      <c r="T857" t="str">
        <f>IFERROR(VLOOKUP(ROWS($T$3:T857),$R$3:$S$992,2,0),"")</f>
        <v>Výroba odlitků z litiny s lupínkovým grafitem</v>
      </c>
      <c r="U857">
        <f>IF(ISNUMBER(SEARCH('1Př1'!$A$36,N857)),MAX($M$2:M856)+1,0)</f>
        <v>855</v>
      </c>
      <c r="V857" s="419" t="s">
        <v>3248</v>
      </c>
      <c r="W857" t="str">
        <f>IFERROR(VLOOKUP(ROWS($W$3:W857),$U$3:$V$992,2,0),"")</f>
        <v>Výroba odlitků z litiny s lupínkovým grafitem</v>
      </c>
      <c r="X857">
        <f>IF(ISNUMBER(SEARCH('1Př1'!$A$37,N857)),MAX($M$2:M856)+1,0)</f>
        <v>855</v>
      </c>
      <c r="Y857" s="419" t="s">
        <v>3248</v>
      </c>
      <c r="Z857" t="str">
        <f>IFERROR(VLOOKUP(ROWS($Z$3:Z857),$X$3:$Y$992,2,0),"")</f>
        <v>Výroba odlitků z litiny s lupínkovým grafitem</v>
      </c>
    </row>
    <row r="858" spans="13:26" ht="12.75">
      <c r="M858" s="418">
        <f>IF(ISNUMBER(SEARCH(ZAKL_DATA!$B$29,N858)),MAX($M$2:M857)+1,0)</f>
        <v>856</v>
      </c>
      <c r="N858" s="419" t="s">
        <v>3250</v>
      </c>
      <c r="O858" s="436" t="s">
        <v>3251</v>
      </c>
      <c r="P858" s="421"/>
      <c r="Q858" s="422" t="str">
        <f>IFERROR(VLOOKUP(ROWS($Q$3:Q858),$M$3:$N$992,2,0),"")</f>
        <v>Výroba odlitků z litiny s kuličkovým grafitem</v>
      </c>
      <c r="R858">
        <f>IF(ISNUMBER(SEARCH('1Př1'!$A$35,N858)),MAX($M$2:M857)+1,0)</f>
        <v>856</v>
      </c>
      <c r="S858" s="419" t="s">
        <v>3250</v>
      </c>
      <c r="T858" t="str">
        <f>IFERROR(VLOOKUP(ROWS($T$3:T858),$R$3:$S$992,2,0),"")</f>
        <v>Výroba odlitků z litiny s kuličkovým grafitem</v>
      </c>
      <c r="U858">
        <f>IF(ISNUMBER(SEARCH('1Př1'!$A$36,N858)),MAX($M$2:M857)+1,0)</f>
        <v>856</v>
      </c>
      <c r="V858" s="419" t="s">
        <v>3250</v>
      </c>
      <c r="W858" t="str">
        <f>IFERROR(VLOOKUP(ROWS($W$3:W858),$U$3:$V$992,2,0),"")</f>
        <v>Výroba odlitků z litiny s kuličkovým grafitem</v>
      </c>
      <c r="X858">
        <f>IF(ISNUMBER(SEARCH('1Př1'!$A$37,N858)),MAX($M$2:M857)+1,0)</f>
        <v>856</v>
      </c>
      <c r="Y858" s="419" t="s">
        <v>3250</v>
      </c>
      <c r="Z858" t="str">
        <f>IFERROR(VLOOKUP(ROWS($Z$3:Z858),$X$3:$Y$992,2,0),"")</f>
        <v>Výroba odlitků z litiny s kuličkovým grafitem</v>
      </c>
    </row>
    <row r="859" spans="13:26" ht="12.75">
      <c r="M859" s="418">
        <f>IF(ISNUMBER(SEARCH(ZAKL_DATA!$B$29,N859)),MAX($M$2:M858)+1,0)</f>
        <v>857</v>
      </c>
      <c r="N859" s="419" t="s">
        <v>3252</v>
      </c>
      <c r="O859" s="436" t="s">
        <v>3253</v>
      </c>
      <c r="P859" s="421"/>
      <c r="Q859" s="422" t="str">
        <f>IFERROR(VLOOKUP(ROWS($Q$3:Q859),$M$3:$N$992,2,0),"")</f>
        <v>Výroba ostatních odlitků z litiny</v>
      </c>
      <c r="R859">
        <f>IF(ISNUMBER(SEARCH('1Př1'!$A$35,N859)),MAX($M$2:M858)+1,0)</f>
        <v>857</v>
      </c>
      <c r="S859" s="419" t="s">
        <v>3252</v>
      </c>
      <c r="T859" t="str">
        <f>IFERROR(VLOOKUP(ROWS($T$3:T859),$R$3:$S$992,2,0),"")</f>
        <v>Výroba ostatních odlitků z litiny</v>
      </c>
      <c r="U859">
        <f>IF(ISNUMBER(SEARCH('1Př1'!$A$36,N859)),MAX($M$2:M858)+1,0)</f>
        <v>857</v>
      </c>
      <c r="V859" s="419" t="s">
        <v>3252</v>
      </c>
      <c r="W859" t="str">
        <f>IFERROR(VLOOKUP(ROWS($W$3:W859),$U$3:$V$992,2,0),"")</f>
        <v>Výroba ostatních odlitků z litiny</v>
      </c>
      <c r="X859">
        <f>IF(ISNUMBER(SEARCH('1Př1'!$A$37,N859)),MAX($M$2:M858)+1,0)</f>
        <v>857</v>
      </c>
      <c r="Y859" s="419" t="s">
        <v>3252</v>
      </c>
      <c r="Z859" t="str">
        <f>IFERROR(VLOOKUP(ROWS($Z$3:Z859),$X$3:$Y$992,2,0),"")</f>
        <v>Výroba ostatních odlitků z litiny</v>
      </c>
    </row>
    <row r="860" spans="13:26" ht="12.75">
      <c r="M860" s="418">
        <f>IF(ISNUMBER(SEARCH(ZAKL_DATA!$B$29,N860)),MAX($M$2:M859)+1,0)</f>
        <v>858</v>
      </c>
      <c r="N860" s="419" t="s">
        <v>3254</v>
      </c>
      <c r="O860" s="436" t="s">
        <v>3255</v>
      </c>
      <c r="P860" s="421"/>
      <c r="Q860" s="422" t="str">
        <f>IFERROR(VLOOKUP(ROWS($Q$3:Q860),$M$3:$N$992,2,0),"")</f>
        <v>Výroba odlitků z uhlíkatých ocelí</v>
      </c>
      <c r="R860">
        <f>IF(ISNUMBER(SEARCH('1Př1'!$A$35,N860)),MAX($M$2:M859)+1,0)</f>
        <v>858</v>
      </c>
      <c r="S860" s="419" t="s">
        <v>3254</v>
      </c>
      <c r="T860" t="str">
        <f>IFERROR(VLOOKUP(ROWS($T$3:T860),$R$3:$S$992,2,0),"")</f>
        <v>Výroba odlitků z uhlíkatých ocelí</v>
      </c>
      <c r="U860">
        <f>IF(ISNUMBER(SEARCH('1Př1'!$A$36,N860)),MAX($M$2:M859)+1,0)</f>
        <v>858</v>
      </c>
      <c r="V860" s="419" t="s">
        <v>3254</v>
      </c>
      <c r="W860" t="str">
        <f>IFERROR(VLOOKUP(ROWS($W$3:W860),$U$3:$V$992,2,0),"")</f>
        <v>Výroba odlitků z uhlíkatých ocelí</v>
      </c>
      <c r="X860">
        <f>IF(ISNUMBER(SEARCH('1Př1'!$A$37,N860)),MAX($M$2:M859)+1,0)</f>
        <v>858</v>
      </c>
      <c r="Y860" s="419" t="s">
        <v>3254</v>
      </c>
      <c r="Z860" t="str">
        <f>IFERROR(VLOOKUP(ROWS($Z$3:Z860),$X$3:$Y$992,2,0),"")</f>
        <v>Výroba odlitků z uhlíkatých ocelí</v>
      </c>
    </row>
    <row r="861" spans="13:26" ht="12.75">
      <c r="M861" s="418">
        <f>IF(ISNUMBER(SEARCH(ZAKL_DATA!$B$29,N861)),MAX($M$2:M860)+1,0)</f>
        <v>859</v>
      </c>
      <c r="N861" s="419" t="s">
        <v>3256</v>
      </c>
      <c r="O861" s="436" t="s">
        <v>3257</v>
      </c>
      <c r="P861" s="421"/>
      <c r="Q861" s="422" t="str">
        <f>IFERROR(VLOOKUP(ROWS($Q$3:Q861),$M$3:$N$992,2,0),"")</f>
        <v>Výroba odlitků z legovaných ocelí</v>
      </c>
      <c r="R861">
        <f>IF(ISNUMBER(SEARCH('1Př1'!$A$35,N861)),MAX($M$2:M860)+1,0)</f>
        <v>859</v>
      </c>
      <c r="S861" s="419" t="s">
        <v>3256</v>
      </c>
      <c r="T861" t="str">
        <f>IFERROR(VLOOKUP(ROWS($T$3:T861),$R$3:$S$992,2,0),"")</f>
        <v>Výroba odlitků z legovaných ocelí</v>
      </c>
      <c r="U861">
        <f>IF(ISNUMBER(SEARCH('1Př1'!$A$36,N861)),MAX($M$2:M860)+1,0)</f>
        <v>859</v>
      </c>
      <c r="V861" s="419" t="s">
        <v>3256</v>
      </c>
      <c r="W861" t="str">
        <f>IFERROR(VLOOKUP(ROWS($W$3:W861),$U$3:$V$992,2,0),"")</f>
        <v>Výroba odlitků z legovaných ocelí</v>
      </c>
      <c r="X861">
        <f>IF(ISNUMBER(SEARCH('1Př1'!$A$37,N861)),MAX($M$2:M860)+1,0)</f>
        <v>859</v>
      </c>
      <c r="Y861" s="419" t="s">
        <v>3256</v>
      </c>
      <c r="Z861" t="str">
        <f>IFERROR(VLOOKUP(ROWS($Z$3:Z861),$X$3:$Y$992,2,0),"")</f>
        <v>Výroba odlitků z legovaných ocelí</v>
      </c>
    </row>
    <row r="862" spans="13:26" ht="12.75">
      <c r="M862" s="418">
        <f>IF(ISNUMBER(SEARCH(ZAKL_DATA!$B$29,N862)),MAX($M$2:M861)+1,0)</f>
        <v>860</v>
      </c>
      <c r="N862" s="419" t="s">
        <v>3258</v>
      </c>
      <c r="O862" s="436" t="s">
        <v>3259</v>
      </c>
      <c r="P862" s="421"/>
      <c r="Q862" s="422" t="str">
        <f>IFERROR(VLOOKUP(ROWS($Q$3:Q862),$M$3:$N$992,2,0),"")</f>
        <v>Opravy a údržba kolejových vozidel</v>
      </c>
      <c r="R862">
        <f>IF(ISNUMBER(SEARCH('1Př1'!$A$35,N862)),MAX($M$2:M861)+1,0)</f>
        <v>860</v>
      </c>
      <c r="S862" s="419" t="s">
        <v>3258</v>
      </c>
      <c r="T862" t="str">
        <f>IFERROR(VLOOKUP(ROWS($T$3:T862),$R$3:$S$992,2,0),"")</f>
        <v>Opravy a údržba kolejových vozidel</v>
      </c>
      <c r="U862">
        <f>IF(ISNUMBER(SEARCH('1Př1'!$A$36,N862)),MAX($M$2:M861)+1,0)</f>
        <v>860</v>
      </c>
      <c r="V862" s="419" t="s">
        <v>3258</v>
      </c>
      <c r="W862" t="str">
        <f>IFERROR(VLOOKUP(ROWS($W$3:W862),$U$3:$V$992,2,0),"")</f>
        <v>Opravy a údržba kolejových vozidel</v>
      </c>
      <c r="X862">
        <f>IF(ISNUMBER(SEARCH('1Př1'!$A$37,N862)),MAX($M$2:M861)+1,0)</f>
        <v>860</v>
      </c>
      <c r="Y862" s="419" t="s">
        <v>3258</v>
      </c>
      <c r="Z862" t="str">
        <f>IFERROR(VLOOKUP(ROWS($Z$3:Z862),$X$3:$Y$992,2,0),"")</f>
        <v>Opravy a údržba kolejových vozidel</v>
      </c>
    </row>
    <row r="863" spans="13:26" ht="12.75">
      <c r="M863" s="418">
        <f>IF(ISNUMBER(SEARCH(ZAKL_DATA!$B$29,N863)),MAX($M$2:M862)+1,0)</f>
        <v>861</v>
      </c>
      <c r="N863" s="419" t="s">
        <v>3260</v>
      </c>
      <c r="O863" s="436" t="s">
        <v>3261</v>
      </c>
      <c r="P863" s="421"/>
      <c r="Q863" s="422" t="str">
        <f>IFERROR(VLOOKUP(ROWS($Q$3:Q863),$M$3:$N$992,2,0),"")</f>
        <v>Opravy a údržba ostat.dopr.prostředků a zařízení j.n.kromě kolej.vozidel</v>
      </c>
      <c r="R863">
        <f>IF(ISNUMBER(SEARCH('1Př1'!$A$35,N863)),MAX($M$2:M862)+1,0)</f>
        <v>861</v>
      </c>
      <c r="S863" s="419" t="s">
        <v>3260</v>
      </c>
      <c r="T863" t="str">
        <f>IFERROR(VLOOKUP(ROWS($T$3:T863),$R$3:$S$992,2,0),"")</f>
        <v>Opravy a údržba ostat.dopr.prostředků a zařízení j.n.kromě kolej.vozidel</v>
      </c>
      <c r="U863">
        <f>IF(ISNUMBER(SEARCH('1Př1'!$A$36,N863)),MAX($M$2:M862)+1,0)</f>
        <v>861</v>
      </c>
      <c r="V863" s="419" t="s">
        <v>3260</v>
      </c>
      <c r="W863" t="str">
        <f>IFERROR(VLOOKUP(ROWS($W$3:W863),$U$3:$V$992,2,0),"")</f>
        <v>Opravy a údržba ostat.dopr.prostředků a zařízení j.n.kromě kolej.vozidel</v>
      </c>
      <c r="X863">
        <f>IF(ISNUMBER(SEARCH('1Př1'!$A$37,N863)),MAX($M$2:M862)+1,0)</f>
        <v>861</v>
      </c>
      <c r="Y863" s="419" t="s">
        <v>3260</v>
      </c>
      <c r="Z863" t="str">
        <f>IFERROR(VLOOKUP(ROWS($Z$3:Z863),$X$3:$Y$992,2,0),"")</f>
        <v>Opravy a údržba ostat.dopr.prostředků a zařízení j.n.kromě kolej.vozidel</v>
      </c>
    </row>
    <row r="864" spans="13:26" ht="12.75">
      <c r="M864" s="418">
        <f>IF(ISNUMBER(SEARCH(ZAKL_DATA!$B$29,N864)),MAX($M$2:M863)+1,0)</f>
        <v>862</v>
      </c>
      <c r="N864" s="419" t="s">
        <v>3262</v>
      </c>
      <c r="O864" s="436" t="s">
        <v>1993</v>
      </c>
      <c r="P864" s="421"/>
      <c r="Q864" s="422" t="str">
        <f>IFERROR(VLOOKUP(ROWS($Q$3:Q864),$M$3:$N$992,2,0),"")</f>
        <v>Výroba a rozvod tepla a klimatizovaného vzduchu,výroba ledu</v>
      </c>
      <c r="R864">
        <f>IF(ISNUMBER(SEARCH('1Př1'!$A$35,N864)),MAX($M$2:M863)+1,0)</f>
        <v>862</v>
      </c>
      <c r="S864" s="419" t="s">
        <v>3262</v>
      </c>
      <c r="T864" t="str">
        <f>IFERROR(VLOOKUP(ROWS($T$3:T864),$R$3:$S$992,2,0),"")</f>
        <v>Výroba a rozvod tepla a klimatizovaného vzduchu,výroba ledu</v>
      </c>
      <c r="U864">
        <f>IF(ISNUMBER(SEARCH('1Př1'!$A$36,N864)),MAX($M$2:M863)+1,0)</f>
        <v>862</v>
      </c>
      <c r="V864" s="419" t="s">
        <v>3262</v>
      </c>
      <c r="W864" t="str">
        <f>IFERROR(VLOOKUP(ROWS($W$3:W864),$U$3:$V$992,2,0),"")</f>
        <v>Výroba a rozvod tepla a klimatizovaného vzduchu,výroba ledu</v>
      </c>
      <c r="X864">
        <f>IF(ISNUMBER(SEARCH('1Př1'!$A$37,N864)),MAX($M$2:M863)+1,0)</f>
        <v>862</v>
      </c>
      <c r="Y864" s="419" t="s">
        <v>3262</v>
      </c>
      <c r="Z864" t="str">
        <f>IFERROR(VLOOKUP(ROWS($Z$3:Z864),$X$3:$Y$992,2,0),"")</f>
        <v>Výroba a rozvod tepla a klimatizovaného vzduchu,výroba ledu</v>
      </c>
    </row>
    <row r="865" spans="13:26" ht="12.75">
      <c r="M865" s="418">
        <f>IF(ISNUMBER(SEARCH(ZAKL_DATA!$B$29,N865)),MAX($M$2:M864)+1,0)</f>
        <v>863</v>
      </c>
      <c r="N865" s="419" t="s">
        <v>3263</v>
      </c>
      <c r="O865" s="436" t="s">
        <v>3264</v>
      </c>
      <c r="P865" s="421"/>
      <c r="Q865" s="422" t="str">
        <f>IFERROR(VLOOKUP(ROWS($Q$3:Q865),$M$3:$N$992,2,0),"")</f>
        <v>Výroba tepla</v>
      </c>
      <c r="R865">
        <f>IF(ISNUMBER(SEARCH('1Př1'!$A$35,N865)),MAX($M$2:M864)+1,0)</f>
        <v>863</v>
      </c>
      <c r="S865" s="419" t="s">
        <v>3263</v>
      </c>
      <c r="T865" t="str">
        <f>IFERROR(VLOOKUP(ROWS($T$3:T865),$R$3:$S$992,2,0),"")</f>
        <v>Výroba tepla</v>
      </c>
      <c r="U865">
        <f>IF(ISNUMBER(SEARCH('1Př1'!$A$36,N865)),MAX($M$2:M864)+1,0)</f>
        <v>863</v>
      </c>
      <c r="V865" s="419" t="s">
        <v>3263</v>
      </c>
      <c r="W865" t="str">
        <f>IFERROR(VLOOKUP(ROWS($W$3:W865),$U$3:$V$992,2,0),"")</f>
        <v>Výroba tepla</v>
      </c>
      <c r="X865">
        <f>IF(ISNUMBER(SEARCH('1Př1'!$A$37,N865)),MAX($M$2:M864)+1,0)</f>
        <v>863</v>
      </c>
      <c r="Y865" s="419" t="s">
        <v>3263</v>
      </c>
      <c r="Z865" t="str">
        <f>IFERROR(VLOOKUP(ROWS($Z$3:Z865),$X$3:$Y$992,2,0),"")</f>
        <v>Výroba tepla</v>
      </c>
    </row>
    <row r="866" spans="13:26" ht="12.75">
      <c r="M866" s="418">
        <f>IF(ISNUMBER(SEARCH(ZAKL_DATA!$B$29,N866)),MAX($M$2:M865)+1,0)</f>
        <v>864</v>
      </c>
      <c r="N866" s="419" t="s">
        <v>3265</v>
      </c>
      <c r="O866" s="436" t="s">
        <v>3266</v>
      </c>
      <c r="P866" s="421"/>
      <c r="Q866" s="422" t="str">
        <f>IFERROR(VLOOKUP(ROWS($Q$3:Q866),$M$3:$N$992,2,0),"")</f>
        <v>Rozvod tepla</v>
      </c>
      <c r="R866">
        <f>IF(ISNUMBER(SEARCH('1Př1'!$A$35,N866)),MAX($M$2:M865)+1,0)</f>
        <v>864</v>
      </c>
      <c r="S866" s="419" t="s">
        <v>3265</v>
      </c>
      <c r="T866" t="str">
        <f>IFERROR(VLOOKUP(ROWS($T$3:T866),$R$3:$S$992,2,0),"")</f>
        <v>Rozvod tepla</v>
      </c>
      <c r="U866">
        <f>IF(ISNUMBER(SEARCH('1Př1'!$A$36,N866)),MAX($M$2:M865)+1,0)</f>
        <v>864</v>
      </c>
      <c r="V866" s="419" t="s">
        <v>3265</v>
      </c>
      <c r="W866" t="str">
        <f>IFERROR(VLOOKUP(ROWS($W$3:W866),$U$3:$V$992,2,0),"")</f>
        <v>Rozvod tepla</v>
      </c>
      <c r="X866">
        <f>IF(ISNUMBER(SEARCH('1Př1'!$A$37,N866)),MAX($M$2:M865)+1,0)</f>
        <v>864</v>
      </c>
      <c r="Y866" s="419" t="s">
        <v>3265</v>
      </c>
      <c r="Z866" t="str">
        <f>IFERROR(VLOOKUP(ROWS($Z$3:Z866),$X$3:$Y$992,2,0),"")</f>
        <v>Rozvod tepla</v>
      </c>
    </row>
    <row r="867" spans="13:26" ht="12.75">
      <c r="M867" s="418">
        <f>IF(ISNUMBER(SEARCH(ZAKL_DATA!$B$29,N867)),MAX($M$2:M866)+1,0)</f>
        <v>865</v>
      </c>
      <c r="N867" s="419" t="s">
        <v>3267</v>
      </c>
      <c r="O867" s="436" t="s">
        <v>3268</v>
      </c>
      <c r="P867" s="421"/>
      <c r="Q867" s="422" t="str">
        <f>IFERROR(VLOOKUP(ROWS($Q$3:Q867),$M$3:$N$992,2,0),"")</f>
        <v>Výroba klimatizovaného vzduchu</v>
      </c>
      <c r="R867">
        <f>IF(ISNUMBER(SEARCH('1Př1'!$A$35,N867)),MAX($M$2:M866)+1,0)</f>
        <v>865</v>
      </c>
      <c r="S867" s="419" t="s">
        <v>3267</v>
      </c>
      <c r="T867" t="str">
        <f>IFERROR(VLOOKUP(ROWS($T$3:T867),$R$3:$S$992,2,0),"")</f>
        <v>Výroba klimatizovaného vzduchu</v>
      </c>
      <c r="U867">
        <f>IF(ISNUMBER(SEARCH('1Př1'!$A$36,N867)),MAX($M$2:M866)+1,0)</f>
        <v>865</v>
      </c>
      <c r="V867" s="419" t="s">
        <v>3267</v>
      </c>
      <c r="W867" t="str">
        <f>IFERROR(VLOOKUP(ROWS($W$3:W867),$U$3:$V$992,2,0),"")</f>
        <v>Výroba klimatizovaného vzduchu</v>
      </c>
      <c r="X867">
        <f>IF(ISNUMBER(SEARCH('1Př1'!$A$37,N867)),MAX($M$2:M866)+1,0)</f>
        <v>865</v>
      </c>
      <c r="Y867" s="419" t="s">
        <v>3267</v>
      </c>
      <c r="Z867" t="str">
        <f>IFERROR(VLOOKUP(ROWS($Z$3:Z867),$X$3:$Y$992,2,0),"")</f>
        <v>Výroba klimatizovaného vzduchu</v>
      </c>
    </row>
    <row r="868" spans="13:26" ht="12.75">
      <c r="M868" s="418">
        <f>IF(ISNUMBER(SEARCH(ZAKL_DATA!$B$29,N868)),MAX($M$2:M867)+1,0)</f>
        <v>866</v>
      </c>
      <c r="N868" s="419" t="s">
        <v>3269</v>
      </c>
      <c r="O868" s="436" t="s">
        <v>3270</v>
      </c>
      <c r="P868" s="421"/>
      <c r="Q868" s="422" t="str">
        <f>IFERROR(VLOOKUP(ROWS($Q$3:Q868),$M$3:$N$992,2,0),"")</f>
        <v>Rozvod klimatizovaného vzduchu</v>
      </c>
      <c r="R868">
        <f>IF(ISNUMBER(SEARCH('1Př1'!$A$35,N868)),MAX($M$2:M867)+1,0)</f>
        <v>866</v>
      </c>
      <c r="S868" s="419" t="s">
        <v>3269</v>
      </c>
      <c r="T868" t="str">
        <f>IFERROR(VLOOKUP(ROWS($T$3:T868),$R$3:$S$992,2,0),"")</f>
        <v>Rozvod klimatizovaného vzduchu</v>
      </c>
      <c r="U868">
        <f>IF(ISNUMBER(SEARCH('1Př1'!$A$36,N868)),MAX($M$2:M867)+1,0)</f>
        <v>866</v>
      </c>
      <c r="V868" s="419" t="s">
        <v>3269</v>
      </c>
      <c r="W868" t="str">
        <f>IFERROR(VLOOKUP(ROWS($W$3:W868),$U$3:$V$992,2,0),"")</f>
        <v>Rozvod klimatizovaného vzduchu</v>
      </c>
      <c r="X868">
        <f>IF(ISNUMBER(SEARCH('1Př1'!$A$37,N868)),MAX($M$2:M867)+1,0)</f>
        <v>866</v>
      </c>
      <c r="Y868" s="419" t="s">
        <v>3269</v>
      </c>
      <c r="Z868" t="str">
        <f>IFERROR(VLOOKUP(ROWS($Z$3:Z868),$X$3:$Y$992,2,0),"")</f>
        <v>Rozvod klimatizovaného vzduchu</v>
      </c>
    </row>
    <row r="869" spans="13:26" ht="12.75">
      <c r="M869" s="418">
        <f>IF(ISNUMBER(SEARCH(ZAKL_DATA!$B$29,N869)),MAX($M$2:M868)+1,0)</f>
        <v>867</v>
      </c>
      <c r="N869" s="419" t="s">
        <v>3271</v>
      </c>
      <c r="O869" s="436" t="s">
        <v>3272</v>
      </c>
      <c r="P869" s="421"/>
      <c r="Q869" s="422" t="str">
        <f>IFERROR(VLOOKUP(ROWS($Q$3:Q869),$M$3:$N$992,2,0),"")</f>
        <v>Výroba chladicí vody</v>
      </c>
      <c r="R869">
        <f>IF(ISNUMBER(SEARCH('1Př1'!$A$35,N869)),MAX($M$2:M868)+1,0)</f>
        <v>867</v>
      </c>
      <c r="S869" s="419" t="s">
        <v>3271</v>
      </c>
      <c r="T869" t="str">
        <f>IFERROR(VLOOKUP(ROWS($T$3:T869),$R$3:$S$992,2,0),"")</f>
        <v>Výroba chladicí vody</v>
      </c>
      <c r="U869">
        <f>IF(ISNUMBER(SEARCH('1Př1'!$A$36,N869)),MAX($M$2:M868)+1,0)</f>
        <v>867</v>
      </c>
      <c r="V869" s="419" t="s">
        <v>3271</v>
      </c>
      <c r="W869" t="str">
        <f>IFERROR(VLOOKUP(ROWS($W$3:W869),$U$3:$V$992,2,0),"")</f>
        <v>Výroba chladicí vody</v>
      </c>
      <c r="X869">
        <f>IF(ISNUMBER(SEARCH('1Př1'!$A$37,N869)),MAX($M$2:M868)+1,0)</f>
        <v>867</v>
      </c>
      <c r="Y869" s="419" t="s">
        <v>3271</v>
      </c>
      <c r="Z869" t="str">
        <f>IFERROR(VLOOKUP(ROWS($Z$3:Z869),$X$3:$Y$992,2,0),"")</f>
        <v>Výroba chladicí vody</v>
      </c>
    </row>
    <row r="870" spans="13:26" ht="12.75">
      <c r="M870" s="418">
        <f>IF(ISNUMBER(SEARCH(ZAKL_DATA!$B$29,N870)),MAX($M$2:M869)+1,0)</f>
        <v>868</v>
      </c>
      <c r="N870" s="419" t="s">
        <v>3273</v>
      </c>
      <c r="O870" s="436" t="s">
        <v>3274</v>
      </c>
      <c r="P870" s="421"/>
      <c r="Q870" s="422" t="str">
        <f>IFERROR(VLOOKUP(ROWS($Q$3:Q870),$M$3:$N$992,2,0),"")</f>
        <v>Rozvod chladicí vody</v>
      </c>
      <c r="R870">
        <f>IF(ISNUMBER(SEARCH('1Př1'!$A$35,N870)),MAX($M$2:M869)+1,0)</f>
        <v>868</v>
      </c>
      <c r="S870" s="419" t="s">
        <v>3273</v>
      </c>
      <c r="T870" t="str">
        <f>IFERROR(VLOOKUP(ROWS($T$3:T870),$R$3:$S$992,2,0),"")</f>
        <v>Rozvod chladicí vody</v>
      </c>
      <c r="U870">
        <f>IF(ISNUMBER(SEARCH('1Př1'!$A$36,N870)),MAX($M$2:M869)+1,0)</f>
        <v>868</v>
      </c>
      <c r="V870" s="419" t="s">
        <v>3273</v>
      </c>
      <c r="W870" t="str">
        <f>IFERROR(VLOOKUP(ROWS($W$3:W870),$U$3:$V$992,2,0),"")</f>
        <v>Rozvod chladicí vody</v>
      </c>
      <c r="X870">
        <f>IF(ISNUMBER(SEARCH('1Př1'!$A$37,N870)),MAX($M$2:M869)+1,0)</f>
        <v>868</v>
      </c>
      <c r="Y870" s="419" t="s">
        <v>3273</v>
      </c>
      <c r="Z870" t="str">
        <f>IFERROR(VLOOKUP(ROWS($Z$3:Z870),$X$3:$Y$992,2,0),"")</f>
        <v>Rozvod chladicí vody</v>
      </c>
    </row>
    <row r="871" spans="13:26" ht="12.75">
      <c r="M871" s="418">
        <f>IF(ISNUMBER(SEARCH(ZAKL_DATA!$B$29,N871)),MAX($M$2:M870)+1,0)</f>
        <v>869</v>
      </c>
      <c r="N871" s="419" t="s">
        <v>3275</v>
      </c>
      <c r="O871" s="436" t="s">
        <v>3276</v>
      </c>
      <c r="P871" s="421"/>
      <c r="Q871" s="422" t="str">
        <f>IFERROR(VLOOKUP(ROWS($Q$3:Q871),$M$3:$N$992,2,0),"")</f>
        <v>Výroba ledu</v>
      </c>
      <c r="R871">
        <f>IF(ISNUMBER(SEARCH('1Př1'!$A$35,N871)),MAX($M$2:M870)+1,0)</f>
        <v>869</v>
      </c>
      <c r="S871" s="419" t="s">
        <v>3275</v>
      </c>
      <c r="T871" t="str">
        <f>IFERROR(VLOOKUP(ROWS($T$3:T871),$R$3:$S$992,2,0),"")</f>
        <v>Výroba ledu</v>
      </c>
      <c r="U871">
        <f>IF(ISNUMBER(SEARCH('1Př1'!$A$36,N871)),MAX($M$2:M870)+1,0)</f>
        <v>869</v>
      </c>
      <c r="V871" s="419" t="s">
        <v>3275</v>
      </c>
      <c r="W871" t="str">
        <f>IFERROR(VLOOKUP(ROWS($W$3:W871),$U$3:$V$992,2,0),"")</f>
        <v>Výroba ledu</v>
      </c>
      <c r="X871">
        <f>IF(ISNUMBER(SEARCH('1Př1'!$A$37,N871)),MAX($M$2:M870)+1,0)</f>
        <v>869</v>
      </c>
      <c r="Y871" s="419" t="s">
        <v>3275</v>
      </c>
      <c r="Z871" t="str">
        <f>IFERROR(VLOOKUP(ROWS($Z$3:Z871),$X$3:$Y$992,2,0),"")</f>
        <v>Výroba ledu</v>
      </c>
    </row>
    <row r="872" spans="13:26" ht="12.75">
      <c r="M872" s="418">
        <f>IF(ISNUMBER(SEARCH(ZAKL_DATA!$B$29,N872)),MAX($M$2:M871)+1,0)</f>
        <v>870</v>
      </c>
      <c r="N872" s="419" t="s">
        <v>3277</v>
      </c>
      <c r="O872" s="436" t="s">
        <v>3278</v>
      </c>
      <c r="P872" s="421"/>
      <c r="Q872" s="422" t="str">
        <f>IFERROR(VLOOKUP(ROWS($Q$3:Q872),$M$3:$N$992,2,0),"")</f>
        <v>Výstavba nebytových budov</v>
      </c>
      <c r="R872">
        <f>IF(ISNUMBER(SEARCH('1Př1'!$A$35,N872)),MAX($M$2:M871)+1,0)</f>
        <v>870</v>
      </c>
      <c r="S872" s="419" t="s">
        <v>3277</v>
      </c>
      <c r="T872" t="str">
        <f>IFERROR(VLOOKUP(ROWS($T$3:T872),$R$3:$S$992,2,0),"")</f>
        <v>Výstavba nebytových budov</v>
      </c>
      <c r="U872">
        <f>IF(ISNUMBER(SEARCH('1Př1'!$A$36,N872)),MAX($M$2:M871)+1,0)</f>
        <v>870</v>
      </c>
      <c r="V872" s="419" t="s">
        <v>3277</v>
      </c>
      <c r="W872" t="str">
        <f>IFERROR(VLOOKUP(ROWS($W$3:W872),$U$3:$V$992,2,0),"")</f>
        <v>Výstavba nebytových budov</v>
      </c>
      <c r="X872">
        <f>IF(ISNUMBER(SEARCH('1Př1'!$A$37,N872)),MAX($M$2:M871)+1,0)</f>
        <v>870</v>
      </c>
      <c r="Y872" s="419" t="s">
        <v>3277</v>
      </c>
      <c r="Z872" t="str">
        <f>IFERROR(VLOOKUP(ROWS($Z$3:Z872),$X$3:$Y$992,2,0),"")</f>
        <v>Výstavba nebytových budov</v>
      </c>
    </row>
    <row r="873" spans="13:26" ht="12.75">
      <c r="M873" s="418">
        <f>IF(ISNUMBER(SEARCH(ZAKL_DATA!$B$29,N873)),MAX($M$2:M872)+1,0)</f>
        <v>871</v>
      </c>
      <c r="N873" s="419" t="s">
        <v>3279</v>
      </c>
      <c r="O873" s="436" t="s">
        <v>3280</v>
      </c>
      <c r="P873" s="421"/>
      <c r="Q873" s="422" t="str">
        <f>IFERROR(VLOOKUP(ROWS($Q$3:Q873),$M$3:$N$992,2,0),"")</f>
        <v>Výstavba inženýrských sítí pro kapaliny</v>
      </c>
      <c r="R873">
        <f>IF(ISNUMBER(SEARCH('1Př1'!$A$35,N873)),MAX($M$2:M872)+1,0)</f>
        <v>871</v>
      </c>
      <c r="S873" s="419" t="s">
        <v>3279</v>
      </c>
      <c r="T873" t="str">
        <f>IFERROR(VLOOKUP(ROWS($T$3:T873),$R$3:$S$992,2,0),"")</f>
        <v>Výstavba inženýrských sítí pro kapaliny</v>
      </c>
      <c r="U873">
        <f>IF(ISNUMBER(SEARCH('1Př1'!$A$36,N873)),MAX($M$2:M872)+1,0)</f>
        <v>871</v>
      </c>
      <c r="V873" s="419" t="s">
        <v>3279</v>
      </c>
      <c r="W873" t="str">
        <f>IFERROR(VLOOKUP(ROWS($W$3:W873),$U$3:$V$992,2,0),"")</f>
        <v>Výstavba inženýrských sítí pro kapaliny</v>
      </c>
      <c r="X873">
        <f>IF(ISNUMBER(SEARCH('1Př1'!$A$37,N873)),MAX($M$2:M872)+1,0)</f>
        <v>871</v>
      </c>
      <c r="Y873" s="419" t="s">
        <v>3279</v>
      </c>
      <c r="Z873" t="str">
        <f>IFERROR(VLOOKUP(ROWS($Z$3:Z873),$X$3:$Y$992,2,0),"")</f>
        <v>Výstavba inženýrských sítí pro kapaliny</v>
      </c>
    </row>
    <row r="874" spans="13:26" ht="12.75">
      <c r="M874" s="418">
        <f>IF(ISNUMBER(SEARCH(ZAKL_DATA!$B$29,N874)),MAX($M$2:M873)+1,0)</f>
        <v>872</v>
      </c>
      <c r="N874" s="419" t="s">
        <v>3281</v>
      </c>
      <c r="O874" s="436" t="s">
        <v>3282</v>
      </c>
      <c r="P874" s="421"/>
      <c r="Q874" s="422" t="str">
        <f>IFERROR(VLOOKUP(ROWS($Q$3:Q874),$M$3:$N$992,2,0),"")</f>
        <v>Výstavba inženýrských sítí pro plyny</v>
      </c>
      <c r="R874">
        <f>IF(ISNUMBER(SEARCH('1Př1'!$A$35,N874)),MAX($M$2:M873)+1,0)</f>
        <v>872</v>
      </c>
      <c r="S874" s="419" t="s">
        <v>3281</v>
      </c>
      <c r="T874" t="str">
        <f>IFERROR(VLOOKUP(ROWS($T$3:T874),$R$3:$S$992,2,0),"")</f>
        <v>Výstavba inženýrských sítí pro plyny</v>
      </c>
      <c r="U874">
        <f>IF(ISNUMBER(SEARCH('1Př1'!$A$36,N874)),MAX($M$2:M873)+1,0)</f>
        <v>872</v>
      </c>
      <c r="V874" s="419" t="s">
        <v>3281</v>
      </c>
      <c r="W874" t="str">
        <f>IFERROR(VLOOKUP(ROWS($W$3:W874),$U$3:$V$992,2,0),"")</f>
        <v>Výstavba inženýrských sítí pro plyny</v>
      </c>
      <c r="X874">
        <f>IF(ISNUMBER(SEARCH('1Př1'!$A$37,N874)),MAX($M$2:M873)+1,0)</f>
        <v>872</v>
      </c>
      <c r="Y874" s="419" t="s">
        <v>3281</v>
      </c>
      <c r="Z874" t="str">
        <f>IFERROR(VLOOKUP(ROWS($Z$3:Z874),$X$3:$Y$992,2,0),"")</f>
        <v>Výstavba inženýrských sítí pro plyny</v>
      </c>
    </row>
    <row r="875" spans="13:26" ht="12.75">
      <c r="M875" s="418">
        <f>IF(ISNUMBER(SEARCH(ZAKL_DATA!$B$29,N875)),MAX($M$2:M874)+1,0)</f>
        <v>873</v>
      </c>
      <c r="N875" s="419" t="s">
        <v>3283</v>
      </c>
      <c r="O875" s="436" t="s">
        <v>3284</v>
      </c>
      <c r="P875" s="421"/>
      <c r="Q875" s="422" t="str">
        <f>IFERROR(VLOOKUP(ROWS($Q$3:Q875),$M$3:$N$992,2,0),"")</f>
        <v>Sklenářské práce</v>
      </c>
      <c r="R875">
        <f>IF(ISNUMBER(SEARCH('1Př1'!$A$35,N875)),MAX($M$2:M874)+1,0)</f>
        <v>873</v>
      </c>
      <c r="S875" s="419" t="s">
        <v>3283</v>
      </c>
      <c r="T875" t="str">
        <f>IFERROR(VLOOKUP(ROWS($T$3:T875),$R$3:$S$992,2,0),"")</f>
        <v>Sklenářské práce</v>
      </c>
      <c r="U875">
        <f>IF(ISNUMBER(SEARCH('1Př1'!$A$36,N875)),MAX($M$2:M874)+1,0)</f>
        <v>873</v>
      </c>
      <c r="V875" s="419" t="s">
        <v>3283</v>
      </c>
      <c r="W875" t="str">
        <f>IFERROR(VLOOKUP(ROWS($W$3:W875),$U$3:$V$992,2,0),"")</f>
        <v>Sklenářské práce</v>
      </c>
      <c r="X875">
        <f>IF(ISNUMBER(SEARCH('1Př1'!$A$37,N875)),MAX($M$2:M874)+1,0)</f>
        <v>873</v>
      </c>
      <c r="Y875" s="419" t="s">
        <v>3283</v>
      </c>
      <c r="Z875" t="str">
        <f>IFERROR(VLOOKUP(ROWS($Z$3:Z875),$X$3:$Y$992,2,0),"")</f>
        <v>Sklenářské práce</v>
      </c>
    </row>
    <row r="876" spans="13:26" ht="12.75">
      <c r="M876" s="418">
        <f>IF(ISNUMBER(SEARCH(ZAKL_DATA!$B$29,N876)),MAX($M$2:M875)+1,0)</f>
        <v>874</v>
      </c>
      <c r="N876" s="419" t="s">
        <v>3285</v>
      </c>
      <c r="O876" s="436" t="s">
        <v>3286</v>
      </c>
      <c r="P876" s="421"/>
      <c r="Q876" s="422" t="str">
        <f>IFERROR(VLOOKUP(ROWS($Q$3:Q876),$M$3:$N$992,2,0),"")</f>
        <v>Malířské a natěračské práce</v>
      </c>
      <c r="R876">
        <f>IF(ISNUMBER(SEARCH('1Př1'!$A$35,N876)),MAX($M$2:M875)+1,0)</f>
        <v>874</v>
      </c>
      <c r="S876" s="419" t="s">
        <v>3285</v>
      </c>
      <c r="T876" t="str">
        <f>IFERROR(VLOOKUP(ROWS($T$3:T876),$R$3:$S$992,2,0),"")</f>
        <v>Malířské a natěračské práce</v>
      </c>
      <c r="U876">
        <f>IF(ISNUMBER(SEARCH('1Př1'!$A$36,N876)),MAX($M$2:M875)+1,0)</f>
        <v>874</v>
      </c>
      <c r="V876" s="419" t="s">
        <v>3285</v>
      </c>
      <c r="W876" t="str">
        <f>IFERROR(VLOOKUP(ROWS($W$3:W876),$U$3:$V$992,2,0),"")</f>
        <v>Malířské a natěračské práce</v>
      </c>
      <c r="X876">
        <f>IF(ISNUMBER(SEARCH('1Př1'!$A$37,N876)),MAX($M$2:M875)+1,0)</f>
        <v>874</v>
      </c>
      <c r="Y876" s="419" t="s">
        <v>3285</v>
      </c>
      <c r="Z876" t="str">
        <f>IFERROR(VLOOKUP(ROWS($Z$3:Z876),$X$3:$Y$992,2,0),"")</f>
        <v>Malířské a natěračské práce</v>
      </c>
    </row>
    <row r="877" spans="13:26" ht="12.75">
      <c r="M877" s="418">
        <f>IF(ISNUMBER(SEARCH(ZAKL_DATA!$B$29,N877)),MAX($M$2:M876)+1,0)</f>
        <v>875</v>
      </c>
      <c r="N877" s="419" t="s">
        <v>3287</v>
      </c>
      <c r="O877" s="436" t="s">
        <v>3288</v>
      </c>
      <c r="P877" s="421"/>
      <c r="Q877" s="422" t="str">
        <f>IFERROR(VLOOKUP(ROWS($Q$3:Q877),$M$3:$N$992,2,0),"")</f>
        <v>Montáž a demontáž lešení a bednění</v>
      </c>
      <c r="R877">
        <f>IF(ISNUMBER(SEARCH('1Př1'!$A$35,N877)),MAX($M$2:M876)+1,0)</f>
        <v>875</v>
      </c>
      <c r="S877" s="419" t="s">
        <v>3287</v>
      </c>
      <c r="T877" t="str">
        <f>IFERROR(VLOOKUP(ROWS($T$3:T877),$R$3:$S$992,2,0),"")</f>
        <v>Montáž a demontáž lešení a bednění</v>
      </c>
      <c r="U877">
        <f>IF(ISNUMBER(SEARCH('1Př1'!$A$36,N877)),MAX($M$2:M876)+1,0)</f>
        <v>875</v>
      </c>
      <c r="V877" s="419" t="s">
        <v>3287</v>
      </c>
      <c r="W877" t="str">
        <f>IFERROR(VLOOKUP(ROWS($W$3:W877),$U$3:$V$992,2,0),"")</f>
        <v>Montáž a demontáž lešení a bednění</v>
      </c>
      <c r="X877">
        <f>IF(ISNUMBER(SEARCH('1Př1'!$A$37,N877)),MAX($M$2:M876)+1,0)</f>
        <v>875</v>
      </c>
      <c r="Y877" s="419" t="s">
        <v>3287</v>
      </c>
      <c r="Z877" t="str">
        <f>IFERROR(VLOOKUP(ROWS($Z$3:Z877),$X$3:$Y$992,2,0),"")</f>
        <v>Montáž a demontáž lešení a bednění</v>
      </c>
    </row>
    <row r="878" spans="13:26" ht="12.75">
      <c r="M878" s="418">
        <f>IF(ISNUMBER(SEARCH(ZAKL_DATA!$B$29,N878)),MAX($M$2:M877)+1,0)</f>
        <v>876</v>
      </c>
      <c r="N878" s="419" t="s">
        <v>3289</v>
      </c>
      <c r="O878" s="436" t="s">
        <v>3290</v>
      </c>
      <c r="P878" s="421"/>
      <c r="Q878" s="422" t="str">
        <f>IFERROR(VLOOKUP(ROWS($Q$3:Q878),$M$3:$N$992,2,0),"")</f>
        <v>Jiné specializované stavební činnosti j. n.</v>
      </c>
      <c r="R878">
        <f>IF(ISNUMBER(SEARCH('1Př1'!$A$35,N878)),MAX($M$2:M877)+1,0)</f>
        <v>876</v>
      </c>
      <c r="S878" s="419" t="s">
        <v>3289</v>
      </c>
      <c r="T878" t="str">
        <f>IFERROR(VLOOKUP(ROWS($T$3:T878),$R$3:$S$992,2,0),"")</f>
        <v>Jiné specializované stavební činnosti j. n.</v>
      </c>
      <c r="U878">
        <f>IF(ISNUMBER(SEARCH('1Př1'!$A$36,N878)),MAX($M$2:M877)+1,0)</f>
        <v>876</v>
      </c>
      <c r="V878" s="419" t="s">
        <v>3289</v>
      </c>
      <c r="W878" t="str">
        <f>IFERROR(VLOOKUP(ROWS($W$3:W878),$U$3:$V$992,2,0),"")</f>
        <v>Jiné specializované stavební činnosti j. n.</v>
      </c>
      <c r="X878">
        <f>IF(ISNUMBER(SEARCH('1Př1'!$A$37,N878)),MAX($M$2:M877)+1,0)</f>
        <v>876</v>
      </c>
      <c r="Y878" s="419" t="s">
        <v>3289</v>
      </c>
      <c r="Z878" t="str">
        <f>IFERROR(VLOOKUP(ROWS($Z$3:Z878),$X$3:$Y$992,2,0),"")</f>
        <v>Jiné specializované stavební činnosti j. n.</v>
      </c>
    </row>
    <row r="879" spans="13:26" ht="12.75">
      <c r="M879" s="418">
        <f>IF(ISNUMBER(SEARCH(ZAKL_DATA!$B$29,N879)),MAX($M$2:M878)+1,0)</f>
        <v>877</v>
      </c>
      <c r="N879" s="419" t="s">
        <v>3291</v>
      </c>
      <c r="O879" s="436" t="s">
        <v>3292</v>
      </c>
      <c r="P879" s="421"/>
      <c r="Q879" s="422" t="str">
        <f>IFERROR(VLOOKUP(ROWS($Q$3:Q879),$M$3:$N$992,2,0),"")</f>
        <v>Zprostředkování velkoobchodu a velkoobchod v zastoupení s papír.výrobky</v>
      </c>
      <c r="R879">
        <f>IF(ISNUMBER(SEARCH('1Př1'!$A$35,N879)),MAX($M$2:M878)+1,0)</f>
        <v>877</v>
      </c>
      <c r="S879" s="419" t="s">
        <v>3291</v>
      </c>
      <c r="T879" t="str">
        <f>IFERROR(VLOOKUP(ROWS($T$3:T879),$R$3:$S$992,2,0),"")</f>
        <v>Zprostředkování velkoobchodu a velkoobchod v zastoupení s papír.výrobky</v>
      </c>
      <c r="U879">
        <f>IF(ISNUMBER(SEARCH('1Př1'!$A$36,N879)),MAX($M$2:M878)+1,0)</f>
        <v>877</v>
      </c>
      <c r="V879" s="419" t="s">
        <v>3291</v>
      </c>
      <c r="W879" t="str">
        <f>IFERROR(VLOOKUP(ROWS($W$3:W879),$U$3:$V$992,2,0),"")</f>
        <v>Zprostředkování velkoobchodu a velkoobchod v zastoupení s papír.výrobky</v>
      </c>
      <c r="X879">
        <f>IF(ISNUMBER(SEARCH('1Př1'!$A$37,N879)),MAX($M$2:M878)+1,0)</f>
        <v>877</v>
      </c>
      <c r="Y879" s="419" t="s">
        <v>3291</v>
      </c>
      <c r="Z879" t="str">
        <f>IFERROR(VLOOKUP(ROWS($Z$3:Z879),$X$3:$Y$992,2,0),"")</f>
        <v>Zprostředkování velkoobchodu a velkoobchod v zastoupení s papír.výrobky</v>
      </c>
    </row>
    <row r="880" spans="13:26" ht="12.75">
      <c r="M880" s="418">
        <f>IF(ISNUMBER(SEARCH(ZAKL_DATA!$B$29,N880)),MAX($M$2:M879)+1,0)</f>
        <v>878</v>
      </c>
      <c r="N880" s="419" t="s">
        <v>3293</v>
      </c>
      <c r="O880" s="436" t="s">
        <v>3294</v>
      </c>
      <c r="P880" s="421"/>
      <c r="Q880" s="422" t="str">
        <f>IFERROR(VLOOKUP(ROWS($Q$3:Q880),$M$3:$N$992,2,0),"")</f>
        <v>Zprostř.specializ.velkoobchodu a velkoobchod v zast.s ost.výrobky j.n.</v>
      </c>
      <c r="R880">
        <f>IF(ISNUMBER(SEARCH('1Př1'!$A$35,N880)),MAX($M$2:M879)+1,0)</f>
        <v>878</v>
      </c>
      <c r="S880" s="419" t="s">
        <v>3293</v>
      </c>
      <c r="T880" t="str">
        <f>IFERROR(VLOOKUP(ROWS($T$3:T880),$R$3:$S$992,2,0),"")</f>
        <v>Zprostř.specializ.velkoobchodu a velkoobchod v zast.s ost.výrobky j.n.</v>
      </c>
      <c r="U880">
        <f>IF(ISNUMBER(SEARCH('1Př1'!$A$36,N880)),MAX($M$2:M879)+1,0)</f>
        <v>878</v>
      </c>
      <c r="V880" s="419" t="s">
        <v>3293</v>
      </c>
      <c r="W880" t="str">
        <f>IFERROR(VLOOKUP(ROWS($W$3:W880),$U$3:$V$992,2,0),"")</f>
        <v>Zprostř.specializ.velkoobchodu a velkoobchod v zast.s ost.výrobky j.n.</v>
      </c>
      <c r="X880">
        <f>IF(ISNUMBER(SEARCH('1Př1'!$A$37,N880)),MAX($M$2:M879)+1,0)</f>
        <v>878</v>
      </c>
      <c r="Y880" s="419" t="s">
        <v>3293</v>
      </c>
      <c r="Z880" t="str">
        <f>IFERROR(VLOOKUP(ROWS($Z$3:Z880),$X$3:$Y$992,2,0),"")</f>
        <v>Zprostř.specializ.velkoobchodu a velkoobchod v zast.s ost.výrobky j.n.</v>
      </c>
    </row>
    <row r="881" spans="13:26" ht="12.75">
      <c r="M881" s="418">
        <f>IF(ISNUMBER(SEARCH(ZAKL_DATA!$B$29,N881)),MAX($M$2:M880)+1,0)</f>
        <v>879</v>
      </c>
      <c r="N881" s="419" t="s">
        <v>3295</v>
      </c>
      <c r="O881" s="436" t="s">
        <v>3296</v>
      </c>
      <c r="P881" s="421"/>
      <c r="Q881" s="422" t="str">
        <f>IFERROR(VLOOKUP(ROWS($Q$3:Q881),$M$3:$N$992,2,0),"")</f>
        <v>Velkoobchod s oděvy</v>
      </c>
      <c r="R881">
        <f>IF(ISNUMBER(SEARCH('1Př1'!$A$35,N881)),MAX($M$2:M880)+1,0)</f>
        <v>879</v>
      </c>
      <c r="S881" s="419" t="s">
        <v>3295</v>
      </c>
      <c r="T881" t="str">
        <f>IFERROR(VLOOKUP(ROWS($T$3:T881),$R$3:$S$992,2,0),"")</f>
        <v>Velkoobchod s oděvy</v>
      </c>
      <c r="U881">
        <f>IF(ISNUMBER(SEARCH('1Př1'!$A$36,N881)),MAX($M$2:M880)+1,0)</f>
        <v>879</v>
      </c>
      <c r="V881" s="419" t="s">
        <v>3295</v>
      </c>
      <c r="W881" t="str">
        <f>IFERROR(VLOOKUP(ROWS($W$3:W881),$U$3:$V$992,2,0),"")</f>
        <v>Velkoobchod s oděvy</v>
      </c>
      <c r="X881">
        <f>IF(ISNUMBER(SEARCH('1Př1'!$A$37,N881)),MAX($M$2:M880)+1,0)</f>
        <v>879</v>
      </c>
      <c r="Y881" s="419" t="s">
        <v>3295</v>
      </c>
      <c r="Z881" t="str">
        <f>IFERROR(VLOOKUP(ROWS($Z$3:Z881),$X$3:$Y$992,2,0),"")</f>
        <v>Velkoobchod s oděvy</v>
      </c>
    </row>
    <row r="882" spans="13:26" ht="12.75">
      <c r="M882" s="418">
        <f>IF(ISNUMBER(SEARCH(ZAKL_DATA!$B$29,N882)),MAX($M$2:M881)+1,0)</f>
        <v>880</v>
      </c>
      <c r="N882" s="419" t="s">
        <v>3297</v>
      </c>
      <c r="O882" s="436" t="s">
        <v>3298</v>
      </c>
      <c r="P882" s="421"/>
      <c r="Q882" s="422" t="str">
        <f>IFERROR(VLOOKUP(ROWS($Q$3:Q882),$M$3:$N$992,2,0),"")</f>
        <v>Velkoobchod s obuví</v>
      </c>
      <c r="R882">
        <f>IF(ISNUMBER(SEARCH('1Př1'!$A$35,N882)),MAX($M$2:M881)+1,0)</f>
        <v>880</v>
      </c>
      <c r="S882" s="419" t="s">
        <v>3297</v>
      </c>
      <c r="T882" t="str">
        <f>IFERROR(VLOOKUP(ROWS($T$3:T882),$R$3:$S$992,2,0),"")</f>
        <v>Velkoobchod s obuví</v>
      </c>
      <c r="U882">
        <f>IF(ISNUMBER(SEARCH('1Př1'!$A$36,N882)),MAX($M$2:M881)+1,0)</f>
        <v>880</v>
      </c>
      <c r="V882" s="419" t="s">
        <v>3297</v>
      </c>
      <c r="W882" t="str">
        <f>IFERROR(VLOOKUP(ROWS($W$3:W882),$U$3:$V$992,2,0),"")</f>
        <v>Velkoobchod s obuví</v>
      </c>
      <c r="X882">
        <f>IF(ISNUMBER(SEARCH('1Př1'!$A$37,N882)),MAX($M$2:M881)+1,0)</f>
        <v>880</v>
      </c>
      <c r="Y882" s="419" t="s">
        <v>3297</v>
      </c>
      <c r="Z882" t="str">
        <f>IFERROR(VLOOKUP(ROWS($Z$3:Z882),$X$3:$Y$992,2,0),"")</f>
        <v>Velkoobchod s obuví</v>
      </c>
    </row>
    <row r="883" spans="13:26" ht="12.75">
      <c r="M883" s="418">
        <f>IF(ISNUMBER(SEARCH(ZAKL_DATA!$B$29,N883)),MAX($M$2:M882)+1,0)</f>
        <v>881</v>
      </c>
      <c r="N883" s="419" t="s">
        <v>3299</v>
      </c>
      <c r="O883" s="436" t="s">
        <v>3300</v>
      </c>
      <c r="P883" s="421"/>
      <c r="Q883" s="422" t="str">
        <f>IFERROR(VLOOKUP(ROWS($Q$3:Q883),$M$3:$N$992,2,0),"")</f>
        <v>Velkoobchod s porcelánovými, keramickými a skleněnými výrobky</v>
      </c>
      <c r="R883">
        <f>IF(ISNUMBER(SEARCH('1Př1'!$A$35,N883)),MAX($M$2:M882)+1,0)</f>
        <v>881</v>
      </c>
      <c r="S883" s="419" t="s">
        <v>3299</v>
      </c>
      <c r="T883" t="str">
        <f>IFERROR(VLOOKUP(ROWS($T$3:T883),$R$3:$S$992,2,0),"")</f>
        <v>Velkoobchod s porcelánovými, keramickými a skleněnými výrobky</v>
      </c>
      <c r="U883">
        <f>IF(ISNUMBER(SEARCH('1Př1'!$A$36,N883)),MAX($M$2:M882)+1,0)</f>
        <v>881</v>
      </c>
      <c r="V883" s="419" t="s">
        <v>3299</v>
      </c>
      <c r="W883" t="str">
        <f>IFERROR(VLOOKUP(ROWS($W$3:W883),$U$3:$V$992,2,0),"")</f>
        <v>Velkoobchod s porcelánovými, keramickými a skleněnými výrobky</v>
      </c>
      <c r="X883">
        <f>IF(ISNUMBER(SEARCH('1Př1'!$A$37,N883)),MAX($M$2:M882)+1,0)</f>
        <v>881</v>
      </c>
      <c r="Y883" s="419" t="s">
        <v>3299</v>
      </c>
      <c r="Z883" t="str">
        <f>IFERROR(VLOOKUP(ROWS($Z$3:Z883),$X$3:$Y$992,2,0),"")</f>
        <v>Velkoobchod s porcelánovými, keramickými a skleněnými výrobky</v>
      </c>
    </row>
    <row r="884" spans="13:26" ht="12.75">
      <c r="M884" s="418">
        <f>IF(ISNUMBER(SEARCH(ZAKL_DATA!$B$29,N884)),MAX($M$2:M883)+1,0)</f>
        <v>882</v>
      </c>
      <c r="N884" s="419" t="s">
        <v>3301</v>
      </c>
      <c r="O884" s="436" t="s">
        <v>3302</v>
      </c>
      <c r="P884" s="421"/>
      <c r="Q884" s="422" t="str">
        <f>IFERROR(VLOOKUP(ROWS($Q$3:Q884),$M$3:$N$992,2,0),"")</f>
        <v>Velkoobchod s pracími a čisticími prostředky</v>
      </c>
      <c r="R884">
        <f>IF(ISNUMBER(SEARCH('1Př1'!$A$35,N884)),MAX($M$2:M883)+1,0)</f>
        <v>882</v>
      </c>
      <c r="S884" s="419" t="s">
        <v>3301</v>
      </c>
      <c r="T884" t="str">
        <f>IFERROR(VLOOKUP(ROWS($T$3:T884),$R$3:$S$992,2,0),"")</f>
        <v>Velkoobchod s pracími a čisticími prostředky</v>
      </c>
      <c r="U884">
        <f>IF(ISNUMBER(SEARCH('1Př1'!$A$36,N884)),MAX($M$2:M883)+1,0)</f>
        <v>882</v>
      </c>
      <c r="V884" s="419" t="s">
        <v>3301</v>
      </c>
      <c r="W884" t="str">
        <f>IFERROR(VLOOKUP(ROWS($W$3:W884),$U$3:$V$992,2,0),"")</f>
        <v>Velkoobchod s pracími a čisticími prostředky</v>
      </c>
      <c r="X884">
        <f>IF(ISNUMBER(SEARCH('1Př1'!$A$37,N884)),MAX($M$2:M883)+1,0)</f>
        <v>882</v>
      </c>
      <c r="Y884" s="419" t="s">
        <v>3301</v>
      </c>
      <c r="Z884" t="str">
        <f>IFERROR(VLOOKUP(ROWS($Z$3:Z884),$X$3:$Y$992,2,0),"")</f>
        <v>Velkoobchod s pracími a čisticími prostředky</v>
      </c>
    </row>
    <row r="885" spans="13:26" ht="12.75">
      <c r="M885" s="418">
        <f>IF(ISNUMBER(SEARCH(ZAKL_DATA!$B$29,N885)),MAX($M$2:M884)+1,0)</f>
        <v>883</v>
      </c>
      <c r="N885" s="419" t="s">
        <v>3303</v>
      </c>
      <c r="O885" s="436" t="s">
        <v>3304</v>
      </c>
      <c r="P885" s="421"/>
      <c r="Q885" s="422" t="str">
        <f>IFERROR(VLOOKUP(ROWS($Q$3:Q885),$M$3:$N$992,2,0),"")</f>
        <v>Velkoobchod s pevnými palivy a příbuznými výrobky</v>
      </c>
      <c r="R885">
        <f>IF(ISNUMBER(SEARCH('1Př1'!$A$35,N885)),MAX($M$2:M884)+1,0)</f>
        <v>883</v>
      </c>
      <c r="S885" s="419" t="s">
        <v>3303</v>
      </c>
      <c r="T885" t="str">
        <f>IFERROR(VLOOKUP(ROWS($T$3:T885),$R$3:$S$992,2,0),"")</f>
        <v>Velkoobchod s pevnými palivy a příbuznými výrobky</v>
      </c>
      <c r="U885">
        <f>IF(ISNUMBER(SEARCH('1Př1'!$A$36,N885)),MAX($M$2:M884)+1,0)</f>
        <v>883</v>
      </c>
      <c r="V885" s="419" t="s">
        <v>3303</v>
      </c>
      <c r="W885" t="str">
        <f>IFERROR(VLOOKUP(ROWS($W$3:W885),$U$3:$V$992,2,0),"")</f>
        <v>Velkoobchod s pevnými palivy a příbuznými výrobky</v>
      </c>
      <c r="X885">
        <f>IF(ISNUMBER(SEARCH('1Př1'!$A$37,N885)),MAX($M$2:M884)+1,0)</f>
        <v>883</v>
      </c>
      <c r="Y885" s="419" t="s">
        <v>3303</v>
      </c>
      <c r="Z885" t="str">
        <f>IFERROR(VLOOKUP(ROWS($Z$3:Z885),$X$3:$Y$992,2,0),"")</f>
        <v>Velkoobchod s pevnými palivy a příbuznými výrobky</v>
      </c>
    </row>
    <row r="886" spans="13:26" ht="12.75">
      <c r="M886" s="418">
        <f>IF(ISNUMBER(SEARCH(ZAKL_DATA!$B$29,N886)),MAX($M$2:M885)+1,0)</f>
        <v>884</v>
      </c>
      <c r="N886" s="419" t="s">
        <v>3305</v>
      </c>
      <c r="O886" s="436" t="s">
        <v>3306</v>
      </c>
      <c r="P886" s="421"/>
      <c r="Q886" s="422" t="str">
        <f>IFERROR(VLOOKUP(ROWS($Q$3:Q886),$M$3:$N$992,2,0),"")</f>
        <v>Velkoobchod s kapalnými palivy a příbuznými výrobky</v>
      </c>
      <c r="R886">
        <f>IF(ISNUMBER(SEARCH('1Př1'!$A$35,N886)),MAX($M$2:M885)+1,0)</f>
        <v>884</v>
      </c>
      <c r="S886" s="419" t="s">
        <v>3305</v>
      </c>
      <c r="T886" t="str">
        <f>IFERROR(VLOOKUP(ROWS($T$3:T886),$R$3:$S$992,2,0),"")</f>
        <v>Velkoobchod s kapalnými palivy a příbuznými výrobky</v>
      </c>
      <c r="U886">
        <f>IF(ISNUMBER(SEARCH('1Př1'!$A$36,N886)),MAX($M$2:M885)+1,0)</f>
        <v>884</v>
      </c>
      <c r="V886" s="419" t="s">
        <v>3305</v>
      </c>
      <c r="W886" t="str">
        <f>IFERROR(VLOOKUP(ROWS($W$3:W886),$U$3:$V$992,2,0),"")</f>
        <v>Velkoobchod s kapalnými palivy a příbuznými výrobky</v>
      </c>
      <c r="X886">
        <f>IF(ISNUMBER(SEARCH('1Př1'!$A$37,N886)),MAX($M$2:M885)+1,0)</f>
        <v>884</v>
      </c>
      <c r="Y886" s="419" t="s">
        <v>3305</v>
      </c>
      <c r="Z886" t="str">
        <f>IFERROR(VLOOKUP(ROWS($Z$3:Z886),$X$3:$Y$992,2,0),"")</f>
        <v>Velkoobchod s kapalnými palivy a příbuznými výrobky</v>
      </c>
    </row>
    <row r="887" spans="13:26" ht="12.75">
      <c r="M887" s="418">
        <f>IF(ISNUMBER(SEARCH(ZAKL_DATA!$B$29,N887)),MAX($M$2:M886)+1,0)</f>
        <v>885</v>
      </c>
      <c r="N887" s="419" t="s">
        <v>3307</v>
      </c>
      <c r="O887" s="436" t="s">
        <v>3308</v>
      </c>
      <c r="P887" s="421"/>
      <c r="Q887" s="422" t="str">
        <f>IFERROR(VLOOKUP(ROWS($Q$3:Q887),$M$3:$N$992,2,0),"")</f>
        <v>Velkoobchod s plynnými palivy a příbuznými výrobky</v>
      </c>
      <c r="R887">
        <f>IF(ISNUMBER(SEARCH('1Př1'!$A$35,N887)),MAX($M$2:M886)+1,0)</f>
        <v>885</v>
      </c>
      <c r="S887" s="419" t="s">
        <v>3307</v>
      </c>
      <c r="T887" t="str">
        <f>IFERROR(VLOOKUP(ROWS($T$3:T887),$R$3:$S$992,2,0),"")</f>
        <v>Velkoobchod s plynnými palivy a příbuznými výrobky</v>
      </c>
      <c r="U887">
        <f>IF(ISNUMBER(SEARCH('1Př1'!$A$36,N887)),MAX($M$2:M886)+1,0)</f>
        <v>885</v>
      </c>
      <c r="V887" s="419" t="s">
        <v>3307</v>
      </c>
      <c r="W887" t="str">
        <f>IFERROR(VLOOKUP(ROWS($W$3:W887),$U$3:$V$992,2,0),"")</f>
        <v>Velkoobchod s plynnými palivy a příbuznými výrobky</v>
      </c>
      <c r="X887">
        <f>IF(ISNUMBER(SEARCH('1Př1'!$A$37,N887)),MAX($M$2:M886)+1,0)</f>
        <v>885</v>
      </c>
      <c r="Y887" s="419" t="s">
        <v>3307</v>
      </c>
      <c r="Z887" t="str">
        <f>IFERROR(VLOOKUP(ROWS($Z$3:Z887),$X$3:$Y$992,2,0),"")</f>
        <v>Velkoobchod s plynnými palivy a příbuznými výrobky</v>
      </c>
    </row>
    <row r="888" spans="13:26" ht="12.75">
      <c r="M888" s="418">
        <f>IF(ISNUMBER(SEARCH(ZAKL_DATA!$B$29,N888)),MAX($M$2:M887)+1,0)</f>
        <v>886</v>
      </c>
      <c r="N888" s="419" t="s">
        <v>3309</v>
      </c>
      <c r="O888" s="436" t="s">
        <v>3310</v>
      </c>
      <c r="P888" s="421"/>
      <c r="Q888" s="422" t="str">
        <f>IFERROR(VLOOKUP(ROWS($Q$3:Q888),$M$3:$N$992,2,0),"")</f>
        <v>Velkoobchod s papírenskými meziprodukty</v>
      </c>
      <c r="R888">
        <f>IF(ISNUMBER(SEARCH('1Př1'!$A$35,N888)),MAX($M$2:M887)+1,0)</f>
        <v>886</v>
      </c>
      <c r="S888" s="419" t="s">
        <v>3309</v>
      </c>
      <c r="T888" t="str">
        <f>IFERROR(VLOOKUP(ROWS($T$3:T888),$R$3:$S$992,2,0),"")</f>
        <v>Velkoobchod s papírenskými meziprodukty</v>
      </c>
      <c r="U888">
        <f>IF(ISNUMBER(SEARCH('1Př1'!$A$36,N888)),MAX($M$2:M887)+1,0)</f>
        <v>886</v>
      </c>
      <c r="V888" s="419" t="s">
        <v>3309</v>
      </c>
      <c r="W888" t="str">
        <f>IFERROR(VLOOKUP(ROWS($W$3:W888),$U$3:$V$992,2,0),"")</f>
        <v>Velkoobchod s papírenskými meziprodukty</v>
      </c>
      <c r="X888">
        <f>IF(ISNUMBER(SEARCH('1Př1'!$A$37,N888)),MAX($M$2:M887)+1,0)</f>
        <v>886</v>
      </c>
      <c r="Y888" s="419" t="s">
        <v>3309</v>
      </c>
      <c r="Z888" t="str">
        <f>IFERROR(VLOOKUP(ROWS($Z$3:Z888),$X$3:$Y$992,2,0),"")</f>
        <v>Velkoobchod s papírenskými meziprodukty</v>
      </c>
    </row>
    <row r="889" spans="13:26" ht="12.75">
      <c r="M889" s="418">
        <f>IF(ISNUMBER(SEARCH(ZAKL_DATA!$B$29,N889)),MAX($M$2:M888)+1,0)</f>
        <v>887</v>
      </c>
      <c r="N889" s="419" t="s">
        <v>3311</v>
      </c>
      <c r="O889" s="436" t="s">
        <v>3312</v>
      </c>
      <c r="P889" s="421"/>
      <c r="Q889" s="422" t="str">
        <f>IFERROR(VLOOKUP(ROWS($Q$3:Q889),$M$3:$N$992,2,0),"")</f>
        <v>Velkoobchod s ostatními meziprodukty j. n.</v>
      </c>
      <c r="R889">
        <f>IF(ISNUMBER(SEARCH('1Př1'!$A$35,N889)),MAX($M$2:M888)+1,0)</f>
        <v>887</v>
      </c>
      <c r="S889" s="419" t="s">
        <v>3311</v>
      </c>
      <c r="T889" t="str">
        <f>IFERROR(VLOOKUP(ROWS($T$3:T889),$R$3:$S$992,2,0),"")</f>
        <v>Velkoobchod s ostatními meziprodukty j. n.</v>
      </c>
      <c r="U889">
        <f>IF(ISNUMBER(SEARCH('1Př1'!$A$36,N889)),MAX($M$2:M888)+1,0)</f>
        <v>887</v>
      </c>
      <c r="V889" s="419" t="s">
        <v>3311</v>
      </c>
      <c r="W889" t="str">
        <f>IFERROR(VLOOKUP(ROWS($W$3:W889),$U$3:$V$992,2,0),"")</f>
        <v>Velkoobchod s ostatními meziprodukty j. n.</v>
      </c>
      <c r="X889">
        <f>IF(ISNUMBER(SEARCH('1Př1'!$A$37,N889)),MAX($M$2:M888)+1,0)</f>
        <v>887</v>
      </c>
      <c r="Y889" s="419" t="s">
        <v>3311</v>
      </c>
      <c r="Z889" t="str">
        <f>IFERROR(VLOOKUP(ROWS($Z$3:Z889),$X$3:$Y$992,2,0),"")</f>
        <v>Velkoobchod s ostatními meziprodukty j. n.</v>
      </c>
    </row>
    <row r="890" spans="13:26" ht="12.75">
      <c r="M890" s="418">
        <f>IF(ISNUMBER(SEARCH(ZAKL_DATA!$B$29,N890)),MAX($M$2:M889)+1,0)</f>
        <v>888</v>
      </c>
      <c r="N890" s="419" t="s">
        <v>3313</v>
      </c>
      <c r="O890" s="436" t="s">
        <v>3314</v>
      </c>
      <c r="P890" s="421"/>
      <c r="Q890" s="422" t="str">
        <f>IFERROR(VLOOKUP(ROWS($Q$3:Q890),$M$3:$N$992,2,0),"")</f>
        <v>Maloobchod s fotografickým a optickým zařízením a potřebami</v>
      </c>
      <c r="R890">
        <f>IF(ISNUMBER(SEARCH('1Př1'!$A$35,N890)),MAX($M$2:M889)+1,0)</f>
        <v>888</v>
      </c>
      <c r="S890" s="419" t="s">
        <v>3313</v>
      </c>
      <c r="T890" t="str">
        <f>IFERROR(VLOOKUP(ROWS($T$3:T890),$R$3:$S$992,2,0),"")</f>
        <v>Maloobchod s fotografickým a optickým zařízením a potřebami</v>
      </c>
      <c r="U890">
        <f>IF(ISNUMBER(SEARCH('1Př1'!$A$36,N890)),MAX($M$2:M889)+1,0)</f>
        <v>888</v>
      </c>
      <c r="V890" s="419" t="s">
        <v>3313</v>
      </c>
      <c r="W890" t="str">
        <f>IFERROR(VLOOKUP(ROWS($W$3:W890),$U$3:$V$992,2,0),"")</f>
        <v>Maloobchod s fotografickým a optickým zařízením a potřebami</v>
      </c>
      <c r="X890">
        <f>IF(ISNUMBER(SEARCH('1Př1'!$A$37,N890)),MAX($M$2:M889)+1,0)</f>
        <v>888</v>
      </c>
      <c r="Y890" s="419" t="s">
        <v>3313</v>
      </c>
      <c r="Z890" t="str">
        <f>IFERROR(VLOOKUP(ROWS($Z$3:Z890),$X$3:$Y$992,2,0),"")</f>
        <v>Maloobchod s fotografickým a optickým zařízením a potřebami</v>
      </c>
    </row>
    <row r="891" spans="13:26" ht="12.75">
      <c r="M891" s="418">
        <f>IF(ISNUMBER(SEARCH(ZAKL_DATA!$B$29,N891)),MAX($M$2:M890)+1,0)</f>
        <v>889</v>
      </c>
      <c r="N891" s="419" t="s">
        <v>3315</v>
      </c>
      <c r="O891" s="436" t="s">
        <v>3316</v>
      </c>
      <c r="P891" s="421"/>
      <c r="Q891" s="422" t="str">
        <f>IFERROR(VLOOKUP(ROWS($Q$3:Q891),$M$3:$N$992,2,0),"")</f>
        <v>Maloobchod s pevnými palivy</v>
      </c>
      <c r="R891">
        <f>IF(ISNUMBER(SEARCH('1Př1'!$A$35,N891)),MAX($M$2:M890)+1,0)</f>
        <v>889</v>
      </c>
      <c r="S891" s="419" t="s">
        <v>3315</v>
      </c>
      <c r="T891" t="str">
        <f>IFERROR(VLOOKUP(ROWS($T$3:T891),$R$3:$S$992,2,0),"")</f>
        <v>Maloobchod s pevnými palivy</v>
      </c>
      <c r="U891">
        <f>IF(ISNUMBER(SEARCH('1Př1'!$A$36,N891)),MAX($M$2:M890)+1,0)</f>
        <v>889</v>
      </c>
      <c r="V891" s="419" t="s">
        <v>3315</v>
      </c>
      <c r="W891" t="str">
        <f>IFERROR(VLOOKUP(ROWS($W$3:W891),$U$3:$V$992,2,0),"")</f>
        <v>Maloobchod s pevnými palivy</v>
      </c>
      <c r="X891">
        <f>IF(ISNUMBER(SEARCH('1Př1'!$A$37,N891)),MAX($M$2:M890)+1,0)</f>
        <v>889</v>
      </c>
      <c r="Y891" s="419" t="s">
        <v>3315</v>
      </c>
      <c r="Z891" t="str">
        <f>IFERROR(VLOOKUP(ROWS($Z$3:Z891),$X$3:$Y$992,2,0),"")</f>
        <v>Maloobchod s pevnými palivy</v>
      </c>
    </row>
    <row r="892" spans="13:26" ht="12.75">
      <c r="M892" s="418">
        <f>IF(ISNUMBER(SEARCH(ZAKL_DATA!$B$29,N892)),MAX($M$2:M891)+1,0)</f>
        <v>890</v>
      </c>
      <c r="N892" s="419" t="s">
        <v>3317</v>
      </c>
      <c r="O892" s="436" t="s">
        <v>3318</v>
      </c>
      <c r="P892" s="421"/>
      <c r="Q892" s="422" t="str">
        <f>IFERROR(VLOOKUP(ROWS($Q$3:Q892),$M$3:$N$992,2,0),"")</f>
        <v>Maloobchod s kapalnými palivy (kromě pohonných hmot)</v>
      </c>
      <c r="R892">
        <f>IF(ISNUMBER(SEARCH('1Př1'!$A$35,N892)),MAX($M$2:M891)+1,0)</f>
        <v>890</v>
      </c>
      <c r="S892" s="419" t="s">
        <v>3317</v>
      </c>
      <c r="T892" t="str">
        <f>IFERROR(VLOOKUP(ROWS($T$3:T892),$R$3:$S$992,2,0),"")</f>
        <v>Maloobchod s kapalnými palivy (kromě pohonných hmot)</v>
      </c>
      <c r="U892">
        <f>IF(ISNUMBER(SEARCH('1Př1'!$A$36,N892)),MAX($M$2:M891)+1,0)</f>
        <v>890</v>
      </c>
      <c r="V892" s="419" t="s">
        <v>3317</v>
      </c>
      <c r="W892" t="str">
        <f>IFERROR(VLOOKUP(ROWS($W$3:W892),$U$3:$V$992,2,0),"")</f>
        <v>Maloobchod s kapalnými palivy (kromě pohonných hmot)</v>
      </c>
      <c r="X892">
        <f>IF(ISNUMBER(SEARCH('1Př1'!$A$37,N892)),MAX($M$2:M891)+1,0)</f>
        <v>890</v>
      </c>
      <c r="Y892" s="419" t="s">
        <v>3317</v>
      </c>
      <c r="Z892" t="str">
        <f>IFERROR(VLOOKUP(ROWS($Z$3:Z892),$X$3:$Y$992,2,0),"")</f>
        <v>Maloobchod s kapalnými palivy (kromě pohonných hmot)</v>
      </c>
    </row>
    <row r="893" spans="13:26" ht="12.75">
      <c r="M893" s="418">
        <f>IF(ISNUMBER(SEARCH(ZAKL_DATA!$B$29,N893)),MAX($M$2:M892)+1,0)</f>
        <v>891</v>
      </c>
      <c r="N893" s="419" t="s">
        <v>3319</v>
      </c>
      <c r="O893" s="436" t="s">
        <v>3320</v>
      </c>
      <c r="P893" s="421"/>
      <c r="Q893" s="422" t="str">
        <f>IFERROR(VLOOKUP(ROWS($Q$3:Q893),$M$3:$N$992,2,0),"")</f>
        <v>Maloobchod s plynnými palivy (kromě pohonných hmot)</v>
      </c>
      <c r="R893">
        <f>IF(ISNUMBER(SEARCH('1Př1'!$A$35,N893)),MAX($M$2:M892)+1,0)</f>
        <v>891</v>
      </c>
      <c r="S893" s="419" t="s">
        <v>3319</v>
      </c>
      <c r="T893" t="str">
        <f>IFERROR(VLOOKUP(ROWS($T$3:T893),$R$3:$S$992,2,0),"")</f>
        <v>Maloobchod s plynnými palivy (kromě pohonných hmot)</v>
      </c>
      <c r="U893">
        <f>IF(ISNUMBER(SEARCH('1Př1'!$A$36,N893)),MAX($M$2:M892)+1,0)</f>
        <v>891</v>
      </c>
      <c r="V893" s="419" t="s">
        <v>3319</v>
      </c>
      <c r="W893" t="str">
        <f>IFERROR(VLOOKUP(ROWS($W$3:W893),$U$3:$V$992,2,0),"")</f>
        <v>Maloobchod s plynnými palivy (kromě pohonných hmot)</v>
      </c>
      <c r="X893">
        <f>IF(ISNUMBER(SEARCH('1Př1'!$A$37,N893)),MAX($M$2:M892)+1,0)</f>
        <v>891</v>
      </c>
      <c r="Y893" s="419" t="s">
        <v>3319</v>
      </c>
      <c r="Z893" t="str">
        <f>IFERROR(VLOOKUP(ROWS($Z$3:Z893),$X$3:$Y$992,2,0),"")</f>
        <v>Maloobchod s plynnými palivy (kromě pohonných hmot)</v>
      </c>
    </row>
    <row r="894" spans="13:26" ht="12.75">
      <c r="M894" s="418">
        <f>IF(ISNUMBER(SEARCH(ZAKL_DATA!$B$29,N894)),MAX($M$2:M893)+1,0)</f>
        <v>892</v>
      </c>
      <c r="N894" s="419" t="s">
        <v>3321</v>
      </c>
      <c r="O894" s="436" t="s">
        <v>3322</v>
      </c>
      <c r="P894" s="421"/>
      <c r="Q894" s="422" t="str">
        <f>IFERROR(VLOOKUP(ROWS($Q$3:Q894),$M$3:$N$992,2,0),"")</f>
        <v>Ostatní maloobchod s novým zbožím ve specializovaných prodejnách j. n.</v>
      </c>
      <c r="R894">
        <f>IF(ISNUMBER(SEARCH('1Př1'!$A$35,N894)),MAX($M$2:M893)+1,0)</f>
        <v>892</v>
      </c>
      <c r="S894" s="419" t="s">
        <v>3321</v>
      </c>
      <c r="T894" t="str">
        <f>IFERROR(VLOOKUP(ROWS($T$3:T894),$R$3:$S$992,2,0),"")</f>
        <v>Ostatní maloobchod s novým zbožím ve specializovaných prodejnách j. n.</v>
      </c>
      <c r="U894">
        <f>IF(ISNUMBER(SEARCH('1Př1'!$A$36,N894)),MAX($M$2:M893)+1,0)</f>
        <v>892</v>
      </c>
      <c r="V894" s="419" t="s">
        <v>3321</v>
      </c>
      <c r="W894" t="str">
        <f>IFERROR(VLOOKUP(ROWS($W$3:W894),$U$3:$V$992,2,0),"")</f>
        <v>Ostatní maloobchod s novým zbožím ve specializovaných prodejnách j. n.</v>
      </c>
      <c r="X894">
        <f>IF(ISNUMBER(SEARCH('1Př1'!$A$37,N894)),MAX($M$2:M893)+1,0)</f>
        <v>892</v>
      </c>
      <c r="Y894" s="419" t="s">
        <v>3321</v>
      </c>
      <c r="Z894" t="str">
        <f>IFERROR(VLOOKUP(ROWS($Z$3:Z894),$X$3:$Y$992,2,0),"")</f>
        <v>Ostatní maloobchod s novým zbožím ve specializovaných prodejnách j. n.</v>
      </c>
    </row>
    <row r="895" spans="13:26" ht="12.75">
      <c r="M895" s="418">
        <f>IF(ISNUMBER(SEARCH(ZAKL_DATA!$B$29,N895)),MAX($M$2:M894)+1,0)</f>
        <v>893</v>
      </c>
      <c r="N895" s="419" t="s">
        <v>3323</v>
      </c>
      <c r="O895" s="436" t="s">
        <v>3324</v>
      </c>
      <c r="P895" s="421"/>
      <c r="Q895" s="422" t="str">
        <f>IFERROR(VLOOKUP(ROWS($Q$3:Q895),$M$3:$N$992,2,0),"")</f>
        <v>Maloobchod prostřednictvím internetu</v>
      </c>
      <c r="R895">
        <f>IF(ISNUMBER(SEARCH('1Př1'!$A$35,N895)),MAX($M$2:M894)+1,0)</f>
        <v>893</v>
      </c>
      <c r="S895" s="419" t="s">
        <v>3323</v>
      </c>
      <c r="T895" t="str">
        <f>IFERROR(VLOOKUP(ROWS($T$3:T895),$R$3:$S$992,2,0),"")</f>
        <v>Maloobchod prostřednictvím internetu</v>
      </c>
      <c r="U895">
        <f>IF(ISNUMBER(SEARCH('1Př1'!$A$36,N895)),MAX($M$2:M894)+1,0)</f>
        <v>893</v>
      </c>
      <c r="V895" s="419" t="s">
        <v>3323</v>
      </c>
      <c r="W895" t="str">
        <f>IFERROR(VLOOKUP(ROWS($W$3:W895),$U$3:$V$992,2,0),"")</f>
        <v>Maloobchod prostřednictvím internetu</v>
      </c>
      <c r="X895">
        <f>IF(ISNUMBER(SEARCH('1Př1'!$A$37,N895)),MAX($M$2:M894)+1,0)</f>
        <v>893</v>
      </c>
      <c r="Y895" s="419" t="s">
        <v>3323</v>
      </c>
      <c r="Z895" t="str">
        <f>IFERROR(VLOOKUP(ROWS($Z$3:Z895),$X$3:$Y$992,2,0),"")</f>
        <v>Maloobchod prostřednictvím internetu</v>
      </c>
    </row>
    <row r="896" spans="13:26" ht="12.75">
      <c r="M896" s="418">
        <f>IF(ISNUMBER(SEARCH(ZAKL_DATA!$B$29,N896)),MAX($M$2:M895)+1,0)</f>
        <v>894</v>
      </c>
      <c r="N896" s="419" t="s">
        <v>3325</v>
      </c>
      <c r="O896" s="436" t="s">
        <v>3326</v>
      </c>
      <c r="P896" s="421"/>
      <c r="Q896" s="422" t="str">
        <f>IFERROR(VLOOKUP(ROWS($Q$3:Q896),$M$3:$N$992,2,0),"")</f>
        <v>Maloobchod prostřednictvím zásilkové služby(jiný než prostř.internetu)</v>
      </c>
      <c r="R896">
        <f>IF(ISNUMBER(SEARCH('1Př1'!$A$35,N896)),MAX($M$2:M895)+1,0)</f>
        <v>894</v>
      </c>
      <c r="S896" s="419" t="s">
        <v>3325</v>
      </c>
      <c r="T896" t="str">
        <f>IFERROR(VLOOKUP(ROWS($T$3:T896),$R$3:$S$992,2,0),"")</f>
        <v>Maloobchod prostřednictvím zásilkové služby(jiný než prostř.internetu)</v>
      </c>
      <c r="U896">
        <f>IF(ISNUMBER(SEARCH('1Př1'!$A$36,N896)),MAX($M$2:M895)+1,0)</f>
        <v>894</v>
      </c>
      <c r="V896" s="419" t="s">
        <v>3325</v>
      </c>
      <c r="W896" t="str">
        <f>IFERROR(VLOOKUP(ROWS($W$3:W896),$U$3:$V$992,2,0),"")</f>
        <v>Maloobchod prostřednictvím zásilkové služby(jiný než prostř.internetu)</v>
      </c>
      <c r="X896">
        <f>IF(ISNUMBER(SEARCH('1Př1'!$A$37,N896)),MAX($M$2:M895)+1,0)</f>
        <v>894</v>
      </c>
      <c r="Y896" s="419" t="s">
        <v>3325</v>
      </c>
      <c r="Z896" t="str">
        <f>IFERROR(VLOOKUP(ROWS($Z$3:Z896),$X$3:$Y$992,2,0),"")</f>
        <v>Maloobchod prostřednictvím zásilkové služby(jiný než prostř.internetu)</v>
      </c>
    </row>
    <row r="897" spans="13:26" ht="12.75">
      <c r="M897" s="418">
        <f>IF(ISNUMBER(SEARCH(ZAKL_DATA!$B$29,N897)),MAX($M$2:M896)+1,0)</f>
        <v>895</v>
      </c>
      <c r="N897" s="419" t="s">
        <v>3327</v>
      </c>
      <c r="O897" s="436" t="s">
        <v>3328</v>
      </c>
      <c r="P897" s="421"/>
      <c r="Q897" s="422" t="str">
        <f>IFERROR(VLOOKUP(ROWS($Q$3:Q897),$M$3:$N$992,2,0),"")</f>
        <v>Meziměstská pravidelná pozemní osobní doprava</v>
      </c>
      <c r="R897">
        <f>IF(ISNUMBER(SEARCH('1Př1'!$A$35,N897)),MAX($M$2:M896)+1,0)</f>
        <v>895</v>
      </c>
      <c r="S897" s="419" t="s">
        <v>3327</v>
      </c>
      <c r="T897" t="str">
        <f>IFERROR(VLOOKUP(ROWS($T$3:T897),$R$3:$S$992,2,0),"")</f>
        <v>Meziměstská pravidelná pozemní osobní doprava</v>
      </c>
      <c r="U897">
        <f>IF(ISNUMBER(SEARCH('1Př1'!$A$36,N897)),MAX($M$2:M896)+1,0)</f>
        <v>895</v>
      </c>
      <c r="V897" s="419" t="s">
        <v>3327</v>
      </c>
      <c r="W897" t="str">
        <f>IFERROR(VLOOKUP(ROWS($W$3:W897),$U$3:$V$992,2,0),"")</f>
        <v>Meziměstská pravidelná pozemní osobní doprava</v>
      </c>
      <c r="X897">
        <f>IF(ISNUMBER(SEARCH('1Př1'!$A$37,N897)),MAX($M$2:M896)+1,0)</f>
        <v>895</v>
      </c>
      <c r="Y897" s="419" t="s">
        <v>3327</v>
      </c>
      <c r="Z897" t="str">
        <f>IFERROR(VLOOKUP(ROWS($Z$3:Z897),$X$3:$Y$992,2,0),"")</f>
        <v>Meziměstská pravidelná pozemní osobní doprava</v>
      </c>
    </row>
    <row r="898" spans="13:26" ht="12.75">
      <c r="M898" s="418">
        <f>IF(ISNUMBER(SEARCH(ZAKL_DATA!$B$29,N898)),MAX($M$2:M897)+1,0)</f>
        <v>896</v>
      </c>
      <c r="N898" s="419" t="s">
        <v>3329</v>
      </c>
      <c r="O898" s="436" t="s">
        <v>3330</v>
      </c>
      <c r="P898" s="421"/>
      <c r="Q898" s="422" t="str">
        <f>IFERROR(VLOOKUP(ROWS($Q$3:Q898),$M$3:$N$992,2,0),"")</f>
        <v>Osobní doprava lanovkou nebo vlekem</v>
      </c>
      <c r="R898">
        <f>IF(ISNUMBER(SEARCH('1Př1'!$A$35,N898)),MAX($M$2:M897)+1,0)</f>
        <v>896</v>
      </c>
      <c r="S898" s="419" t="s">
        <v>3329</v>
      </c>
      <c r="T898" t="str">
        <f>IFERROR(VLOOKUP(ROWS($T$3:T898),$R$3:$S$992,2,0),"")</f>
        <v>Osobní doprava lanovkou nebo vlekem</v>
      </c>
      <c r="U898">
        <f>IF(ISNUMBER(SEARCH('1Př1'!$A$36,N898)),MAX($M$2:M897)+1,0)</f>
        <v>896</v>
      </c>
      <c r="V898" s="419" t="s">
        <v>3329</v>
      </c>
      <c r="W898" t="str">
        <f>IFERROR(VLOOKUP(ROWS($W$3:W898),$U$3:$V$992,2,0),"")</f>
        <v>Osobní doprava lanovkou nebo vlekem</v>
      </c>
      <c r="X898">
        <f>IF(ISNUMBER(SEARCH('1Př1'!$A$37,N898)),MAX($M$2:M897)+1,0)</f>
        <v>896</v>
      </c>
      <c r="Y898" s="419" t="s">
        <v>3329</v>
      </c>
      <c r="Z898" t="str">
        <f>IFERROR(VLOOKUP(ROWS($Z$3:Z898),$X$3:$Y$992,2,0),"")</f>
        <v>Osobní doprava lanovkou nebo vlekem</v>
      </c>
    </row>
    <row r="899" spans="13:26" ht="12.75">
      <c r="M899" s="418">
        <f>IF(ISNUMBER(SEARCH(ZAKL_DATA!$B$29,N899)),MAX($M$2:M898)+1,0)</f>
        <v>897</v>
      </c>
      <c r="N899" s="419" t="s">
        <v>3331</v>
      </c>
      <c r="O899" s="436" t="s">
        <v>3332</v>
      </c>
      <c r="P899" s="421"/>
      <c r="Q899" s="422" t="str">
        <f>IFERROR(VLOOKUP(ROWS($Q$3:Q899),$M$3:$N$992,2,0),"")</f>
        <v>Nepravidelná pozemní osobní doprava</v>
      </c>
      <c r="R899">
        <f>IF(ISNUMBER(SEARCH('1Př1'!$A$35,N899)),MAX($M$2:M898)+1,0)</f>
        <v>897</v>
      </c>
      <c r="S899" s="419" t="s">
        <v>3331</v>
      </c>
      <c r="T899" t="str">
        <f>IFERROR(VLOOKUP(ROWS($T$3:T899),$R$3:$S$992,2,0),"")</f>
        <v>Nepravidelná pozemní osobní doprava</v>
      </c>
      <c r="U899">
        <f>IF(ISNUMBER(SEARCH('1Př1'!$A$36,N899)),MAX($M$2:M898)+1,0)</f>
        <v>897</v>
      </c>
      <c r="V899" s="419" t="s">
        <v>3331</v>
      </c>
      <c r="W899" t="str">
        <f>IFERROR(VLOOKUP(ROWS($W$3:W899),$U$3:$V$992,2,0),"")</f>
        <v>Nepravidelná pozemní osobní doprava</v>
      </c>
      <c r="X899">
        <f>IF(ISNUMBER(SEARCH('1Př1'!$A$37,N899)),MAX($M$2:M898)+1,0)</f>
        <v>897</v>
      </c>
      <c r="Y899" s="419" t="s">
        <v>3331</v>
      </c>
      <c r="Z899" t="str">
        <f>IFERROR(VLOOKUP(ROWS($Z$3:Z899),$X$3:$Y$992,2,0),"")</f>
        <v>Nepravidelná pozemní osobní doprava</v>
      </c>
    </row>
    <row r="900" spans="13:26" ht="12.75">
      <c r="M900" s="418">
        <f>IF(ISNUMBER(SEARCH(ZAKL_DATA!$B$29,N900)),MAX($M$2:M899)+1,0)</f>
        <v>898</v>
      </c>
      <c r="N900" s="419" t="s">
        <v>3333</v>
      </c>
      <c r="O900" s="436" t="s">
        <v>3334</v>
      </c>
      <c r="P900" s="421"/>
      <c r="Q900" s="422" t="str">
        <f>IFERROR(VLOOKUP(ROWS($Q$3:Q900),$M$3:$N$992,2,0),"")</f>
        <v>Jiná pozemní osobní doprava j. n.</v>
      </c>
      <c r="R900">
        <f>IF(ISNUMBER(SEARCH('1Př1'!$A$35,N900)),MAX($M$2:M899)+1,0)</f>
        <v>898</v>
      </c>
      <c r="S900" s="419" t="s">
        <v>3333</v>
      </c>
      <c r="T900" t="str">
        <f>IFERROR(VLOOKUP(ROWS($T$3:T900),$R$3:$S$992,2,0),"")</f>
        <v>Jiná pozemní osobní doprava j. n.</v>
      </c>
      <c r="U900">
        <f>IF(ISNUMBER(SEARCH('1Př1'!$A$36,N900)),MAX($M$2:M899)+1,0)</f>
        <v>898</v>
      </c>
      <c r="V900" s="419" t="s">
        <v>3333</v>
      </c>
      <c r="W900" t="str">
        <f>IFERROR(VLOOKUP(ROWS($W$3:W900),$U$3:$V$992,2,0),"")</f>
        <v>Jiná pozemní osobní doprava j. n.</v>
      </c>
      <c r="X900">
        <f>IF(ISNUMBER(SEARCH('1Př1'!$A$37,N900)),MAX($M$2:M899)+1,0)</f>
        <v>898</v>
      </c>
      <c r="Y900" s="419" t="s">
        <v>3333</v>
      </c>
      <c r="Z900" t="str">
        <f>IFERROR(VLOOKUP(ROWS($Z$3:Z900),$X$3:$Y$992,2,0),"")</f>
        <v>Jiná pozemní osobní doprava j. n.</v>
      </c>
    </row>
    <row r="901" spans="13:26" ht="12.75">
      <c r="M901" s="418">
        <f>IF(ISNUMBER(SEARCH(ZAKL_DATA!$B$29,N901)),MAX($M$2:M900)+1,0)</f>
        <v>899</v>
      </c>
      <c r="N901" s="419" t="s">
        <v>3335</v>
      </c>
      <c r="O901" s="436" t="s">
        <v>3336</v>
      </c>
      <c r="P901" s="421"/>
      <c r="Q901" s="422" t="str">
        <f>IFERROR(VLOOKUP(ROWS($Q$3:Q901),$M$3:$N$992,2,0),"")</f>
        <v>Potrubní doprava ropovodem</v>
      </c>
      <c r="R901">
        <f>IF(ISNUMBER(SEARCH('1Př1'!$A$35,N901)),MAX($M$2:M900)+1,0)</f>
        <v>899</v>
      </c>
      <c r="S901" s="419" t="s">
        <v>3335</v>
      </c>
      <c r="T901" t="str">
        <f>IFERROR(VLOOKUP(ROWS($T$3:T901),$R$3:$S$992,2,0),"")</f>
        <v>Potrubní doprava ropovodem</v>
      </c>
      <c r="U901">
        <f>IF(ISNUMBER(SEARCH('1Př1'!$A$36,N901)),MAX($M$2:M900)+1,0)</f>
        <v>899</v>
      </c>
      <c r="V901" s="419" t="s">
        <v>3335</v>
      </c>
      <c r="W901" t="str">
        <f>IFERROR(VLOOKUP(ROWS($W$3:W901),$U$3:$V$992,2,0),"")</f>
        <v>Potrubní doprava ropovodem</v>
      </c>
      <c r="X901">
        <f>IF(ISNUMBER(SEARCH('1Př1'!$A$37,N901)),MAX($M$2:M900)+1,0)</f>
        <v>899</v>
      </c>
      <c r="Y901" s="419" t="s">
        <v>3335</v>
      </c>
      <c r="Z901" t="str">
        <f>IFERROR(VLOOKUP(ROWS($Z$3:Z901),$X$3:$Y$992,2,0),"")</f>
        <v>Potrubní doprava ropovodem</v>
      </c>
    </row>
    <row r="902" spans="13:26" ht="12.75">
      <c r="M902" s="418">
        <f>IF(ISNUMBER(SEARCH(ZAKL_DATA!$B$29,N902)),MAX($M$2:M901)+1,0)</f>
        <v>900</v>
      </c>
      <c r="N902" s="419" t="s">
        <v>3337</v>
      </c>
      <c r="O902" s="436" t="s">
        <v>3338</v>
      </c>
      <c r="P902" s="421"/>
      <c r="Q902" s="422" t="str">
        <f>IFERROR(VLOOKUP(ROWS($Q$3:Q902),$M$3:$N$992,2,0),"")</f>
        <v>Potrubní doprava plynovodem</v>
      </c>
      <c r="R902">
        <f>IF(ISNUMBER(SEARCH('1Př1'!$A$35,N902)),MAX($M$2:M901)+1,0)</f>
        <v>900</v>
      </c>
      <c r="S902" s="419" t="s">
        <v>3337</v>
      </c>
      <c r="T902" t="str">
        <f>IFERROR(VLOOKUP(ROWS($T$3:T902),$R$3:$S$992,2,0),"")</f>
        <v>Potrubní doprava plynovodem</v>
      </c>
      <c r="U902">
        <f>IF(ISNUMBER(SEARCH('1Př1'!$A$36,N902)),MAX($M$2:M901)+1,0)</f>
        <v>900</v>
      </c>
      <c r="V902" s="419" t="s">
        <v>3337</v>
      </c>
      <c r="W902" t="str">
        <f>IFERROR(VLOOKUP(ROWS($W$3:W902),$U$3:$V$992,2,0),"")</f>
        <v>Potrubní doprava plynovodem</v>
      </c>
      <c r="X902">
        <f>IF(ISNUMBER(SEARCH('1Př1'!$A$37,N902)),MAX($M$2:M901)+1,0)</f>
        <v>900</v>
      </c>
      <c r="Y902" s="419" t="s">
        <v>3337</v>
      </c>
      <c r="Z902" t="str">
        <f>IFERROR(VLOOKUP(ROWS($Z$3:Z902),$X$3:$Y$992,2,0),"")</f>
        <v>Potrubní doprava plynovodem</v>
      </c>
    </row>
    <row r="903" spans="13:26" ht="12.75">
      <c r="M903" s="418">
        <f>IF(ISNUMBER(SEARCH(ZAKL_DATA!$B$29,N903)),MAX($M$2:M902)+1,0)</f>
        <v>901</v>
      </c>
      <c r="N903" s="419" t="s">
        <v>3339</v>
      </c>
      <c r="O903" s="436" t="s">
        <v>3340</v>
      </c>
      <c r="P903" s="421"/>
      <c r="Q903" s="422" t="str">
        <f>IFERROR(VLOOKUP(ROWS($Q$3:Q903),$M$3:$N$992,2,0),"")</f>
        <v>Potrubní doprava ostatní</v>
      </c>
      <c r="R903">
        <f>IF(ISNUMBER(SEARCH('1Př1'!$A$35,N903)),MAX($M$2:M902)+1,0)</f>
        <v>901</v>
      </c>
      <c r="S903" s="419" t="s">
        <v>3339</v>
      </c>
      <c r="T903" t="str">
        <f>IFERROR(VLOOKUP(ROWS($T$3:T903),$R$3:$S$992,2,0),"")</f>
        <v>Potrubní doprava ostatní</v>
      </c>
      <c r="U903">
        <f>IF(ISNUMBER(SEARCH('1Př1'!$A$36,N903)),MAX($M$2:M902)+1,0)</f>
        <v>901</v>
      </c>
      <c r="V903" s="419" t="s">
        <v>3339</v>
      </c>
      <c r="W903" t="str">
        <f>IFERROR(VLOOKUP(ROWS($W$3:W903),$U$3:$V$992,2,0),"")</f>
        <v>Potrubní doprava ostatní</v>
      </c>
      <c r="X903">
        <f>IF(ISNUMBER(SEARCH('1Př1'!$A$37,N903)),MAX($M$2:M902)+1,0)</f>
        <v>901</v>
      </c>
      <c r="Y903" s="419" t="s">
        <v>3339</v>
      </c>
      <c r="Z903" t="str">
        <f>IFERROR(VLOOKUP(ROWS($Z$3:Z903),$X$3:$Y$992,2,0),"")</f>
        <v>Potrubní doprava ostatní</v>
      </c>
    </row>
    <row r="904" spans="13:26" ht="12.75">
      <c r="M904" s="418">
        <f>IF(ISNUMBER(SEARCH(ZAKL_DATA!$B$29,N904)),MAX($M$2:M903)+1,0)</f>
        <v>902</v>
      </c>
      <c r="N904" s="419" t="s">
        <v>3341</v>
      </c>
      <c r="O904" s="436" t="s">
        <v>3342</v>
      </c>
      <c r="P904" s="421"/>
      <c r="Q904" s="422" t="str">
        <f>IFERROR(VLOOKUP(ROWS($Q$3:Q904),$M$3:$N$992,2,0),"")</f>
        <v>Vnitrostátní pravidelná letecká osobní doprava</v>
      </c>
      <c r="R904">
        <f>IF(ISNUMBER(SEARCH('1Př1'!$A$35,N904)),MAX($M$2:M903)+1,0)</f>
        <v>902</v>
      </c>
      <c r="S904" s="419" t="s">
        <v>3341</v>
      </c>
      <c r="T904" t="str">
        <f>IFERROR(VLOOKUP(ROWS($T$3:T904),$R$3:$S$992,2,0),"")</f>
        <v>Vnitrostátní pravidelná letecká osobní doprava</v>
      </c>
      <c r="U904">
        <f>IF(ISNUMBER(SEARCH('1Př1'!$A$36,N904)),MAX($M$2:M903)+1,0)</f>
        <v>902</v>
      </c>
      <c r="V904" s="419" t="s">
        <v>3341</v>
      </c>
      <c r="W904" t="str">
        <f>IFERROR(VLOOKUP(ROWS($W$3:W904),$U$3:$V$992,2,0),"")</f>
        <v>Vnitrostátní pravidelná letecká osobní doprava</v>
      </c>
      <c r="X904">
        <f>IF(ISNUMBER(SEARCH('1Př1'!$A$37,N904)),MAX($M$2:M903)+1,0)</f>
        <v>902</v>
      </c>
      <c r="Y904" s="419" t="s">
        <v>3341</v>
      </c>
      <c r="Z904" t="str">
        <f>IFERROR(VLOOKUP(ROWS($Z$3:Z904),$X$3:$Y$992,2,0),"")</f>
        <v>Vnitrostátní pravidelná letecká osobní doprava</v>
      </c>
    </row>
    <row r="905" spans="13:26" ht="12.75">
      <c r="M905" s="418">
        <f>IF(ISNUMBER(SEARCH(ZAKL_DATA!$B$29,N905)),MAX($M$2:M904)+1,0)</f>
        <v>903</v>
      </c>
      <c r="N905" s="419" t="s">
        <v>3343</v>
      </c>
      <c r="O905" s="436" t="s">
        <v>3344</v>
      </c>
      <c r="P905" s="421"/>
      <c r="Q905" s="422" t="str">
        <f>IFERROR(VLOOKUP(ROWS($Q$3:Q905),$M$3:$N$992,2,0),"")</f>
        <v>Vnitrostátní nepravidelná letecká osobní doprava</v>
      </c>
      <c r="R905">
        <f>IF(ISNUMBER(SEARCH('1Př1'!$A$35,N905)),MAX($M$2:M904)+1,0)</f>
        <v>903</v>
      </c>
      <c r="S905" s="419" t="s">
        <v>3343</v>
      </c>
      <c r="T905" t="str">
        <f>IFERROR(VLOOKUP(ROWS($T$3:T905),$R$3:$S$992,2,0),"")</f>
        <v>Vnitrostátní nepravidelná letecká osobní doprava</v>
      </c>
      <c r="U905">
        <f>IF(ISNUMBER(SEARCH('1Př1'!$A$36,N905)),MAX($M$2:M904)+1,0)</f>
        <v>903</v>
      </c>
      <c r="V905" s="419" t="s">
        <v>3343</v>
      </c>
      <c r="W905" t="str">
        <f>IFERROR(VLOOKUP(ROWS($W$3:W905),$U$3:$V$992,2,0),"")</f>
        <v>Vnitrostátní nepravidelná letecká osobní doprava</v>
      </c>
      <c r="X905">
        <f>IF(ISNUMBER(SEARCH('1Př1'!$A$37,N905)),MAX($M$2:M904)+1,0)</f>
        <v>903</v>
      </c>
      <c r="Y905" s="419" t="s">
        <v>3343</v>
      </c>
      <c r="Z905" t="str">
        <f>IFERROR(VLOOKUP(ROWS($Z$3:Z905),$X$3:$Y$992,2,0),"")</f>
        <v>Vnitrostátní nepravidelná letecká osobní doprava</v>
      </c>
    </row>
    <row r="906" spans="13:26" ht="12.75">
      <c r="M906" s="418">
        <f>IF(ISNUMBER(SEARCH(ZAKL_DATA!$B$29,N906)),MAX($M$2:M905)+1,0)</f>
        <v>904</v>
      </c>
      <c r="N906" s="419" t="s">
        <v>3345</v>
      </c>
      <c r="O906" s="436" t="s">
        <v>3346</v>
      </c>
      <c r="P906" s="421"/>
      <c r="Q906" s="422" t="str">
        <f>IFERROR(VLOOKUP(ROWS($Q$3:Q906),$M$3:$N$992,2,0),"")</f>
        <v>Mezinárodní pravidelná letecká osobní doprava</v>
      </c>
      <c r="R906">
        <f>IF(ISNUMBER(SEARCH('1Př1'!$A$35,N906)),MAX($M$2:M905)+1,0)</f>
        <v>904</v>
      </c>
      <c r="S906" s="419" t="s">
        <v>3345</v>
      </c>
      <c r="T906" t="str">
        <f>IFERROR(VLOOKUP(ROWS($T$3:T906),$R$3:$S$992,2,0),"")</f>
        <v>Mezinárodní pravidelná letecká osobní doprava</v>
      </c>
      <c r="U906">
        <f>IF(ISNUMBER(SEARCH('1Př1'!$A$36,N906)),MAX($M$2:M905)+1,0)</f>
        <v>904</v>
      </c>
      <c r="V906" s="419" t="s">
        <v>3345</v>
      </c>
      <c r="W906" t="str">
        <f>IFERROR(VLOOKUP(ROWS($W$3:W906),$U$3:$V$992,2,0),"")</f>
        <v>Mezinárodní pravidelná letecká osobní doprava</v>
      </c>
      <c r="X906">
        <f>IF(ISNUMBER(SEARCH('1Př1'!$A$37,N906)),MAX($M$2:M905)+1,0)</f>
        <v>904</v>
      </c>
      <c r="Y906" s="419" t="s">
        <v>3345</v>
      </c>
      <c r="Z906" t="str">
        <f>IFERROR(VLOOKUP(ROWS($Z$3:Z906),$X$3:$Y$992,2,0),"")</f>
        <v>Mezinárodní pravidelná letecká osobní doprava</v>
      </c>
    </row>
    <row r="907" spans="13:26" ht="12.75">
      <c r="M907" s="418">
        <f>IF(ISNUMBER(SEARCH(ZAKL_DATA!$B$29,N907)),MAX($M$2:M906)+1,0)</f>
        <v>905</v>
      </c>
      <c r="N907" s="419" t="s">
        <v>3347</v>
      </c>
      <c r="O907" s="436" t="s">
        <v>3348</v>
      </c>
      <c r="P907" s="421"/>
      <c r="Q907" s="422" t="str">
        <f>IFERROR(VLOOKUP(ROWS($Q$3:Q907),$M$3:$N$992,2,0),"")</f>
        <v>Mezinárodní nepravidelná letecká osobní doprava</v>
      </c>
      <c r="R907">
        <f>IF(ISNUMBER(SEARCH('1Př1'!$A$35,N907)),MAX($M$2:M906)+1,0)</f>
        <v>905</v>
      </c>
      <c r="S907" s="419" t="s">
        <v>3347</v>
      </c>
      <c r="T907" t="str">
        <f>IFERROR(VLOOKUP(ROWS($T$3:T907),$R$3:$S$992,2,0),"")</f>
        <v>Mezinárodní nepravidelná letecká osobní doprava</v>
      </c>
      <c r="U907">
        <f>IF(ISNUMBER(SEARCH('1Př1'!$A$36,N907)),MAX($M$2:M906)+1,0)</f>
        <v>905</v>
      </c>
      <c r="V907" s="419" t="s">
        <v>3347</v>
      </c>
      <c r="W907" t="str">
        <f>IFERROR(VLOOKUP(ROWS($W$3:W907),$U$3:$V$992,2,0),"")</f>
        <v>Mezinárodní nepravidelná letecká osobní doprava</v>
      </c>
      <c r="X907">
        <f>IF(ISNUMBER(SEARCH('1Př1'!$A$37,N907)),MAX($M$2:M906)+1,0)</f>
        <v>905</v>
      </c>
      <c r="Y907" s="419" t="s">
        <v>3347</v>
      </c>
      <c r="Z907" t="str">
        <f>IFERROR(VLOOKUP(ROWS($Z$3:Z907),$X$3:$Y$992,2,0),"")</f>
        <v>Mezinárodní nepravidelná letecká osobní doprava</v>
      </c>
    </row>
    <row r="908" spans="13:26" ht="12.75">
      <c r="M908" s="418">
        <f>IF(ISNUMBER(SEARCH(ZAKL_DATA!$B$29,N908)),MAX($M$2:M907)+1,0)</f>
        <v>906</v>
      </c>
      <c r="N908" s="419" t="s">
        <v>3349</v>
      </c>
      <c r="O908" s="436" t="s">
        <v>3350</v>
      </c>
      <c r="P908" s="421"/>
      <c r="Q908" s="422" t="str">
        <f>IFERROR(VLOOKUP(ROWS($Q$3:Q908),$M$3:$N$992,2,0),"")</f>
        <v>Ostatní letecká osobní doprava</v>
      </c>
      <c r="R908">
        <f>IF(ISNUMBER(SEARCH('1Př1'!$A$35,N908)),MAX($M$2:M907)+1,0)</f>
        <v>906</v>
      </c>
      <c r="S908" s="419" t="s">
        <v>3349</v>
      </c>
      <c r="T908" t="str">
        <f>IFERROR(VLOOKUP(ROWS($T$3:T908),$R$3:$S$992,2,0),"")</f>
        <v>Ostatní letecká osobní doprava</v>
      </c>
      <c r="U908">
        <f>IF(ISNUMBER(SEARCH('1Př1'!$A$36,N908)),MAX($M$2:M907)+1,0)</f>
        <v>906</v>
      </c>
      <c r="V908" s="419" t="s">
        <v>3349</v>
      </c>
      <c r="W908" t="str">
        <f>IFERROR(VLOOKUP(ROWS($W$3:W908),$U$3:$V$992,2,0),"")</f>
        <v>Ostatní letecká osobní doprava</v>
      </c>
      <c r="X908">
        <f>IF(ISNUMBER(SEARCH('1Př1'!$A$37,N908)),MAX($M$2:M907)+1,0)</f>
        <v>906</v>
      </c>
      <c r="Y908" s="419" t="s">
        <v>3349</v>
      </c>
      <c r="Z908" t="str">
        <f>IFERROR(VLOOKUP(ROWS($Z$3:Z908),$X$3:$Y$992,2,0),"")</f>
        <v>Ostatní letecká osobní doprava</v>
      </c>
    </row>
    <row r="909" spans="13:26" ht="12.75">
      <c r="M909" s="418">
        <f>IF(ISNUMBER(SEARCH(ZAKL_DATA!$B$29,N909)),MAX($M$2:M908)+1,0)</f>
        <v>907</v>
      </c>
      <c r="N909" s="419" t="s">
        <v>3351</v>
      </c>
      <c r="O909" s="436" t="s">
        <v>3352</v>
      </c>
      <c r="P909" s="421"/>
      <c r="Q909" s="422" t="str">
        <f>IFERROR(VLOOKUP(ROWS($Q$3:Q909),$M$3:$N$992,2,0),"")</f>
        <v>Hotely</v>
      </c>
      <c r="R909">
        <f>IF(ISNUMBER(SEARCH('1Př1'!$A$35,N909)),MAX($M$2:M908)+1,0)</f>
        <v>907</v>
      </c>
      <c r="S909" s="419" t="s">
        <v>3351</v>
      </c>
      <c r="T909" t="str">
        <f>IFERROR(VLOOKUP(ROWS($T$3:T909),$R$3:$S$992,2,0),"")</f>
        <v>Hotely</v>
      </c>
      <c r="U909">
        <f>IF(ISNUMBER(SEARCH('1Př1'!$A$36,N909)),MAX($M$2:M908)+1,0)</f>
        <v>907</v>
      </c>
      <c r="V909" s="419" t="s">
        <v>3351</v>
      </c>
      <c r="W909" t="str">
        <f>IFERROR(VLOOKUP(ROWS($W$3:W909),$U$3:$V$992,2,0),"")</f>
        <v>Hotely</v>
      </c>
      <c r="X909">
        <f>IF(ISNUMBER(SEARCH('1Př1'!$A$37,N909)),MAX($M$2:M908)+1,0)</f>
        <v>907</v>
      </c>
      <c r="Y909" s="419" t="s">
        <v>3351</v>
      </c>
      <c r="Z909" t="str">
        <f>IFERROR(VLOOKUP(ROWS($Z$3:Z909),$X$3:$Y$992,2,0),"")</f>
        <v>Hotely</v>
      </c>
    </row>
    <row r="910" spans="13:26" ht="12.75">
      <c r="M910" s="418">
        <f>IF(ISNUMBER(SEARCH(ZAKL_DATA!$B$29,N910)),MAX($M$2:M909)+1,0)</f>
        <v>908</v>
      </c>
      <c r="N910" s="419" t="s">
        <v>3353</v>
      </c>
      <c r="O910" s="436" t="s">
        <v>3354</v>
      </c>
      <c r="P910" s="421"/>
      <c r="Q910" s="422" t="str">
        <f>IFERROR(VLOOKUP(ROWS($Q$3:Q910),$M$3:$N$992,2,0),"")</f>
        <v>Motely, botely</v>
      </c>
      <c r="R910">
        <f>IF(ISNUMBER(SEARCH('1Př1'!$A$35,N910)),MAX($M$2:M909)+1,0)</f>
        <v>908</v>
      </c>
      <c r="S910" s="419" t="s">
        <v>3353</v>
      </c>
      <c r="T910" t="str">
        <f>IFERROR(VLOOKUP(ROWS($T$3:T910),$R$3:$S$992,2,0),"")</f>
        <v>Motely, botely</v>
      </c>
      <c r="U910">
        <f>IF(ISNUMBER(SEARCH('1Př1'!$A$36,N910)),MAX($M$2:M909)+1,0)</f>
        <v>908</v>
      </c>
      <c r="V910" s="419" t="s">
        <v>3353</v>
      </c>
      <c r="W910" t="str">
        <f>IFERROR(VLOOKUP(ROWS($W$3:W910),$U$3:$V$992,2,0),"")</f>
        <v>Motely, botely</v>
      </c>
      <c r="X910">
        <f>IF(ISNUMBER(SEARCH('1Př1'!$A$37,N910)),MAX($M$2:M909)+1,0)</f>
        <v>908</v>
      </c>
      <c r="Y910" s="419" t="s">
        <v>3353</v>
      </c>
      <c r="Z910" t="str">
        <f>IFERROR(VLOOKUP(ROWS($Z$3:Z910),$X$3:$Y$992,2,0),"")</f>
        <v>Motely, botely</v>
      </c>
    </row>
    <row r="911" spans="13:26" ht="12.75">
      <c r="M911" s="418">
        <f>IF(ISNUMBER(SEARCH(ZAKL_DATA!$B$29,N911)),MAX($M$2:M910)+1,0)</f>
        <v>909</v>
      </c>
      <c r="N911" s="419" t="s">
        <v>3355</v>
      </c>
      <c r="O911" s="436" t="s">
        <v>3356</v>
      </c>
      <c r="P911" s="421"/>
      <c r="Q911" s="422" t="str">
        <f>IFERROR(VLOOKUP(ROWS($Q$3:Q911),$M$3:$N$992,2,0),"")</f>
        <v>Ostatní podobná ubytovací zařízení</v>
      </c>
      <c r="R911">
        <f>IF(ISNUMBER(SEARCH('1Př1'!$A$35,N911)),MAX($M$2:M910)+1,0)</f>
        <v>909</v>
      </c>
      <c r="S911" s="419" t="s">
        <v>3355</v>
      </c>
      <c r="T911" t="str">
        <f>IFERROR(VLOOKUP(ROWS($T$3:T911),$R$3:$S$992,2,0),"")</f>
        <v>Ostatní podobná ubytovací zařízení</v>
      </c>
      <c r="U911">
        <f>IF(ISNUMBER(SEARCH('1Př1'!$A$36,N911)),MAX($M$2:M910)+1,0)</f>
        <v>909</v>
      </c>
      <c r="V911" s="419" t="s">
        <v>3355</v>
      </c>
      <c r="W911" t="str">
        <f>IFERROR(VLOOKUP(ROWS($W$3:W911),$U$3:$V$992,2,0),"")</f>
        <v>Ostatní podobná ubytovací zařízení</v>
      </c>
      <c r="X911">
        <f>IF(ISNUMBER(SEARCH('1Př1'!$A$37,N911)),MAX($M$2:M910)+1,0)</f>
        <v>909</v>
      </c>
      <c r="Y911" s="419" t="s">
        <v>3355</v>
      </c>
      <c r="Z911" t="str">
        <f>IFERROR(VLOOKUP(ROWS($Z$3:Z911),$X$3:$Y$992,2,0),"")</f>
        <v>Ostatní podobná ubytovací zařízení</v>
      </c>
    </row>
    <row r="912" spans="13:26" ht="12.75">
      <c r="M912" s="418">
        <f>IF(ISNUMBER(SEARCH(ZAKL_DATA!$B$29,N912)),MAX($M$2:M911)+1,0)</f>
        <v>910</v>
      </c>
      <c r="N912" s="419" t="s">
        <v>3357</v>
      </c>
      <c r="O912" s="436" t="s">
        <v>3358</v>
      </c>
      <c r="P912" s="421"/>
      <c r="Q912" s="422" t="str">
        <f>IFERROR(VLOOKUP(ROWS($Q$3:Q912),$M$3:$N$992,2,0),"")</f>
        <v>Ubytování v zařízených pronájmech</v>
      </c>
      <c r="R912">
        <f>IF(ISNUMBER(SEARCH('1Př1'!$A$35,N912)),MAX($M$2:M911)+1,0)</f>
        <v>910</v>
      </c>
      <c r="S912" s="419" t="s">
        <v>3357</v>
      </c>
      <c r="T912" t="str">
        <f>IFERROR(VLOOKUP(ROWS($T$3:T912),$R$3:$S$992,2,0),"")</f>
        <v>Ubytování v zařízených pronájmech</v>
      </c>
      <c r="U912">
        <f>IF(ISNUMBER(SEARCH('1Př1'!$A$36,N912)),MAX($M$2:M911)+1,0)</f>
        <v>910</v>
      </c>
      <c r="V912" s="419" t="s">
        <v>3357</v>
      </c>
      <c r="W912" t="str">
        <f>IFERROR(VLOOKUP(ROWS($W$3:W912),$U$3:$V$992,2,0),"")</f>
        <v>Ubytování v zařízených pronájmech</v>
      </c>
      <c r="X912">
        <f>IF(ISNUMBER(SEARCH('1Př1'!$A$37,N912)),MAX($M$2:M911)+1,0)</f>
        <v>910</v>
      </c>
      <c r="Y912" s="419" t="s">
        <v>3357</v>
      </c>
      <c r="Z912" t="str">
        <f>IFERROR(VLOOKUP(ROWS($Z$3:Z912),$X$3:$Y$992,2,0),"")</f>
        <v>Ubytování v zařízených pronájmech</v>
      </c>
    </row>
    <row r="913" spans="13:26" ht="12.75">
      <c r="M913" s="418">
        <f>IF(ISNUMBER(SEARCH(ZAKL_DATA!$B$29,N913)),MAX($M$2:M912)+1,0)</f>
        <v>911</v>
      </c>
      <c r="N913" s="419" t="s">
        <v>3359</v>
      </c>
      <c r="O913" s="436" t="s">
        <v>3360</v>
      </c>
      <c r="P913" s="421"/>
      <c r="Q913" s="422" t="str">
        <f>IFERROR(VLOOKUP(ROWS($Q$3:Q913),$M$3:$N$992,2,0),"")</f>
        <v>Ubytování ve vysokoškolských kolejích, domovech mládeže</v>
      </c>
      <c r="R913">
        <f>IF(ISNUMBER(SEARCH('1Př1'!$A$35,N913)),MAX($M$2:M912)+1,0)</f>
        <v>911</v>
      </c>
      <c r="S913" s="419" t="s">
        <v>3359</v>
      </c>
      <c r="T913" t="str">
        <f>IFERROR(VLOOKUP(ROWS($T$3:T913),$R$3:$S$992,2,0),"")</f>
        <v>Ubytování ve vysokoškolských kolejích, domovech mládeže</v>
      </c>
      <c r="U913">
        <f>IF(ISNUMBER(SEARCH('1Př1'!$A$36,N913)),MAX($M$2:M912)+1,0)</f>
        <v>911</v>
      </c>
      <c r="V913" s="419" t="s">
        <v>3359</v>
      </c>
      <c r="W913" t="str">
        <f>IFERROR(VLOOKUP(ROWS($W$3:W913),$U$3:$V$992,2,0),"")</f>
        <v>Ubytování ve vysokoškolských kolejích, domovech mládeže</v>
      </c>
      <c r="X913">
        <f>IF(ISNUMBER(SEARCH('1Př1'!$A$37,N913)),MAX($M$2:M912)+1,0)</f>
        <v>911</v>
      </c>
      <c r="Y913" s="419" t="s">
        <v>3359</v>
      </c>
      <c r="Z913" t="str">
        <f>IFERROR(VLOOKUP(ROWS($Z$3:Z913),$X$3:$Y$992,2,0),"")</f>
        <v>Ubytování ve vysokoškolských kolejích, domovech mládeže</v>
      </c>
    </row>
    <row r="914" spans="13:26" ht="12.75">
      <c r="M914" s="418">
        <f>IF(ISNUMBER(SEARCH(ZAKL_DATA!$B$29,N914)),MAX($M$2:M913)+1,0)</f>
        <v>912</v>
      </c>
      <c r="N914" s="419" t="s">
        <v>3361</v>
      </c>
      <c r="O914" s="436" t="s">
        <v>3362</v>
      </c>
      <c r="P914" s="421"/>
      <c r="Q914" s="422" t="str">
        <f>IFERROR(VLOOKUP(ROWS($Q$3:Q914),$M$3:$N$992,2,0),"")</f>
        <v>Ostatní ubytování j. n.</v>
      </c>
      <c r="R914">
        <f>IF(ISNUMBER(SEARCH('1Př1'!$A$35,N914)),MAX($M$2:M913)+1,0)</f>
        <v>912</v>
      </c>
      <c r="S914" s="419" t="s">
        <v>3361</v>
      </c>
      <c r="T914" t="str">
        <f>IFERROR(VLOOKUP(ROWS($T$3:T914),$R$3:$S$992,2,0),"")</f>
        <v>Ostatní ubytování j. n.</v>
      </c>
      <c r="U914">
        <f>IF(ISNUMBER(SEARCH('1Př1'!$A$36,N914)),MAX($M$2:M913)+1,0)</f>
        <v>912</v>
      </c>
      <c r="V914" s="419" t="s">
        <v>3361</v>
      </c>
      <c r="W914" t="str">
        <f>IFERROR(VLOOKUP(ROWS($W$3:W914),$U$3:$V$992,2,0),"")</f>
        <v>Ostatní ubytování j. n.</v>
      </c>
      <c r="X914">
        <f>IF(ISNUMBER(SEARCH('1Př1'!$A$37,N914)),MAX($M$2:M913)+1,0)</f>
        <v>912</v>
      </c>
      <c r="Y914" s="419" t="s">
        <v>3361</v>
      </c>
      <c r="Z914" t="str">
        <f>IFERROR(VLOOKUP(ROWS($Z$3:Z914),$X$3:$Y$992,2,0),"")</f>
        <v>Ostatní ubytování j. n.</v>
      </c>
    </row>
    <row r="915" spans="13:26" ht="12.75">
      <c r="M915" s="418">
        <f>IF(ISNUMBER(SEARCH(ZAKL_DATA!$B$29,N915)),MAX($M$2:M914)+1,0)</f>
        <v>913</v>
      </c>
      <c r="N915" s="419" t="s">
        <v>3363</v>
      </c>
      <c r="O915" s="436" t="s">
        <v>3364</v>
      </c>
      <c r="P915" s="421"/>
      <c r="Q915" s="422" t="str">
        <f>IFERROR(VLOOKUP(ROWS($Q$3:Q915),$M$3:$N$992,2,0),"")</f>
        <v>Stravování v závodních kuchyních</v>
      </c>
      <c r="R915">
        <f>IF(ISNUMBER(SEARCH('1Př1'!$A$35,N915)),MAX($M$2:M914)+1,0)</f>
        <v>913</v>
      </c>
      <c r="S915" s="419" t="s">
        <v>3363</v>
      </c>
      <c r="T915" t="str">
        <f>IFERROR(VLOOKUP(ROWS($T$3:T915),$R$3:$S$992,2,0),"")</f>
        <v>Stravování v závodních kuchyních</v>
      </c>
      <c r="U915">
        <f>IF(ISNUMBER(SEARCH('1Př1'!$A$36,N915)),MAX($M$2:M914)+1,0)</f>
        <v>913</v>
      </c>
      <c r="V915" s="419" t="s">
        <v>3363</v>
      </c>
      <c r="W915" t="str">
        <f>IFERROR(VLOOKUP(ROWS($W$3:W915),$U$3:$V$992,2,0),"")</f>
        <v>Stravování v závodních kuchyních</v>
      </c>
      <c r="X915">
        <f>IF(ISNUMBER(SEARCH('1Př1'!$A$37,N915)),MAX($M$2:M914)+1,0)</f>
        <v>913</v>
      </c>
      <c r="Y915" s="419" t="s">
        <v>3363</v>
      </c>
      <c r="Z915" t="str">
        <f>IFERROR(VLOOKUP(ROWS($Z$3:Z915),$X$3:$Y$992,2,0),"")</f>
        <v>Stravování v závodních kuchyních</v>
      </c>
    </row>
    <row r="916" spans="13:26" ht="12.75">
      <c r="M916" s="418">
        <f>IF(ISNUMBER(SEARCH(ZAKL_DATA!$B$29,N916)),MAX($M$2:M915)+1,0)</f>
        <v>914</v>
      </c>
      <c r="N916" s="419" t="s">
        <v>3365</v>
      </c>
      <c r="O916" s="436" t="s">
        <v>3366</v>
      </c>
      <c r="P916" s="421"/>
      <c r="Q916" s="422" t="str">
        <f>IFERROR(VLOOKUP(ROWS($Q$3:Q916),$M$3:$N$992,2,0),"")</f>
        <v>Stravování ve školních zařízeních, menzách</v>
      </c>
      <c r="R916">
        <f>IF(ISNUMBER(SEARCH('1Př1'!$A$35,N916)),MAX($M$2:M915)+1,0)</f>
        <v>914</v>
      </c>
      <c r="S916" s="419" t="s">
        <v>3365</v>
      </c>
      <c r="T916" t="str">
        <f>IFERROR(VLOOKUP(ROWS($T$3:T916),$R$3:$S$992,2,0),"")</f>
        <v>Stravování ve školních zařízeních, menzách</v>
      </c>
      <c r="U916">
        <f>IF(ISNUMBER(SEARCH('1Př1'!$A$36,N916)),MAX($M$2:M915)+1,0)</f>
        <v>914</v>
      </c>
      <c r="V916" s="419" t="s">
        <v>3365</v>
      </c>
      <c r="W916" t="str">
        <f>IFERROR(VLOOKUP(ROWS($W$3:W916),$U$3:$V$992,2,0),"")</f>
        <v>Stravování ve školních zařízeních, menzách</v>
      </c>
      <c r="X916">
        <f>IF(ISNUMBER(SEARCH('1Př1'!$A$37,N916)),MAX($M$2:M915)+1,0)</f>
        <v>914</v>
      </c>
      <c r="Y916" s="419" t="s">
        <v>3365</v>
      </c>
      <c r="Z916" t="str">
        <f>IFERROR(VLOOKUP(ROWS($Z$3:Z916),$X$3:$Y$992,2,0),"")</f>
        <v>Stravování ve školních zařízeních, menzách</v>
      </c>
    </row>
    <row r="917" spans="13:26" ht="12.75">
      <c r="M917" s="418">
        <f>IF(ISNUMBER(SEARCH(ZAKL_DATA!$B$29,N917)),MAX($M$2:M916)+1,0)</f>
        <v>915</v>
      </c>
      <c r="N917" s="419" t="s">
        <v>3367</v>
      </c>
      <c r="O917" s="436" t="s">
        <v>3368</v>
      </c>
      <c r="P917" s="421"/>
      <c r="Q917" s="422" t="str">
        <f>IFERROR(VLOOKUP(ROWS($Q$3:Q917),$M$3:$N$992,2,0),"")</f>
        <v>Poskytování jiných stravovacích služeb j. n.</v>
      </c>
      <c r="R917">
        <f>IF(ISNUMBER(SEARCH('1Př1'!$A$35,N917)),MAX($M$2:M916)+1,0)</f>
        <v>915</v>
      </c>
      <c r="S917" s="419" t="s">
        <v>3367</v>
      </c>
      <c r="T917" t="str">
        <f>IFERROR(VLOOKUP(ROWS($T$3:T917),$R$3:$S$992,2,0),"")</f>
        <v>Poskytování jiných stravovacích služeb j. n.</v>
      </c>
      <c r="U917">
        <f>IF(ISNUMBER(SEARCH('1Př1'!$A$36,N917)),MAX($M$2:M916)+1,0)</f>
        <v>915</v>
      </c>
      <c r="V917" s="419" t="s">
        <v>3367</v>
      </c>
      <c r="W917" t="str">
        <f>IFERROR(VLOOKUP(ROWS($W$3:W917),$U$3:$V$992,2,0),"")</f>
        <v>Poskytování jiných stravovacích služeb j. n.</v>
      </c>
      <c r="X917">
        <f>IF(ISNUMBER(SEARCH('1Př1'!$A$37,N917)),MAX($M$2:M916)+1,0)</f>
        <v>915</v>
      </c>
      <c r="Y917" s="419" t="s">
        <v>3367</v>
      </c>
      <c r="Z917" t="str">
        <f>IFERROR(VLOOKUP(ROWS($Z$3:Z917),$X$3:$Y$992,2,0),"")</f>
        <v>Poskytování jiných stravovacích služeb j. n.</v>
      </c>
    </row>
    <row r="918" spans="13:26" ht="12.75">
      <c r="M918" s="418">
        <f>IF(ISNUMBER(SEARCH(ZAKL_DATA!$B$29,N918)),MAX($M$2:M917)+1,0)</f>
        <v>916</v>
      </c>
      <c r="N918" s="419" t="s">
        <v>3369</v>
      </c>
      <c r="O918" s="436" t="s">
        <v>3370</v>
      </c>
      <c r="P918" s="421"/>
      <c r="Q918" s="422" t="str">
        <f>IFERROR(VLOOKUP(ROWS($Q$3:Q918),$M$3:$N$992,2,0),"")</f>
        <v>Poskytování hlasových služeb přes pevnou telekomunikační síť</v>
      </c>
      <c r="R918">
        <f>IF(ISNUMBER(SEARCH('1Př1'!$A$35,N918)),MAX($M$2:M917)+1,0)</f>
        <v>916</v>
      </c>
      <c r="S918" s="419" t="s">
        <v>3369</v>
      </c>
      <c r="T918" t="str">
        <f>IFERROR(VLOOKUP(ROWS($T$3:T918),$R$3:$S$992,2,0),"")</f>
        <v>Poskytování hlasových služeb přes pevnou telekomunikační síť</v>
      </c>
      <c r="U918">
        <f>IF(ISNUMBER(SEARCH('1Př1'!$A$36,N918)),MAX($M$2:M917)+1,0)</f>
        <v>916</v>
      </c>
      <c r="V918" s="419" t="s">
        <v>3369</v>
      </c>
      <c r="W918" t="str">
        <f>IFERROR(VLOOKUP(ROWS($W$3:W918),$U$3:$V$992,2,0),"")</f>
        <v>Poskytování hlasových služeb přes pevnou telekomunikační síť</v>
      </c>
      <c r="X918">
        <f>IF(ISNUMBER(SEARCH('1Př1'!$A$37,N918)),MAX($M$2:M917)+1,0)</f>
        <v>916</v>
      </c>
      <c r="Y918" s="419" t="s">
        <v>3369</v>
      </c>
      <c r="Z918" t="str">
        <f>IFERROR(VLOOKUP(ROWS($Z$3:Z918),$X$3:$Y$992,2,0),"")</f>
        <v>Poskytování hlasových služeb přes pevnou telekomunikační síť</v>
      </c>
    </row>
    <row r="919" spans="13:26" ht="12.75">
      <c r="M919" s="418">
        <f>IF(ISNUMBER(SEARCH(ZAKL_DATA!$B$29,N919)),MAX($M$2:M918)+1,0)</f>
        <v>917</v>
      </c>
      <c r="N919" s="419" t="s">
        <v>3371</v>
      </c>
      <c r="O919" s="436" t="s">
        <v>3372</v>
      </c>
      <c r="P919" s="421"/>
      <c r="Q919" s="422" t="str">
        <f>IFERROR(VLOOKUP(ROWS($Q$3:Q919),$M$3:$N$992,2,0),"")</f>
        <v>Pronájem pevné telekomunikační sítě</v>
      </c>
      <c r="R919">
        <f>IF(ISNUMBER(SEARCH('1Př1'!$A$35,N919)),MAX($M$2:M918)+1,0)</f>
        <v>917</v>
      </c>
      <c r="S919" s="419" t="s">
        <v>3371</v>
      </c>
      <c r="T919" t="str">
        <f>IFERROR(VLOOKUP(ROWS($T$3:T919),$R$3:$S$992,2,0),"")</f>
        <v>Pronájem pevné telekomunikační sítě</v>
      </c>
      <c r="U919">
        <f>IF(ISNUMBER(SEARCH('1Př1'!$A$36,N919)),MAX($M$2:M918)+1,0)</f>
        <v>917</v>
      </c>
      <c r="V919" s="419" t="s">
        <v>3371</v>
      </c>
      <c r="W919" t="str">
        <f>IFERROR(VLOOKUP(ROWS($W$3:W919),$U$3:$V$992,2,0),"")</f>
        <v>Pronájem pevné telekomunikační sítě</v>
      </c>
      <c r="X919">
        <f>IF(ISNUMBER(SEARCH('1Př1'!$A$37,N919)),MAX($M$2:M918)+1,0)</f>
        <v>917</v>
      </c>
      <c r="Y919" s="419" t="s">
        <v>3371</v>
      </c>
      <c r="Z919" t="str">
        <f>IFERROR(VLOOKUP(ROWS($Z$3:Z919),$X$3:$Y$992,2,0),"")</f>
        <v>Pronájem pevné telekomunikační sítě</v>
      </c>
    </row>
    <row r="920" spans="13:26" ht="12.75">
      <c r="M920" s="418">
        <f>IF(ISNUMBER(SEARCH(ZAKL_DATA!$B$29,N920)),MAX($M$2:M919)+1,0)</f>
        <v>918</v>
      </c>
      <c r="N920" s="419" t="s">
        <v>3373</v>
      </c>
      <c r="O920" s="436" t="s">
        <v>3374</v>
      </c>
      <c r="P920" s="421"/>
      <c r="Q920" s="422" t="str">
        <f>IFERROR(VLOOKUP(ROWS($Q$3:Q920),$M$3:$N$992,2,0),"")</f>
        <v>Přenos dat přes pevnou telekomunikační síť</v>
      </c>
      <c r="R920">
        <f>IF(ISNUMBER(SEARCH('1Př1'!$A$35,N920)),MAX($M$2:M919)+1,0)</f>
        <v>918</v>
      </c>
      <c r="S920" s="419" t="s">
        <v>3373</v>
      </c>
      <c r="T920" t="str">
        <f>IFERROR(VLOOKUP(ROWS($T$3:T920),$R$3:$S$992,2,0),"")</f>
        <v>Přenos dat přes pevnou telekomunikační síť</v>
      </c>
      <c r="U920">
        <f>IF(ISNUMBER(SEARCH('1Př1'!$A$36,N920)),MAX($M$2:M919)+1,0)</f>
        <v>918</v>
      </c>
      <c r="V920" s="419" t="s">
        <v>3373</v>
      </c>
      <c r="W920" t="str">
        <f>IFERROR(VLOOKUP(ROWS($W$3:W920),$U$3:$V$992,2,0),"")</f>
        <v>Přenos dat přes pevnou telekomunikační síť</v>
      </c>
      <c r="X920">
        <f>IF(ISNUMBER(SEARCH('1Př1'!$A$37,N920)),MAX($M$2:M919)+1,0)</f>
        <v>918</v>
      </c>
      <c r="Y920" s="419" t="s">
        <v>3373</v>
      </c>
      <c r="Z920" t="str">
        <f>IFERROR(VLOOKUP(ROWS($Z$3:Z920),$X$3:$Y$992,2,0),"")</f>
        <v>Přenos dat přes pevnou telekomunikační síť</v>
      </c>
    </row>
    <row r="921" spans="13:26" ht="12.75">
      <c r="M921" s="418">
        <f>IF(ISNUMBER(SEARCH(ZAKL_DATA!$B$29,N921)),MAX($M$2:M920)+1,0)</f>
        <v>919</v>
      </c>
      <c r="N921" s="419" t="s">
        <v>3375</v>
      </c>
      <c r="O921" s="436" t="s">
        <v>3376</v>
      </c>
      <c r="P921" s="421"/>
      <c r="Q921" s="422" t="str">
        <f>IFERROR(VLOOKUP(ROWS($Q$3:Q921),$M$3:$N$992,2,0),"")</f>
        <v>Poskytování přístupu k internetu přes pevnou telekomunikační síť</v>
      </c>
      <c r="R921">
        <f>IF(ISNUMBER(SEARCH('1Př1'!$A$35,N921)),MAX($M$2:M920)+1,0)</f>
        <v>919</v>
      </c>
      <c r="S921" s="419" t="s">
        <v>3375</v>
      </c>
      <c r="T921" t="str">
        <f>IFERROR(VLOOKUP(ROWS($T$3:T921),$R$3:$S$992,2,0),"")</f>
        <v>Poskytování přístupu k internetu přes pevnou telekomunikační síť</v>
      </c>
      <c r="U921">
        <f>IF(ISNUMBER(SEARCH('1Př1'!$A$36,N921)),MAX($M$2:M920)+1,0)</f>
        <v>919</v>
      </c>
      <c r="V921" s="419" t="s">
        <v>3375</v>
      </c>
      <c r="W921" t="str">
        <f>IFERROR(VLOOKUP(ROWS($W$3:W921),$U$3:$V$992,2,0),"")</f>
        <v>Poskytování přístupu k internetu přes pevnou telekomunikační síť</v>
      </c>
      <c r="X921">
        <f>IF(ISNUMBER(SEARCH('1Př1'!$A$37,N921)),MAX($M$2:M920)+1,0)</f>
        <v>919</v>
      </c>
      <c r="Y921" s="419" t="s">
        <v>3375</v>
      </c>
      <c r="Z921" t="str">
        <f>IFERROR(VLOOKUP(ROWS($Z$3:Z921),$X$3:$Y$992,2,0),"")</f>
        <v>Poskytování přístupu k internetu přes pevnou telekomunikační síť</v>
      </c>
    </row>
    <row r="922" spans="13:26" ht="12.75">
      <c r="M922" s="418">
        <f>IF(ISNUMBER(SEARCH(ZAKL_DATA!$B$29,N922)),MAX($M$2:M921)+1,0)</f>
        <v>920</v>
      </c>
      <c r="N922" s="419" t="s">
        <v>3377</v>
      </c>
      <c r="O922" s="436" t="s">
        <v>3378</v>
      </c>
      <c r="P922" s="421"/>
      <c r="Q922" s="422" t="str">
        <f>IFERROR(VLOOKUP(ROWS($Q$3:Q922),$M$3:$N$992,2,0),"")</f>
        <v>Ostatní činnosti související s pevnou telekomunikační sítí</v>
      </c>
      <c r="R922">
        <f>IF(ISNUMBER(SEARCH('1Př1'!$A$35,N922)),MAX($M$2:M921)+1,0)</f>
        <v>920</v>
      </c>
      <c r="S922" s="419" t="s">
        <v>3377</v>
      </c>
      <c r="T922" t="str">
        <f>IFERROR(VLOOKUP(ROWS($T$3:T922),$R$3:$S$992,2,0),"")</f>
        <v>Ostatní činnosti související s pevnou telekomunikační sítí</v>
      </c>
      <c r="U922">
        <f>IF(ISNUMBER(SEARCH('1Př1'!$A$36,N922)),MAX($M$2:M921)+1,0)</f>
        <v>920</v>
      </c>
      <c r="V922" s="419" t="s">
        <v>3377</v>
      </c>
      <c r="W922" t="str">
        <f>IFERROR(VLOOKUP(ROWS($W$3:W922),$U$3:$V$992,2,0),"")</f>
        <v>Ostatní činnosti související s pevnou telekomunikační sítí</v>
      </c>
      <c r="X922">
        <f>IF(ISNUMBER(SEARCH('1Př1'!$A$37,N922)),MAX($M$2:M921)+1,0)</f>
        <v>920</v>
      </c>
      <c r="Y922" s="419" t="s">
        <v>3377</v>
      </c>
      <c r="Z922" t="str">
        <f>IFERROR(VLOOKUP(ROWS($Z$3:Z922),$X$3:$Y$992,2,0),"")</f>
        <v>Ostatní činnosti související s pevnou telekomunikační sítí</v>
      </c>
    </row>
    <row r="923" spans="13:26" ht="12.75">
      <c r="M923" s="418">
        <f>IF(ISNUMBER(SEARCH(ZAKL_DATA!$B$29,N923)),MAX($M$2:M922)+1,0)</f>
        <v>921</v>
      </c>
      <c r="N923" s="419" t="s">
        <v>3379</v>
      </c>
      <c r="O923" s="436" t="s">
        <v>3380</v>
      </c>
      <c r="P923" s="421"/>
      <c r="Q923" s="422" t="str">
        <f>IFERROR(VLOOKUP(ROWS($Q$3:Q923),$M$3:$N$992,2,0),"")</f>
        <v>Poskytování hlasových služeb přes bezdrátovou telekomunikační síť</v>
      </c>
      <c r="R923">
        <f>IF(ISNUMBER(SEARCH('1Př1'!$A$35,N923)),MAX($M$2:M922)+1,0)</f>
        <v>921</v>
      </c>
      <c r="S923" s="419" t="s">
        <v>3379</v>
      </c>
      <c r="T923" t="str">
        <f>IFERROR(VLOOKUP(ROWS($T$3:T923),$R$3:$S$992,2,0),"")</f>
        <v>Poskytování hlasových služeb přes bezdrátovou telekomunikační síť</v>
      </c>
      <c r="U923">
        <f>IF(ISNUMBER(SEARCH('1Př1'!$A$36,N923)),MAX($M$2:M922)+1,0)</f>
        <v>921</v>
      </c>
      <c r="V923" s="419" t="s">
        <v>3379</v>
      </c>
      <c r="W923" t="str">
        <f>IFERROR(VLOOKUP(ROWS($W$3:W923),$U$3:$V$992,2,0),"")</f>
        <v>Poskytování hlasových služeb přes bezdrátovou telekomunikační síť</v>
      </c>
      <c r="X923">
        <f>IF(ISNUMBER(SEARCH('1Př1'!$A$37,N923)),MAX($M$2:M922)+1,0)</f>
        <v>921</v>
      </c>
      <c r="Y923" s="419" t="s">
        <v>3379</v>
      </c>
      <c r="Z923" t="str">
        <f>IFERROR(VLOOKUP(ROWS($Z$3:Z923),$X$3:$Y$992,2,0),"")</f>
        <v>Poskytování hlasových služeb přes bezdrátovou telekomunikační síť</v>
      </c>
    </row>
    <row r="924" spans="13:26" ht="12.75">
      <c r="M924" s="418">
        <f>IF(ISNUMBER(SEARCH(ZAKL_DATA!$B$29,N924)),MAX($M$2:M923)+1,0)</f>
        <v>922</v>
      </c>
      <c r="N924" s="419" t="s">
        <v>3381</v>
      </c>
      <c r="O924" s="436" t="s">
        <v>3382</v>
      </c>
      <c r="P924" s="421"/>
      <c r="Q924" s="422" t="str">
        <f>IFERROR(VLOOKUP(ROWS($Q$3:Q924),$M$3:$N$992,2,0),"")</f>
        <v>Pronájem bezdrátové telekomunikační sítě</v>
      </c>
      <c r="R924">
        <f>IF(ISNUMBER(SEARCH('1Př1'!$A$35,N924)),MAX($M$2:M923)+1,0)</f>
        <v>922</v>
      </c>
      <c r="S924" s="419" t="s">
        <v>3381</v>
      </c>
      <c r="T924" t="str">
        <f>IFERROR(VLOOKUP(ROWS($T$3:T924),$R$3:$S$992,2,0),"")</f>
        <v>Pronájem bezdrátové telekomunikační sítě</v>
      </c>
      <c r="U924">
        <f>IF(ISNUMBER(SEARCH('1Př1'!$A$36,N924)),MAX($M$2:M923)+1,0)</f>
        <v>922</v>
      </c>
      <c r="V924" s="419" t="s">
        <v>3381</v>
      </c>
      <c r="W924" t="str">
        <f>IFERROR(VLOOKUP(ROWS($W$3:W924),$U$3:$V$992,2,0),"")</f>
        <v>Pronájem bezdrátové telekomunikační sítě</v>
      </c>
      <c r="X924">
        <f>IF(ISNUMBER(SEARCH('1Př1'!$A$37,N924)),MAX($M$2:M923)+1,0)</f>
        <v>922</v>
      </c>
      <c r="Y924" s="419" t="s">
        <v>3381</v>
      </c>
      <c r="Z924" t="str">
        <f>IFERROR(VLOOKUP(ROWS($Z$3:Z924),$X$3:$Y$992,2,0),"")</f>
        <v>Pronájem bezdrátové telekomunikační sítě</v>
      </c>
    </row>
    <row r="925" spans="13:26" ht="12.75">
      <c r="M925" s="418">
        <f>IF(ISNUMBER(SEARCH(ZAKL_DATA!$B$29,N925)),MAX($M$2:M924)+1,0)</f>
        <v>923</v>
      </c>
      <c r="N925" s="419" t="s">
        <v>3383</v>
      </c>
      <c r="O925" s="436" t="s">
        <v>3384</v>
      </c>
      <c r="P925" s="421"/>
      <c r="Q925" s="422" t="str">
        <f>IFERROR(VLOOKUP(ROWS($Q$3:Q925),$M$3:$N$992,2,0),"")</f>
        <v>Přenos dat přes bezdrátovou telekomunikační síť</v>
      </c>
      <c r="R925">
        <f>IF(ISNUMBER(SEARCH('1Př1'!$A$35,N925)),MAX($M$2:M924)+1,0)</f>
        <v>923</v>
      </c>
      <c r="S925" s="419" t="s">
        <v>3383</v>
      </c>
      <c r="T925" t="str">
        <f>IFERROR(VLOOKUP(ROWS($T$3:T925),$R$3:$S$992,2,0),"")</f>
        <v>Přenos dat přes bezdrátovou telekomunikační síť</v>
      </c>
      <c r="U925">
        <f>IF(ISNUMBER(SEARCH('1Př1'!$A$36,N925)),MAX($M$2:M924)+1,0)</f>
        <v>923</v>
      </c>
      <c r="V925" s="419" t="s">
        <v>3383</v>
      </c>
      <c r="W925" t="str">
        <f>IFERROR(VLOOKUP(ROWS($W$3:W925),$U$3:$V$992,2,0),"")</f>
        <v>Přenos dat přes bezdrátovou telekomunikační síť</v>
      </c>
      <c r="X925">
        <f>IF(ISNUMBER(SEARCH('1Př1'!$A$37,N925)),MAX($M$2:M924)+1,0)</f>
        <v>923</v>
      </c>
      <c r="Y925" s="419" t="s">
        <v>3383</v>
      </c>
      <c r="Z925" t="str">
        <f>IFERROR(VLOOKUP(ROWS($Z$3:Z925),$X$3:$Y$992,2,0),"")</f>
        <v>Přenos dat přes bezdrátovou telekomunikační síť</v>
      </c>
    </row>
    <row r="926" spans="13:26" ht="12.75">
      <c r="M926" s="418">
        <f>IF(ISNUMBER(SEARCH(ZAKL_DATA!$B$29,N926)),MAX($M$2:M925)+1,0)</f>
        <v>924</v>
      </c>
      <c r="N926" s="419" t="s">
        <v>3385</v>
      </c>
      <c r="O926" s="436" t="s">
        <v>3386</v>
      </c>
      <c r="P926" s="421"/>
      <c r="Q926" s="422" t="str">
        <f>IFERROR(VLOOKUP(ROWS($Q$3:Q926),$M$3:$N$992,2,0),"")</f>
        <v>Poskytování přístupu k internetu přes bezdrátovou telekomunikační síť</v>
      </c>
      <c r="R926">
        <f>IF(ISNUMBER(SEARCH('1Př1'!$A$35,N926)),MAX($M$2:M925)+1,0)</f>
        <v>924</v>
      </c>
      <c r="S926" s="419" t="s">
        <v>3385</v>
      </c>
      <c r="T926" t="str">
        <f>IFERROR(VLOOKUP(ROWS($T$3:T926),$R$3:$S$992,2,0),"")</f>
        <v>Poskytování přístupu k internetu přes bezdrátovou telekomunikační síť</v>
      </c>
      <c r="U926">
        <f>IF(ISNUMBER(SEARCH('1Př1'!$A$36,N926)),MAX($M$2:M925)+1,0)</f>
        <v>924</v>
      </c>
      <c r="V926" s="419" t="s">
        <v>3385</v>
      </c>
      <c r="W926" t="str">
        <f>IFERROR(VLOOKUP(ROWS($W$3:W926),$U$3:$V$992,2,0),"")</f>
        <v>Poskytování přístupu k internetu přes bezdrátovou telekomunikační síť</v>
      </c>
      <c r="X926">
        <f>IF(ISNUMBER(SEARCH('1Př1'!$A$37,N926)),MAX($M$2:M925)+1,0)</f>
        <v>924</v>
      </c>
      <c r="Y926" s="419" t="s">
        <v>3385</v>
      </c>
      <c r="Z926" t="str">
        <f>IFERROR(VLOOKUP(ROWS($Z$3:Z926),$X$3:$Y$992,2,0),"")</f>
        <v>Poskytování přístupu k internetu přes bezdrátovou telekomunikační síť</v>
      </c>
    </row>
    <row r="927" spans="13:26" ht="12.75">
      <c r="M927" s="418">
        <f>IF(ISNUMBER(SEARCH(ZAKL_DATA!$B$29,N927)),MAX($M$2:M926)+1,0)</f>
        <v>925</v>
      </c>
      <c r="N927" s="419" t="s">
        <v>3387</v>
      </c>
      <c r="O927" s="436" t="s">
        <v>3388</v>
      </c>
      <c r="P927" s="421"/>
      <c r="Q927" s="422" t="str">
        <f>IFERROR(VLOOKUP(ROWS($Q$3:Q927),$M$3:$N$992,2,0),"")</f>
        <v>Ostatní činnosti související s bezdrátovou telekomunikační sítí</v>
      </c>
      <c r="R927">
        <f>IF(ISNUMBER(SEARCH('1Př1'!$A$35,N927)),MAX($M$2:M926)+1,0)</f>
        <v>925</v>
      </c>
      <c r="S927" s="419" t="s">
        <v>3387</v>
      </c>
      <c r="T927" t="str">
        <f>IFERROR(VLOOKUP(ROWS($T$3:T927),$R$3:$S$992,2,0),"")</f>
        <v>Ostatní činnosti související s bezdrátovou telekomunikační sítí</v>
      </c>
      <c r="U927">
        <f>IF(ISNUMBER(SEARCH('1Př1'!$A$36,N927)),MAX($M$2:M926)+1,0)</f>
        <v>925</v>
      </c>
      <c r="V927" s="419" t="s">
        <v>3387</v>
      </c>
      <c r="W927" t="str">
        <f>IFERROR(VLOOKUP(ROWS($W$3:W927),$U$3:$V$992,2,0),"")</f>
        <v>Ostatní činnosti související s bezdrátovou telekomunikační sítí</v>
      </c>
      <c r="X927">
        <f>IF(ISNUMBER(SEARCH('1Př1'!$A$37,N927)),MAX($M$2:M926)+1,0)</f>
        <v>925</v>
      </c>
      <c r="Y927" s="419" t="s">
        <v>3387</v>
      </c>
      <c r="Z927" t="str">
        <f>IFERROR(VLOOKUP(ROWS($Z$3:Z927),$X$3:$Y$992,2,0),"")</f>
        <v>Ostatní činnosti související s bezdrátovou telekomunikační sítí</v>
      </c>
    </row>
    <row r="928" spans="13:26" ht="12.75">
      <c r="M928" s="418">
        <f>IF(ISNUMBER(SEARCH(ZAKL_DATA!$B$29,N928)),MAX($M$2:M927)+1,0)</f>
        <v>926</v>
      </c>
      <c r="N928" s="419" t="s">
        <v>3389</v>
      </c>
      <c r="O928" s="436" t="s">
        <v>3390</v>
      </c>
      <c r="P928" s="421"/>
      <c r="Q928" s="422" t="str">
        <f>IFERROR(VLOOKUP(ROWS($Q$3:Q928),$M$3:$N$992,2,0),"")</f>
        <v>Poskytování úvěrů společnostmi, které nepřijímají vklady</v>
      </c>
      <c r="R928">
        <f>IF(ISNUMBER(SEARCH('1Př1'!$A$35,N928)),MAX($M$2:M927)+1,0)</f>
        <v>926</v>
      </c>
      <c r="S928" s="419" t="s">
        <v>3389</v>
      </c>
      <c r="T928" t="str">
        <f>IFERROR(VLOOKUP(ROWS($T$3:T928),$R$3:$S$992,2,0),"")</f>
        <v>Poskytování úvěrů společnostmi, které nepřijímají vklady</v>
      </c>
      <c r="U928">
        <f>IF(ISNUMBER(SEARCH('1Př1'!$A$36,N928)),MAX($M$2:M927)+1,0)</f>
        <v>926</v>
      </c>
      <c r="V928" s="419" t="s">
        <v>3389</v>
      </c>
      <c r="W928" t="str">
        <f>IFERROR(VLOOKUP(ROWS($W$3:W928),$U$3:$V$992,2,0),"")</f>
        <v>Poskytování úvěrů společnostmi, které nepřijímají vklady</v>
      </c>
      <c r="X928">
        <f>IF(ISNUMBER(SEARCH('1Př1'!$A$37,N928)),MAX($M$2:M927)+1,0)</f>
        <v>926</v>
      </c>
      <c r="Y928" s="419" t="s">
        <v>3389</v>
      </c>
      <c r="Z928" t="str">
        <f>IFERROR(VLOOKUP(ROWS($Z$3:Z928),$X$3:$Y$992,2,0),"")</f>
        <v>Poskytování úvěrů společnostmi, které nepřijímají vklady</v>
      </c>
    </row>
    <row r="929" spans="13:26" ht="12.75">
      <c r="M929" s="418">
        <f>IF(ISNUMBER(SEARCH(ZAKL_DATA!$B$29,N929)),MAX($M$2:M928)+1,0)</f>
        <v>927</v>
      </c>
      <c r="N929" s="419" t="s">
        <v>3391</v>
      </c>
      <c r="O929" s="436" t="s">
        <v>3392</v>
      </c>
      <c r="P929" s="421"/>
      <c r="Q929" s="422" t="str">
        <f>IFERROR(VLOOKUP(ROWS($Q$3:Q929),$M$3:$N$992,2,0),"")</f>
        <v>Poskytování obchodních úvěrů</v>
      </c>
      <c r="R929">
        <f>IF(ISNUMBER(SEARCH('1Př1'!$A$35,N929)),MAX($M$2:M928)+1,0)</f>
        <v>927</v>
      </c>
      <c r="S929" s="419" t="s">
        <v>3391</v>
      </c>
      <c r="T929" t="str">
        <f>IFERROR(VLOOKUP(ROWS($T$3:T929),$R$3:$S$992,2,0),"")</f>
        <v>Poskytování obchodních úvěrů</v>
      </c>
      <c r="U929">
        <f>IF(ISNUMBER(SEARCH('1Př1'!$A$36,N929)),MAX($M$2:M928)+1,0)</f>
        <v>927</v>
      </c>
      <c r="V929" s="419" t="s">
        <v>3391</v>
      </c>
      <c r="W929" t="str">
        <f>IFERROR(VLOOKUP(ROWS($W$3:W929),$U$3:$V$992,2,0),"")</f>
        <v>Poskytování obchodních úvěrů</v>
      </c>
      <c r="X929">
        <f>IF(ISNUMBER(SEARCH('1Př1'!$A$37,N929)),MAX($M$2:M928)+1,0)</f>
        <v>927</v>
      </c>
      <c r="Y929" s="419" t="s">
        <v>3391</v>
      </c>
      <c r="Z929" t="str">
        <f>IFERROR(VLOOKUP(ROWS($Z$3:Z929),$X$3:$Y$992,2,0),"")</f>
        <v>Poskytování obchodních úvěrů</v>
      </c>
    </row>
    <row r="930" spans="13:26" ht="12.75">
      <c r="M930" s="418">
        <f>IF(ISNUMBER(SEARCH(ZAKL_DATA!$B$29,N930)),MAX($M$2:M929)+1,0)</f>
        <v>928</v>
      </c>
      <c r="N930" s="419" t="s">
        <v>3393</v>
      </c>
      <c r="O930" s="436" t="s">
        <v>3394</v>
      </c>
      <c r="P930" s="421"/>
      <c r="Q930" s="422" t="str">
        <f>IFERROR(VLOOKUP(ROWS($Q$3:Q930),$M$3:$N$992,2,0),"")</f>
        <v>Činnosti zastaváren</v>
      </c>
      <c r="R930">
        <f>IF(ISNUMBER(SEARCH('1Př1'!$A$35,N930)),MAX($M$2:M929)+1,0)</f>
        <v>928</v>
      </c>
      <c r="S930" s="419" t="s">
        <v>3393</v>
      </c>
      <c r="T930" t="str">
        <f>IFERROR(VLOOKUP(ROWS($T$3:T930),$R$3:$S$992,2,0),"")</f>
        <v>Činnosti zastaváren</v>
      </c>
      <c r="U930">
        <f>IF(ISNUMBER(SEARCH('1Př1'!$A$36,N930)),MAX($M$2:M929)+1,0)</f>
        <v>928</v>
      </c>
      <c r="V930" s="419" t="s">
        <v>3393</v>
      </c>
      <c r="W930" t="str">
        <f>IFERROR(VLOOKUP(ROWS($W$3:W930),$U$3:$V$992,2,0),"")</f>
        <v>Činnosti zastaváren</v>
      </c>
      <c r="X930">
        <f>IF(ISNUMBER(SEARCH('1Př1'!$A$37,N930)),MAX($M$2:M929)+1,0)</f>
        <v>928</v>
      </c>
      <c r="Y930" s="419" t="s">
        <v>3393</v>
      </c>
      <c r="Z930" t="str">
        <f>IFERROR(VLOOKUP(ROWS($Z$3:Z930),$X$3:$Y$992,2,0),"")</f>
        <v>Činnosti zastaváren</v>
      </c>
    </row>
    <row r="931" spans="13:26" ht="12.75">
      <c r="M931" s="418">
        <f>IF(ISNUMBER(SEARCH(ZAKL_DATA!$B$29,N931)),MAX($M$2:M930)+1,0)</f>
        <v>929</v>
      </c>
      <c r="N931" s="419" t="s">
        <v>3395</v>
      </c>
      <c r="O931" s="436" t="s">
        <v>3396</v>
      </c>
      <c r="P931" s="421"/>
      <c r="Q931" s="422" t="str">
        <f>IFERROR(VLOOKUP(ROWS($Q$3:Q931),$M$3:$N$992,2,0),"")</f>
        <v>Ostatní poskytování úvěrů j. n.</v>
      </c>
      <c r="R931">
        <f>IF(ISNUMBER(SEARCH('1Př1'!$A$35,N931)),MAX($M$2:M930)+1,0)</f>
        <v>929</v>
      </c>
      <c r="S931" s="419" t="s">
        <v>3395</v>
      </c>
      <c r="T931" t="str">
        <f>IFERROR(VLOOKUP(ROWS($T$3:T931),$R$3:$S$992,2,0),"")</f>
        <v>Ostatní poskytování úvěrů j. n.</v>
      </c>
      <c r="U931">
        <f>IF(ISNUMBER(SEARCH('1Př1'!$A$36,N931)),MAX($M$2:M930)+1,0)</f>
        <v>929</v>
      </c>
      <c r="V931" s="419" t="s">
        <v>3395</v>
      </c>
      <c r="W931" t="str">
        <f>IFERROR(VLOOKUP(ROWS($W$3:W931),$U$3:$V$992,2,0),"")</f>
        <v>Ostatní poskytování úvěrů j. n.</v>
      </c>
      <c r="X931">
        <f>IF(ISNUMBER(SEARCH('1Př1'!$A$37,N931)),MAX($M$2:M930)+1,0)</f>
        <v>929</v>
      </c>
      <c r="Y931" s="419" t="s">
        <v>3395</v>
      </c>
      <c r="Z931" t="str">
        <f>IFERROR(VLOOKUP(ROWS($Z$3:Z931),$X$3:$Y$992,2,0),"")</f>
        <v>Ostatní poskytování úvěrů j. n.</v>
      </c>
    </row>
    <row r="932" spans="13:26" ht="12.75">
      <c r="M932" s="418">
        <f>IF(ISNUMBER(SEARCH(ZAKL_DATA!$B$29,N932)),MAX($M$2:M931)+1,0)</f>
        <v>930</v>
      </c>
      <c r="N932" s="419" t="s">
        <v>3397</v>
      </c>
      <c r="O932" s="436" t="s">
        <v>3398</v>
      </c>
      <c r="P932" s="421"/>
      <c r="Q932" s="422" t="str">
        <f>IFERROR(VLOOKUP(ROWS($Q$3:Q932),$M$3:$N$992,2,0),"")</f>
        <v>Faktoringové činnosti</v>
      </c>
      <c r="R932">
        <f>IF(ISNUMBER(SEARCH('1Př1'!$A$35,N932)),MAX($M$2:M931)+1,0)</f>
        <v>930</v>
      </c>
      <c r="S932" s="419" t="s">
        <v>3397</v>
      </c>
      <c r="T932" t="str">
        <f>IFERROR(VLOOKUP(ROWS($T$3:T932),$R$3:$S$992,2,0),"")</f>
        <v>Faktoringové činnosti</v>
      </c>
      <c r="U932">
        <f>IF(ISNUMBER(SEARCH('1Př1'!$A$36,N932)),MAX($M$2:M931)+1,0)</f>
        <v>930</v>
      </c>
      <c r="V932" s="419" t="s">
        <v>3397</v>
      </c>
      <c r="W932" t="str">
        <f>IFERROR(VLOOKUP(ROWS($W$3:W932),$U$3:$V$992,2,0),"")</f>
        <v>Faktoringové činnosti</v>
      </c>
      <c r="X932">
        <f>IF(ISNUMBER(SEARCH('1Př1'!$A$37,N932)),MAX($M$2:M931)+1,0)</f>
        <v>930</v>
      </c>
      <c r="Y932" s="419" t="s">
        <v>3397</v>
      </c>
      <c r="Z932" t="str">
        <f>IFERROR(VLOOKUP(ROWS($Z$3:Z932),$X$3:$Y$992,2,0),"")</f>
        <v>Faktoringové činnosti</v>
      </c>
    </row>
    <row r="933" spans="13:26" ht="12.75">
      <c r="M933" s="418">
        <f>IF(ISNUMBER(SEARCH(ZAKL_DATA!$B$29,N933)),MAX($M$2:M932)+1,0)</f>
        <v>931</v>
      </c>
      <c r="N933" s="419" t="s">
        <v>3399</v>
      </c>
      <c r="O933" s="436" t="s">
        <v>3400</v>
      </c>
      <c r="P933" s="421"/>
      <c r="Q933" s="422" t="str">
        <f>IFERROR(VLOOKUP(ROWS($Q$3:Q933),$M$3:$N$992,2,0),"")</f>
        <v>Obchodování s cennými papíry na vlastní účet</v>
      </c>
      <c r="R933">
        <f>IF(ISNUMBER(SEARCH('1Př1'!$A$35,N933)),MAX($M$2:M932)+1,0)</f>
        <v>931</v>
      </c>
      <c r="S933" s="419" t="s">
        <v>3399</v>
      </c>
      <c r="T933" t="str">
        <f>IFERROR(VLOOKUP(ROWS($T$3:T933),$R$3:$S$992,2,0),"")</f>
        <v>Obchodování s cennými papíry na vlastní účet</v>
      </c>
      <c r="U933">
        <f>IF(ISNUMBER(SEARCH('1Př1'!$A$36,N933)),MAX($M$2:M932)+1,0)</f>
        <v>931</v>
      </c>
      <c r="V933" s="419" t="s">
        <v>3399</v>
      </c>
      <c r="W933" t="str">
        <f>IFERROR(VLOOKUP(ROWS($W$3:W933),$U$3:$V$992,2,0),"")</f>
        <v>Obchodování s cennými papíry na vlastní účet</v>
      </c>
      <c r="X933">
        <f>IF(ISNUMBER(SEARCH('1Př1'!$A$37,N933)),MAX($M$2:M932)+1,0)</f>
        <v>931</v>
      </c>
      <c r="Y933" s="419" t="s">
        <v>3399</v>
      </c>
      <c r="Z933" t="str">
        <f>IFERROR(VLOOKUP(ROWS($Z$3:Z933),$X$3:$Y$992,2,0),"")</f>
        <v>Obchodování s cennými papíry na vlastní účet</v>
      </c>
    </row>
    <row r="934" spans="13:26" ht="12.75">
      <c r="M934" s="418">
        <f>IF(ISNUMBER(SEARCH(ZAKL_DATA!$B$29,N934)),MAX($M$2:M933)+1,0)</f>
        <v>932</v>
      </c>
      <c r="N934" s="419" t="s">
        <v>3401</v>
      </c>
      <c r="O934" s="436" t="s">
        <v>3402</v>
      </c>
      <c r="P934" s="421"/>
      <c r="Q934" s="422" t="str">
        <f>IFERROR(VLOOKUP(ROWS($Q$3:Q934),$M$3:$N$992,2,0),"")</f>
        <v>Jiné finanční zprostředkování j. n.</v>
      </c>
      <c r="R934">
        <f>IF(ISNUMBER(SEARCH('1Př1'!$A$35,N934)),MAX($M$2:M933)+1,0)</f>
        <v>932</v>
      </c>
      <c r="S934" s="419" t="s">
        <v>3401</v>
      </c>
      <c r="T934" t="str">
        <f>IFERROR(VLOOKUP(ROWS($T$3:T934),$R$3:$S$992,2,0),"")</f>
        <v>Jiné finanční zprostředkování j. n.</v>
      </c>
      <c r="U934">
        <f>IF(ISNUMBER(SEARCH('1Př1'!$A$36,N934)),MAX($M$2:M933)+1,0)</f>
        <v>932</v>
      </c>
      <c r="V934" s="419" t="s">
        <v>3401</v>
      </c>
      <c r="W934" t="str">
        <f>IFERROR(VLOOKUP(ROWS($W$3:W934),$U$3:$V$992,2,0),"")</f>
        <v>Jiné finanční zprostředkování j. n.</v>
      </c>
      <c r="X934">
        <f>IF(ISNUMBER(SEARCH('1Př1'!$A$37,N934)),MAX($M$2:M933)+1,0)</f>
        <v>932</v>
      </c>
      <c r="Y934" s="419" t="s">
        <v>3401</v>
      </c>
      <c r="Z934" t="str">
        <f>IFERROR(VLOOKUP(ROWS($Z$3:Z934),$X$3:$Y$992,2,0),"")</f>
        <v>Jiné finanční zprostředkování j. n.</v>
      </c>
    </row>
    <row r="935" spans="13:26" ht="12.75">
      <c r="M935" s="418">
        <f>IF(ISNUMBER(SEARCH(ZAKL_DATA!$B$29,N935)),MAX($M$2:M934)+1,0)</f>
        <v>933</v>
      </c>
      <c r="N935" s="419" t="s">
        <v>3403</v>
      </c>
      <c r="O935" s="436" t="s">
        <v>3404</v>
      </c>
      <c r="P935" s="421"/>
      <c r="Q935" s="422" t="str">
        <f>IFERROR(VLOOKUP(ROWS($Q$3:Q935),$M$3:$N$992,2,0),"")</f>
        <v>Pronájem vlastních nebo pronajatých nemovitostí s bytovými prostory</v>
      </c>
      <c r="R935">
        <f>IF(ISNUMBER(SEARCH('1Př1'!$A$35,N935)),MAX($M$2:M934)+1,0)</f>
        <v>933</v>
      </c>
      <c r="S935" s="419" t="s">
        <v>3403</v>
      </c>
      <c r="T935" t="str">
        <f>IFERROR(VLOOKUP(ROWS($T$3:T935),$R$3:$S$992,2,0),"")</f>
        <v>Pronájem vlastních nebo pronajatých nemovitostí s bytovými prostory</v>
      </c>
      <c r="U935">
        <f>IF(ISNUMBER(SEARCH('1Př1'!$A$36,N935)),MAX($M$2:M934)+1,0)</f>
        <v>933</v>
      </c>
      <c r="V935" s="419" t="s">
        <v>3403</v>
      </c>
      <c r="W935" t="str">
        <f>IFERROR(VLOOKUP(ROWS($W$3:W935),$U$3:$V$992,2,0),"")</f>
        <v>Pronájem vlastních nebo pronajatých nemovitostí s bytovými prostory</v>
      </c>
      <c r="X935">
        <f>IF(ISNUMBER(SEARCH('1Př1'!$A$37,N935)),MAX($M$2:M934)+1,0)</f>
        <v>933</v>
      </c>
      <c r="Y935" s="419" t="s">
        <v>3403</v>
      </c>
      <c r="Z935" t="str">
        <f>IFERROR(VLOOKUP(ROWS($Z$3:Z935),$X$3:$Y$992,2,0),"")</f>
        <v>Pronájem vlastních nebo pronajatých nemovitostí s bytovými prostory</v>
      </c>
    </row>
    <row r="936" spans="13:26" ht="12.75">
      <c r="M936" s="418">
        <f>IF(ISNUMBER(SEARCH(ZAKL_DATA!$B$29,N936)),MAX($M$2:M935)+1,0)</f>
        <v>934</v>
      </c>
      <c r="N936" s="419" t="s">
        <v>3405</v>
      </c>
      <c r="O936" s="436" t="s">
        <v>3406</v>
      </c>
      <c r="P936" s="421"/>
      <c r="Q936" s="422" t="str">
        <f>IFERROR(VLOOKUP(ROWS($Q$3:Q936),$M$3:$N$992,2,0),"")</f>
        <v>Pronájem vlastních nebo pronajatých nemovitostí s nebytovými prostory</v>
      </c>
      <c r="R936">
        <f>IF(ISNUMBER(SEARCH('1Př1'!$A$35,N936)),MAX($M$2:M935)+1,0)</f>
        <v>934</v>
      </c>
      <c r="S936" s="419" t="s">
        <v>3405</v>
      </c>
      <c r="T936" t="str">
        <f>IFERROR(VLOOKUP(ROWS($T$3:T936),$R$3:$S$992,2,0),"")</f>
        <v>Pronájem vlastních nebo pronajatých nemovitostí s nebytovými prostory</v>
      </c>
      <c r="U936">
        <f>IF(ISNUMBER(SEARCH('1Př1'!$A$36,N936)),MAX($M$2:M935)+1,0)</f>
        <v>934</v>
      </c>
      <c r="V936" s="419" t="s">
        <v>3405</v>
      </c>
      <c r="W936" t="str">
        <f>IFERROR(VLOOKUP(ROWS($W$3:W936),$U$3:$V$992,2,0),"")</f>
        <v>Pronájem vlastních nebo pronajatých nemovitostí s nebytovými prostory</v>
      </c>
      <c r="X936">
        <f>IF(ISNUMBER(SEARCH('1Př1'!$A$37,N936)),MAX($M$2:M935)+1,0)</f>
        <v>934</v>
      </c>
      <c r="Y936" s="419" t="s">
        <v>3405</v>
      </c>
      <c r="Z936" t="str">
        <f>IFERROR(VLOOKUP(ROWS($Z$3:Z936),$X$3:$Y$992,2,0),"")</f>
        <v>Pronájem vlastních nebo pronajatých nemovitostí s nebytovými prostory</v>
      </c>
    </row>
    <row r="937" spans="13:26" ht="12.75">
      <c r="M937" s="418">
        <f>IF(ISNUMBER(SEARCH(ZAKL_DATA!$B$29,N937)),MAX($M$2:M936)+1,0)</f>
        <v>935</v>
      </c>
      <c r="N937" s="419" t="s">
        <v>3407</v>
      </c>
      <c r="O937" s="436" t="s">
        <v>3408</v>
      </c>
      <c r="P937" s="421"/>
      <c r="Q937" s="422" t="str">
        <f>IFERROR(VLOOKUP(ROWS($Q$3:Q937),$M$3:$N$992,2,0),"")</f>
        <v>Správa vlastních nebo pronajatých nemovitostí s bytovými prostory</v>
      </c>
      <c r="R937">
        <f>IF(ISNUMBER(SEARCH('1Př1'!$A$35,N937)),MAX($M$2:M936)+1,0)</f>
        <v>935</v>
      </c>
      <c r="S937" s="419" t="s">
        <v>3407</v>
      </c>
      <c r="T937" t="str">
        <f>IFERROR(VLOOKUP(ROWS($T$3:T937),$R$3:$S$992,2,0),"")</f>
        <v>Správa vlastních nebo pronajatých nemovitostí s bytovými prostory</v>
      </c>
      <c r="U937">
        <f>IF(ISNUMBER(SEARCH('1Př1'!$A$36,N937)),MAX($M$2:M936)+1,0)</f>
        <v>935</v>
      </c>
      <c r="V937" s="419" t="s">
        <v>3407</v>
      </c>
      <c r="W937" t="str">
        <f>IFERROR(VLOOKUP(ROWS($W$3:W937),$U$3:$V$992,2,0),"")</f>
        <v>Správa vlastních nebo pronajatých nemovitostí s bytovými prostory</v>
      </c>
      <c r="X937">
        <f>IF(ISNUMBER(SEARCH('1Př1'!$A$37,N937)),MAX($M$2:M936)+1,0)</f>
        <v>935</v>
      </c>
      <c r="Y937" s="419" t="s">
        <v>3407</v>
      </c>
      <c r="Z937" t="str">
        <f>IFERROR(VLOOKUP(ROWS($Z$3:Z937),$X$3:$Y$992,2,0),"")</f>
        <v>Správa vlastních nebo pronajatých nemovitostí s bytovými prostory</v>
      </c>
    </row>
    <row r="938" spans="13:26" ht="12.75">
      <c r="M938" s="418">
        <f>IF(ISNUMBER(SEARCH(ZAKL_DATA!$B$29,N938)),MAX($M$2:M937)+1,0)</f>
        <v>936</v>
      </c>
      <c r="N938" s="419" t="s">
        <v>3409</v>
      </c>
      <c r="O938" s="436" t="s">
        <v>3410</v>
      </c>
      <c r="P938" s="421"/>
      <c r="Q938" s="422" t="str">
        <f>IFERROR(VLOOKUP(ROWS($Q$3:Q938),$M$3:$N$992,2,0),"")</f>
        <v>Správa vlastních nebo pronajatých nemovitostí s nebytovými prostory</v>
      </c>
      <c r="R938">
        <f>IF(ISNUMBER(SEARCH('1Př1'!$A$35,N938)),MAX($M$2:M937)+1,0)</f>
        <v>936</v>
      </c>
      <c r="S938" s="419" t="s">
        <v>3409</v>
      </c>
      <c r="T938" t="str">
        <f>IFERROR(VLOOKUP(ROWS($T$3:T938),$R$3:$S$992,2,0),"")</f>
        <v>Správa vlastních nebo pronajatých nemovitostí s nebytovými prostory</v>
      </c>
      <c r="U938">
        <f>IF(ISNUMBER(SEARCH('1Př1'!$A$36,N938)),MAX($M$2:M937)+1,0)</f>
        <v>936</v>
      </c>
      <c r="V938" s="419" t="s">
        <v>3409</v>
      </c>
      <c r="W938" t="str">
        <f>IFERROR(VLOOKUP(ROWS($W$3:W938),$U$3:$V$992,2,0),"")</f>
        <v>Správa vlastních nebo pronajatých nemovitostí s nebytovými prostory</v>
      </c>
      <c r="X938">
        <f>IF(ISNUMBER(SEARCH('1Př1'!$A$37,N938)),MAX($M$2:M937)+1,0)</f>
        <v>936</v>
      </c>
      <c r="Y938" s="419" t="s">
        <v>3409</v>
      </c>
      <c r="Z938" t="str">
        <f>IFERROR(VLOOKUP(ROWS($Z$3:Z938),$X$3:$Y$992,2,0),"")</f>
        <v>Správa vlastních nebo pronajatých nemovitostí s nebytovými prostory</v>
      </c>
    </row>
    <row r="939" spans="13:26" ht="12.75">
      <c r="M939" s="418">
        <f>IF(ISNUMBER(SEARCH(ZAKL_DATA!$B$29,N939)),MAX($M$2:M938)+1,0)</f>
        <v>937</v>
      </c>
      <c r="N939" s="419" t="s">
        <v>3411</v>
      </c>
      <c r="O939" s="436" t="s">
        <v>3412</v>
      </c>
      <c r="P939" s="421"/>
      <c r="Q939" s="422" t="str">
        <f>IFERROR(VLOOKUP(ROWS($Q$3:Q939),$M$3:$N$992,2,0),"")</f>
        <v>Geologický průzkum</v>
      </c>
      <c r="R939">
        <f>IF(ISNUMBER(SEARCH('1Př1'!$A$35,N939)),MAX($M$2:M938)+1,0)</f>
        <v>937</v>
      </c>
      <c r="S939" s="419" t="s">
        <v>3411</v>
      </c>
      <c r="T939" t="str">
        <f>IFERROR(VLOOKUP(ROWS($T$3:T939),$R$3:$S$992,2,0),"")</f>
        <v>Geologický průzkum</v>
      </c>
      <c r="U939">
        <f>IF(ISNUMBER(SEARCH('1Př1'!$A$36,N939)),MAX($M$2:M938)+1,0)</f>
        <v>937</v>
      </c>
      <c r="V939" s="419" t="s">
        <v>3411</v>
      </c>
      <c r="W939" t="str">
        <f>IFERROR(VLOOKUP(ROWS($W$3:W939),$U$3:$V$992,2,0),"")</f>
        <v>Geologický průzkum</v>
      </c>
      <c r="X939">
        <f>IF(ISNUMBER(SEARCH('1Př1'!$A$37,N939)),MAX($M$2:M938)+1,0)</f>
        <v>937</v>
      </c>
      <c r="Y939" s="419" t="s">
        <v>3411</v>
      </c>
      <c r="Z939" t="str">
        <f>IFERROR(VLOOKUP(ROWS($Z$3:Z939),$X$3:$Y$992,2,0),"")</f>
        <v>Geologický průzkum</v>
      </c>
    </row>
    <row r="940" spans="13:26" ht="12.75">
      <c r="M940" s="418">
        <f>IF(ISNUMBER(SEARCH(ZAKL_DATA!$B$29,N940)),MAX($M$2:M939)+1,0)</f>
        <v>938</v>
      </c>
      <c r="N940" s="419" t="s">
        <v>3413</v>
      </c>
      <c r="O940" s="436" t="s">
        <v>3414</v>
      </c>
      <c r="P940" s="421"/>
      <c r="Q940" s="422" t="str">
        <f>IFERROR(VLOOKUP(ROWS($Q$3:Q940),$M$3:$N$992,2,0),"")</f>
        <v>Zeměměřické a kartografické činnosti</v>
      </c>
      <c r="R940">
        <f>IF(ISNUMBER(SEARCH('1Př1'!$A$35,N940)),MAX($M$2:M939)+1,0)</f>
        <v>938</v>
      </c>
      <c r="S940" s="419" t="s">
        <v>3413</v>
      </c>
      <c r="T940" t="str">
        <f>IFERROR(VLOOKUP(ROWS($T$3:T940),$R$3:$S$992,2,0),"")</f>
        <v>Zeměměřické a kartografické činnosti</v>
      </c>
      <c r="U940">
        <f>IF(ISNUMBER(SEARCH('1Př1'!$A$36,N940)),MAX($M$2:M939)+1,0)</f>
        <v>938</v>
      </c>
      <c r="V940" s="419" t="s">
        <v>3413</v>
      </c>
      <c r="W940" t="str">
        <f>IFERROR(VLOOKUP(ROWS($W$3:W940),$U$3:$V$992,2,0),"")</f>
        <v>Zeměměřické a kartografické činnosti</v>
      </c>
      <c r="X940">
        <f>IF(ISNUMBER(SEARCH('1Př1'!$A$37,N940)),MAX($M$2:M939)+1,0)</f>
        <v>938</v>
      </c>
      <c r="Y940" s="419" t="s">
        <v>3413</v>
      </c>
      <c r="Z940" t="str">
        <f>IFERROR(VLOOKUP(ROWS($Z$3:Z940),$X$3:$Y$992,2,0),"")</f>
        <v>Zeměměřické a kartografické činnosti</v>
      </c>
    </row>
    <row r="941" spans="13:26" ht="12.75">
      <c r="M941" s="418">
        <f>IF(ISNUMBER(SEARCH(ZAKL_DATA!$B$29,N941)),MAX($M$2:M940)+1,0)</f>
        <v>939</v>
      </c>
      <c r="N941" s="419" t="s">
        <v>3415</v>
      </c>
      <c r="O941" s="436" t="s">
        <v>3416</v>
      </c>
      <c r="P941" s="421"/>
      <c r="Q941" s="422" t="str">
        <f>IFERROR(VLOOKUP(ROWS($Q$3:Q941),$M$3:$N$992,2,0),"")</f>
        <v>Hydrometeorologické a meteorologické činnosti</v>
      </c>
      <c r="R941">
        <f>IF(ISNUMBER(SEARCH('1Př1'!$A$35,N941)),MAX($M$2:M940)+1,0)</f>
        <v>939</v>
      </c>
      <c r="S941" s="419" t="s">
        <v>3415</v>
      </c>
      <c r="T941" t="str">
        <f>IFERROR(VLOOKUP(ROWS($T$3:T941),$R$3:$S$992,2,0),"")</f>
        <v>Hydrometeorologické a meteorologické činnosti</v>
      </c>
      <c r="U941">
        <f>IF(ISNUMBER(SEARCH('1Př1'!$A$36,N941)),MAX($M$2:M940)+1,0)</f>
        <v>939</v>
      </c>
      <c r="V941" s="419" t="s">
        <v>3415</v>
      </c>
      <c r="W941" t="str">
        <f>IFERROR(VLOOKUP(ROWS($W$3:W941),$U$3:$V$992,2,0),"")</f>
        <v>Hydrometeorologické a meteorologické činnosti</v>
      </c>
      <c r="X941">
        <f>IF(ISNUMBER(SEARCH('1Př1'!$A$37,N941)),MAX($M$2:M940)+1,0)</f>
        <v>939</v>
      </c>
      <c r="Y941" s="419" t="s">
        <v>3415</v>
      </c>
      <c r="Z941" t="str">
        <f>IFERROR(VLOOKUP(ROWS($Z$3:Z941),$X$3:$Y$992,2,0),"")</f>
        <v>Hydrometeorologické a meteorologické činnosti</v>
      </c>
    </row>
    <row r="942" spans="13:26" ht="12.75">
      <c r="M942" s="418">
        <f>IF(ISNUMBER(SEARCH(ZAKL_DATA!$B$29,N942)),MAX($M$2:M941)+1,0)</f>
        <v>940</v>
      </c>
      <c r="N942" s="419" t="s">
        <v>3417</v>
      </c>
      <c r="O942" s="436" t="s">
        <v>3418</v>
      </c>
      <c r="P942" s="421"/>
      <c r="Q942" s="422" t="str">
        <f>IFERROR(VLOOKUP(ROWS($Q$3:Q942),$M$3:$N$992,2,0),"")</f>
        <v>Ostatní inženýrské činnosti a související technické poradenství j. n.</v>
      </c>
      <c r="R942">
        <f>IF(ISNUMBER(SEARCH('1Př1'!$A$35,N942)),MAX($M$2:M941)+1,0)</f>
        <v>940</v>
      </c>
      <c r="S942" s="419" t="s">
        <v>3417</v>
      </c>
      <c r="T942" t="str">
        <f>IFERROR(VLOOKUP(ROWS($T$3:T942),$R$3:$S$992,2,0),"")</f>
        <v>Ostatní inženýrské činnosti a související technické poradenství j. n.</v>
      </c>
      <c r="U942">
        <f>IF(ISNUMBER(SEARCH('1Př1'!$A$36,N942)),MAX($M$2:M941)+1,0)</f>
        <v>940</v>
      </c>
      <c r="V942" s="419" t="s">
        <v>3417</v>
      </c>
      <c r="W942" t="str">
        <f>IFERROR(VLOOKUP(ROWS($W$3:W942),$U$3:$V$992,2,0),"")</f>
        <v>Ostatní inženýrské činnosti a související technické poradenství j. n.</v>
      </c>
      <c r="X942">
        <f>IF(ISNUMBER(SEARCH('1Př1'!$A$37,N942)),MAX($M$2:M941)+1,0)</f>
        <v>940</v>
      </c>
      <c r="Y942" s="419" t="s">
        <v>3417</v>
      </c>
      <c r="Z942" t="str">
        <f>IFERROR(VLOOKUP(ROWS($Z$3:Z942),$X$3:$Y$992,2,0),"")</f>
        <v>Ostatní inženýrské činnosti a související technické poradenství j. n.</v>
      </c>
    </row>
    <row r="943" spans="13:26" ht="12.75">
      <c r="M943" s="418">
        <f>IF(ISNUMBER(SEARCH(ZAKL_DATA!$B$29,N943)),MAX($M$2:M942)+1,0)</f>
        <v>941</v>
      </c>
      <c r="N943" s="419" t="s">
        <v>3419</v>
      </c>
      <c r="O943" s="436" t="s">
        <v>3420</v>
      </c>
      <c r="P943" s="421"/>
      <c r="Q943" s="422" t="str">
        <f>IFERROR(VLOOKUP(ROWS($Q$3:Q943),$M$3:$N$992,2,0),"")</f>
        <v>Zkoušky a analýzy vyhrazených technických zařízení</v>
      </c>
      <c r="R943">
        <f>IF(ISNUMBER(SEARCH('1Př1'!$A$35,N943)),MAX($M$2:M942)+1,0)</f>
        <v>941</v>
      </c>
      <c r="S943" s="419" t="s">
        <v>3419</v>
      </c>
      <c r="T943" t="str">
        <f>IFERROR(VLOOKUP(ROWS($T$3:T943),$R$3:$S$992,2,0),"")</f>
        <v>Zkoušky a analýzy vyhrazených technických zařízení</v>
      </c>
      <c r="U943">
        <f>IF(ISNUMBER(SEARCH('1Př1'!$A$36,N943)),MAX($M$2:M942)+1,0)</f>
        <v>941</v>
      </c>
      <c r="V943" s="419" t="s">
        <v>3419</v>
      </c>
      <c r="W943" t="str">
        <f>IFERROR(VLOOKUP(ROWS($W$3:W943),$U$3:$V$992,2,0),"")</f>
        <v>Zkoušky a analýzy vyhrazených technických zařízení</v>
      </c>
      <c r="X943">
        <f>IF(ISNUMBER(SEARCH('1Př1'!$A$37,N943)),MAX($M$2:M942)+1,0)</f>
        <v>941</v>
      </c>
      <c r="Y943" s="419" t="s">
        <v>3419</v>
      </c>
      <c r="Z943" t="str">
        <f>IFERROR(VLOOKUP(ROWS($Z$3:Z943),$X$3:$Y$992,2,0),"")</f>
        <v>Zkoušky a analýzy vyhrazených technických zařízení</v>
      </c>
    </row>
    <row r="944" spans="13:26" ht="12.75">
      <c r="M944" s="418">
        <f>IF(ISNUMBER(SEARCH(ZAKL_DATA!$B$29,N944)),MAX($M$2:M943)+1,0)</f>
        <v>942</v>
      </c>
      <c r="N944" s="419" t="s">
        <v>3421</v>
      </c>
      <c r="O944" s="436" t="s">
        <v>3422</v>
      </c>
      <c r="P944" s="421"/>
      <c r="Q944" s="422" t="str">
        <f>IFERROR(VLOOKUP(ROWS($Q$3:Q944),$M$3:$N$992,2,0),"")</f>
        <v>Ostatní technické zkouky a analýzy</v>
      </c>
      <c r="R944">
        <f>IF(ISNUMBER(SEARCH('1Př1'!$A$35,N944)),MAX($M$2:M943)+1,0)</f>
        <v>942</v>
      </c>
      <c r="S944" s="419" t="s">
        <v>3421</v>
      </c>
      <c r="T944" t="str">
        <f>IFERROR(VLOOKUP(ROWS($T$3:T944),$R$3:$S$992,2,0),"")</f>
        <v>Ostatní technické zkouky a analýzy</v>
      </c>
      <c r="U944">
        <f>IF(ISNUMBER(SEARCH('1Př1'!$A$36,N944)),MAX($M$2:M943)+1,0)</f>
        <v>942</v>
      </c>
      <c r="V944" s="419" t="s">
        <v>3421</v>
      </c>
      <c r="W944" t="str">
        <f>IFERROR(VLOOKUP(ROWS($W$3:W944),$U$3:$V$992,2,0),"")</f>
        <v>Ostatní technické zkouky a analýzy</v>
      </c>
      <c r="X944">
        <f>IF(ISNUMBER(SEARCH('1Př1'!$A$37,N944)),MAX($M$2:M943)+1,0)</f>
        <v>942</v>
      </c>
      <c r="Y944" s="419" t="s">
        <v>3421</v>
      </c>
      <c r="Z944" t="str">
        <f>IFERROR(VLOOKUP(ROWS($Z$3:Z944),$X$3:$Y$992,2,0),"")</f>
        <v>Ostatní technické zkouky a analýzy</v>
      </c>
    </row>
    <row r="945" spans="13:26" ht="12.75">
      <c r="M945" s="418">
        <f>IF(ISNUMBER(SEARCH(ZAKL_DATA!$B$29,N945)),MAX($M$2:M944)+1,0)</f>
        <v>943</v>
      </c>
      <c r="N945" s="419" t="s">
        <v>3423</v>
      </c>
      <c r="O945" s="436" t="s">
        <v>3066</v>
      </c>
      <c r="P945" s="421"/>
      <c r="Q945" s="422" t="str">
        <f>IFERROR(VLOOKUP(ROWS($Q$3:Q945),$M$3:$N$992,2,0),"")</f>
        <v>Ostatní výzkum a vývoj v oblasti přírodních a technických věd</v>
      </c>
      <c r="R945">
        <f>IF(ISNUMBER(SEARCH('1Př1'!$A$35,N945)),MAX($M$2:M944)+1,0)</f>
        <v>943</v>
      </c>
      <c r="S945" s="419" t="s">
        <v>3423</v>
      </c>
      <c r="T945" t="str">
        <f>IFERROR(VLOOKUP(ROWS($T$3:T945),$R$3:$S$992,2,0),"")</f>
        <v>Ostatní výzkum a vývoj v oblasti přírodních a technických věd</v>
      </c>
      <c r="U945">
        <f>IF(ISNUMBER(SEARCH('1Př1'!$A$36,N945)),MAX($M$2:M944)+1,0)</f>
        <v>943</v>
      </c>
      <c r="V945" s="419" t="s">
        <v>3423</v>
      </c>
      <c r="W945" t="str">
        <f>IFERROR(VLOOKUP(ROWS($W$3:W945),$U$3:$V$992,2,0),"")</f>
        <v>Ostatní výzkum a vývoj v oblasti přírodních a technických věd</v>
      </c>
      <c r="X945">
        <f>IF(ISNUMBER(SEARCH('1Př1'!$A$37,N945)),MAX($M$2:M944)+1,0)</f>
        <v>943</v>
      </c>
      <c r="Y945" s="419" t="s">
        <v>3423</v>
      </c>
      <c r="Z945" t="str">
        <f>IFERROR(VLOOKUP(ROWS($Z$3:Z945),$X$3:$Y$992,2,0),"")</f>
        <v>Ostatní výzkum a vývoj v oblasti přírodních a technických věd</v>
      </c>
    </row>
    <row r="946" spans="13:26" ht="12.75">
      <c r="M946" s="418">
        <f>IF(ISNUMBER(SEARCH(ZAKL_DATA!$B$29,N946)),MAX($M$2:M945)+1,0)</f>
        <v>944</v>
      </c>
      <c r="N946" s="419" t="s">
        <v>3424</v>
      </c>
      <c r="O946" s="436" t="s">
        <v>3425</v>
      </c>
      <c r="P946" s="421"/>
      <c r="Q946" s="422" t="str">
        <f>IFERROR(VLOOKUP(ROWS($Q$3:Q946),$M$3:$N$992,2,0),"")</f>
        <v>Výzkum a vývoj v oblasti lékařských věd</v>
      </c>
      <c r="R946">
        <f>IF(ISNUMBER(SEARCH('1Př1'!$A$35,N946)),MAX($M$2:M945)+1,0)</f>
        <v>944</v>
      </c>
      <c r="S946" s="419" t="s">
        <v>3424</v>
      </c>
      <c r="T946" t="str">
        <f>IFERROR(VLOOKUP(ROWS($T$3:T946),$R$3:$S$992,2,0),"")</f>
        <v>Výzkum a vývoj v oblasti lékařských věd</v>
      </c>
      <c r="U946">
        <f>IF(ISNUMBER(SEARCH('1Př1'!$A$36,N946)),MAX($M$2:M945)+1,0)</f>
        <v>944</v>
      </c>
      <c r="V946" s="419" t="s">
        <v>3424</v>
      </c>
      <c r="W946" t="str">
        <f>IFERROR(VLOOKUP(ROWS($W$3:W946),$U$3:$V$992,2,0),"")</f>
        <v>Výzkum a vývoj v oblasti lékařských věd</v>
      </c>
      <c r="X946">
        <f>IF(ISNUMBER(SEARCH('1Př1'!$A$37,N946)),MAX($M$2:M945)+1,0)</f>
        <v>944</v>
      </c>
      <c r="Y946" s="419" t="s">
        <v>3424</v>
      </c>
      <c r="Z946" t="str">
        <f>IFERROR(VLOOKUP(ROWS($Z$3:Z946),$X$3:$Y$992,2,0),"")</f>
        <v>Výzkum a vývoj v oblasti lékařských věd</v>
      </c>
    </row>
    <row r="947" spans="13:26" ht="12.75">
      <c r="M947" s="418">
        <f>IF(ISNUMBER(SEARCH(ZAKL_DATA!$B$29,N947)),MAX($M$2:M946)+1,0)</f>
        <v>945</v>
      </c>
      <c r="N947" s="419" t="s">
        <v>3426</v>
      </c>
      <c r="O947" s="436" t="s">
        <v>3427</v>
      </c>
      <c r="P947" s="421"/>
      <c r="Q947" s="422" t="str">
        <f>IFERROR(VLOOKUP(ROWS($Q$3:Q947),$M$3:$N$992,2,0),"")</f>
        <v>Výzkum a vývoj v oblasti technických věd</v>
      </c>
      <c r="R947">
        <f>IF(ISNUMBER(SEARCH('1Př1'!$A$35,N947)),MAX($M$2:M946)+1,0)</f>
        <v>945</v>
      </c>
      <c r="S947" s="419" t="s">
        <v>3426</v>
      </c>
      <c r="T947" t="str">
        <f>IFERROR(VLOOKUP(ROWS($T$3:T947),$R$3:$S$992,2,0),"")</f>
        <v>Výzkum a vývoj v oblasti technických věd</v>
      </c>
      <c r="U947">
        <f>IF(ISNUMBER(SEARCH('1Př1'!$A$36,N947)),MAX($M$2:M946)+1,0)</f>
        <v>945</v>
      </c>
      <c r="V947" s="419" t="s">
        <v>3426</v>
      </c>
      <c r="W947" t="str">
        <f>IFERROR(VLOOKUP(ROWS($W$3:W947),$U$3:$V$992,2,0),"")</f>
        <v>Výzkum a vývoj v oblasti technických věd</v>
      </c>
      <c r="X947">
        <f>IF(ISNUMBER(SEARCH('1Př1'!$A$37,N947)),MAX($M$2:M946)+1,0)</f>
        <v>945</v>
      </c>
      <c r="Y947" s="419" t="s">
        <v>3426</v>
      </c>
      <c r="Z947" t="str">
        <f>IFERROR(VLOOKUP(ROWS($Z$3:Z947),$X$3:$Y$992,2,0),"")</f>
        <v>Výzkum a vývoj v oblasti technických věd</v>
      </c>
    </row>
    <row r="948" spans="13:26" ht="12.75">
      <c r="M948" s="418">
        <f>IF(ISNUMBER(SEARCH(ZAKL_DATA!$B$29,N948)),MAX($M$2:M947)+1,0)</f>
        <v>946</v>
      </c>
      <c r="N948" s="419" t="s">
        <v>3428</v>
      </c>
      <c r="O948" s="436" t="s">
        <v>3429</v>
      </c>
      <c r="P948" s="421"/>
      <c r="Q948" s="422" t="str">
        <f>IFERROR(VLOOKUP(ROWS($Q$3:Q948),$M$3:$N$992,2,0),"")</f>
        <v>Výzkum a vývoj v oblasti jiných přírodních věd</v>
      </c>
      <c r="R948">
        <f>IF(ISNUMBER(SEARCH('1Př1'!$A$35,N948)),MAX($M$2:M947)+1,0)</f>
        <v>946</v>
      </c>
      <c r="S948" s="419" t="s">
        <v>3428</v>
      </c>
      <c r="T948" t="str">
        <f>IFERROR(VLOOKUP(ROWS($T$3:T948),$R$3:$S$992,2,0),"")</f>
        <v>Výzkum a vývoj v oblasti jiných přírodních věd</v>
      </c>
      <c r="U948">
        <f>IF(ISNUMBER(SEARCH('1Př1'!$A$36,N948)),MAX($M$2:M947)+1,0)</f>
        <v>946</v>
      </c>
      <c r="V948" s="419" t="s">
        <v>3428</v>
      </c>
      <c r="W948" t="str">
        <f>IFERROR(VLOOKUP(ROWS($W$3:W948),$U$3:$V$992,2,0),"")</f>
        <v>Výzkum a vývoj v oblasti jiných přírodních věd</v>
      </c>
      <c r="X948">
        <f>IF(ISNUMBER(SEARCH('1Př1'!$A$37,N948)),MAX($M$2:M947)+1,0)</f>
        <v>946</v>
      </c>
      <c r="Y948" s="419" t="s">
        <v>3428</v>
      </c>
      <c r="Z948" t="str">
        <f>IFERROR(VLOOKUP(ROWS($Z$3:Z948),$X$3:$Y$992,2,0),"")</f>
        <v>Výzkum a vývoj v oblasti jiných přírodních věd</v>
      </c>
    </row>
    <row r="949" spans="13:26" ht="12.75">
      <c r="M949" s="418">
        <f>IF(ISNUMBER(SEARCH(ZAKL_DATA!$B$29,N949)),MAX($M$2:M948)+1,0)</f>
        <v>947</v>
      </c>
      <c r="N949" s="419" t="s">
        <v>3430</v>
      </c>
      <c r="O949" s="436" t="s">
        <v>2210</v>
      </c>
      <c r="P949" s="421"/>
      <c r="Q949" s="422" t="str">
        <f>IFERROR(VLOOKUP(ROWS($Q$3:Q949),$M$3:$N$992,2,0),"")</f>
        <v>Ostatní profesní,vědecké a technické činnosti j.n.</v>
      </c>
      <c r="R949">
        <f>IF(ISNUMBER(SEARCH('1Př1'!$A$35,N949)),MAX($M$2:M948)+1,0)</f>
        <v>947</v>
      </c>
      <c r="S949" s="419" t="s">
        <v>3430</v>
      </c>
      <c r="T949" t="str">
        <f>IFERROR(VLOOKUP(ROWS($T$3:T949),$R$3:$S$992,2,0),"")</f>
        <v>Ostatní profesní,vědecké a technické činnosti j.n.</v>
      </c>
      <c r="U949">
        <f>IF(ISNUMBER(SEARCH('1Př1'!$A$36,N949)),MAX($M$2:M948)+1,0)</f>
        <v>947</v>
      </c>
      <c r="V949" s="419" t="s">
        <v>3430</v>
      </c>
      <c r="W949" t="str">
        <f>IFERROR(VLOOKUP(ROWS($W$3:W949),$U$3:$V$992,2,0),"")</f>
        <v>Ostatní profesní,vědecké a technické činnosti j.n.</v>
      </c>
      <c r="X949">
        <f>IF(ISNUMBER(SEARCH('1Př1'!$A$37,N949)),MAX($M$2:M948)+1,0)</f>
        <v>947</v>
      </c>
      <c r="Y949" s="419" t="s">
        <v>3430</v>
      </c>
      <c r="Z949" t="str">
        <f>IFERROR(VLOOKUP(ROWS($Z$3:Z949),$X$3:$Y$992,2,0),"")</f>
        <v>Ostatní profesní,vědecké a technické činnosti j.n.</v>
      </c>
    </row>
    <row r="950" spans="13:26" ht="12.75">
      <c r="M950" s="418">
        <f>IF(ISNUMBER(SEARCH(ZAKL_DATA!$B$29,N950)),MAX($M$2:M949)+1,0)</f>
        <v>948</v>
      </c>
      <c r="N950" s="419" t="s">
        <v>3431</v>
      </c>
      <c r="O950" s="436" t="s">
        <v>3432</v>
      </c>
      <c r="P950" s="421"/>
      <c r="Q950" s="422" t="str">
        <f>IFERROR(VLOOKUP(ROWS($Q$3:Q950),$M$3:$N$992,2,0),"")</f>
        <v>Poradenství v oblasti bezpečnosti a ochrany zdraví při práci</v>
      </c>
      <c r="R950">
        <f>IF(ISNUMBER(SEARCH('1Př1'!$A$35,N950)),MAX($M$2:M949)+1,0)</f>
        <v>948</v>
      </c>
      <c r="S950" s="419" t="s">
        <v>3431</v>
      </c>
      <c r="T950" t="str">
        <f>IFERROR(VLOOKUP(ROWS($T$3:T950),$R$3:$S$992,2,0),"")</f>
        <v>Poradenství v oblasti bezpečnosti a ochrany zdraví při práci</v>
      </c>
      <c r="U950">
        <f>IF(ISNUMBER(SEARCH('1Př1'!$A$36,N950)),MAX($M$2:M949)+1,0)</f>
        <v>948</v>
      </c>
      <c r="V950" s="419" t="s">
        <v>3431</v>
      </c>
      <c r="W950" t="str">
        <f>IFERROR(VLOOKUP(ROWS($W$3:W950),$U$3:$V$992,2,0),"")</f>
        <v>Poradenství v oblasti bezpečnosti a ochrany zdraví při práci</v>
      </c>
      <c r="X950">
        <f>IF(ISNUMBER(SEARCH('1Př1'!$A$37,N950)),MAX($M$2:M949)+1,0)</f>
        <v>948</v>
      </c>
      <c r="Y950" s="419" t="s">
        <v>3431</v>
      </c>
      <c r="Z950" t="str">
        <f>IFERROR(VLOOKUP(ROWS($Z$3:Z950),$X$3:$Y$992,2,0),"")</f>
        <v>Poradenství v oblasti bezpečnosti a ochrany zdraví při práci</v>
      </c>
    </row>
    <row r="951" spans="13:26" ht="12.75">
      <c r="M951" s="418">
        <f>IF(ISNUMBER(SEARCH(ZAKL_DATA!$B$29,N951)),MAX($M$2:M950)+1,0)</f>
        <v>949</v>
      </c>
      <c r="N951" s="419" t="s">
        <v>3433</v>
      </c>
      <c r="O951" s="436" t="s">
        <v>3434</v>
      </c>
      <c r="P951" s="421"/>
      <c r="Q951" s="422" t="str">
        <f>IFERROR(VLOOKUP(ROWS($Q$3:Q951),$M$3:$N$992,2,0),"")</f>
        <v>Poradenství v oblasti požární ochrany</v>
      </c>
      <c r="R951">
        <f>IF(ISNUMBER(SEARCH('1Př1'!$A$35,N951)),MAX($M$2:M950)+1,0)</f>
        <v>949</v>
      </c>
      <c r="S951" s="419" t="s">
        <v>3433</v>
      </c>
      <c r="T951" t="str">
        <f>IFERROR(VLOOKUP(ROWS($T$3:T951),$R$3:$S$992,2,0),"")</f>
        <v>Poradenství v oblasti požární ochrany</v>
      </c>
      <c r="U951">
        <f>IF(ISNUMBER(SEARCH('1Př1'!$A$36,N951)),MAX($M$2:M950)+1,0)</f>
        <v>949</v>
      </c>
      <c r="V951" s="419" t="s">
        <v>3433</v>
      </c>
      <c r="W951" t="str">
        <f>IFERROR(VLOOKUP(ROWS($W$3:W951),$U$3:$V$992,2,0),"")</f>
        <v>Poradenství v oblasti požární ochrany</v>
      </c>
      <c r="X951">
        <f>IF(ISNUMBER(SEARCH('1Př1'!$A$37,N951)),MAX($M$2:M950)+1,0)</f>
        <v>949</v>
      </c>
      <c r="Y951" s="419" t="s">
        <v>3433</v>
      </c>
      <c r="Z951" t="str">
        <f>IFERROR(VLOOKUP(ROWS($Z$3:Z951),$X$3:$Y$992,2,0),"")</f>
        <v>Poradenství v oblasti požární ochrany</v>
      </c>
    </row>
    <row r="952" spans="13:26" ht="12.75">
      <c r="M952" s="418">
        <f>IF(ISNUMBER(SEARCH(ZAKL_DATA!$B$29,N952)),MAX($M$2:M951)+1,0)</f>
        <v>950</v>
      </c>
      <c r="N952" s="419" t="s">
        <v>3435</v>
      </c>
      <c r="O952" s="436" t="s">
        <v>3436</v>
      </c>
      <c r="P952" s="421"/>
      <c r="Q952" s="422" t="str">
        <f>IFERROR(VLOOKUP(ROWS($Q$3:Q952),$M$3:$N$992,2,0),"")</f>
        <v>Jiné profesní, vědecké a technické činnosti j. n.</v>
      </c>
      <c r="R952">
        <f>IF(ISNUMBER(SEARCH('1Př1'!$A$35,N952)),MAX($M$2:M951)+1,0)</f>
        <v>950</v>
      </c>
      <c r="S952" s="419" t="s">
        <v>3435</v>
      </c>
      <c r="T952" t="str">
        <f>IFERROR(VLOOKUP(ROWS($T$3:T952),$R$3:$S$992,2,0),"")</f>
        <v>Jiné profesní, vědecké a technické činnosti j. n.</v>
      </c>
      <c r="U952">
        <f>IF(ISNUMBER(SEARCH('1Př1'!$A$36,N952)),MAX($M$2:M951)+1,0)</f>
        <v>950</v>
      </c>
      <c r="V952" s="419" t="s">
        <v>3435</v>
      </c>
      <c r="W952" t="str">
        <f>IFERROR(VLOOKUP(ROWS($W$3:W952),$U$3:$V$992,2,0),"")</f>
        <v>Jiné profesní, vědecké a technické činnosti j. n.</v>
      </c>
      <c r="X952">
        <f>IF(ISNUMBER(SEARCH('1Př1'!$A$37,N952)),MAX($M$2:M951)+1,0)</f>
        <v>950</v>
      </c>
      <c r="Y952" s="419" t="s">
        <v>3435</v>
      </c>
      <c r="Z952" t="str">
        <f>IFERROR(VLOOKUP(ROWS($Z$3:Z952),$X$3:$Y$992,2,0),"")</f>
        <v>Jiné profesní, vědecké a technické činnosti j. n.</v>
      </c>
    </row>
    <row r="953" spans="13:26" ht="12.75">
      <c r="M953" s="418">
        <f>IF(ISNUMBER(SEARCH(ZAKL_DATA!$B$29,N953)),MAX($M$2:M952)+1,0)</f>
        <v>951</v>
      </c>
      <c r="N953" s="419" t="s">
        <v>3437</v>
      </c>
      <c r="O953" s="436" t="s">
        <v>3438</v>
      </c>
      <c r="P953" s="421"/>
      <c r="Q953" s="422" t="str">
        <f>IFERROR(VLOOKUP(ROWS($Q$3:Q953),$M$3:$N$992,2,0),"")</f>
        <v>Průvodcovské činnosti</v>
      </c>
      <c r="R953">
        <f>IF(ISNUMBER(SEARCH('1Př1'!$A$35,N953)),MAX($M$2:M952)+1,0)</f>
        <v>951</v>
      </c>
      <c r="S953" s="419" t="s">
        <v>3437</v>
      </c>
      <c r="T953" t="str">
        <f>IFERROR(VLOOKUP(ROWS($T$3:T953),$R$3:$S$992,2,0),"")</f>
        <v>Průvodcovské činnosti</v>
      </c>
      <c r="U953">
        <f>IF(ISNUMBER(SEARCH('1Př1'!$A$36,N953)),MAX($M$2:M952)+1,0)</f>
        <v>951</v>
      </c>
      <c r="V953" s="419" t="s">
        <v>3437</v>
      </c>
      <c r="W953" t="str">
        <f>IFERROR(VLOOKUP(ROWS($W$3:W953),$U$3:$V$992,2,0),"")</f>
        <v>Průvodcovské činnosti</v>
      </c>
      <c r="X953">
        <f>IF(ISNUMBER(SEARCH('1Př1'!$A$37,N953)),MAX($M$2:M952)+1,0)</f>
        <v>951</v>
      </c>
      <c r="Y953" s="419" t="s">
        <v>3437</v>
      </c>
      <c r="Z953" t="str">
        <f>IFERROR(VLOOKUP(ROWS($Z$3:Z953),$X$3:$Y$992,2,0),"")</f>
        <v>Průvodcovské činnosti</v>
      </c>
    </row>
    <row r="954" spans="13:26" ht="12.75">
      <c r="M954" s="418">
        <f>IF(ISNUMBER(SEARCH(ZAKL_DATA!$B$29,N954)),MAX($M$2:M953)+1,0)</f>
        <v>952</v>
      </c>
      <c r="N954" s="419" t="s">
        <v>3439</v>
      </c>
      <c r="O954" s="436" t="s">
        <v>3440</v>
      </c>
      <c r="P954" s="421"/>
      <c r="Q954" s="422" t="str">
        <f>IFERROR(VLOOKUP(ROWS($Q$3:Q954),$M$3:$N$992,2,0),"")</f>
        <v>Ostatní rezervační a související činnosti j. n.</v>
      </c>
      <c r="R954">
        <f>IF(ISNUMBER(SEARCH('1Př1'!$A$35,N954)),MAX($M$2:M953)+1,0)</f>
        <v>952</v>
      </c>
      <c r="S954" s="419" t="s">
        <v>3439</v>
      </c>
      <c r="T954" t="str">
        <f>IFERROR(VLOOKUP(ROWS($T$3:T954),$R$3:$S$992,2,0),"")</f>
        <v>Ostatní rezervační a související činnosti j. n.</v>
      </c>
      <c r="U954">
        <f>IF(ISNUMBER(SEARCH('1Př1'!$A$36,N954)),MAX($M$2:M953)+1,0)</f>
        <v>952</v>
      </c>
      <c r="V954" s="419" t="s">
        <v>3439</v>
      </c>
      <c r="W954" t="str">
        <f>IFERROR(VLOOKUP(ROWS($W$3:W954),$U$3:$V$992,2,0),"")</f>
        <v>Ostatní rezervační a související činnosti j. n.</v>
      </c>
      <c r="X954">
        <f>IF(ISNUMBER(SEARCH('1Př1'!$A$37,N954)),MAX($M$2:M953)+1,0)</f>
        <v>952</v>
      </c>
      <c r="Y954" s="419" t="s">
        <v>3439</v>
      </c>
      <c r="Z954" t="str">
        <f>IFERROR(VLOOKUP(ROWS($Z$3:Z954),$X$3:$Y$992,2,0),"")</f>
        <v>Ostatní rezervační a související činnosti j. n.</v>
      </c>
    </row>
    <row r="955" spans="13:26" ht="12.75">
      <c r="M955" s="418">
        <f>IF(ISNUMBER(SEARCH(ZAKL_DATA!$B$29,N955)),MAX($M$2:M954)+1,0)</f>
        <v>953</v>
      </c>
      <c r="N955" s="419" t="s">
        <v>3441</v>
      </c>
      <c r="O955" s="436" t="s">
        <v>3442</v>
      </c>
      <c r="P955" s="421"/>
      <c r="Q955" s="422" t="str">
        <f>IFERROR(VLOOKUP(ROWS($Q$3:Q955),$M$3:$N$992,2,0),"")</f>
        <v>Pomoc cizím zemím při katastrof.nebo v nouz.sit.přímo nebo prostř.mez.org.</v>
      </c>
      <c r="R955">
        <f>IF(ISNUMBER(SEARCH('1Př1'!$A$35,N955)),MAX($M$2:M954)+1,0)</f>
        <v>953</v>
      </c>
      <c r="S955" s="419" t="s">
        <v>3441</v>
      </c>
      <c r="T955" t="str">
        <f>IFERROR(VLOOKUP(ROWS($T$3:T955),$R$3:$S$992,2,0),"")</f>
        <v>Pomoc cizím zemím při katastrof.nebo v nouz.sit.přímo nebo prostř.mez.org.</v>
      </c>
      <c r="U955">
        <f>IF(ISNUMBER(SEARCH('1Př1'!$A$36,N955)),MAX($M$2:M954)+1,0)</f>
        <v>953</v>
      </c>
      <c r="V955" s="419" t="s">
        <v>3441</v>
      </c>
      <c r="W955" t="str">
        <f>IFERROR(VLOOKUP(ROWS($W$3:W955),$U$3:$V$992,2,0),"")</f>
        <v>Pomoc cizím zemím při katastrof.nebo v nouz.sit.přímo nebo prostř.mez.org.</v>
      </c>
      <c r="X955">
        <f>IF(ISNUMBER(SEARCH('1Př1'!$A$37,N955)),MAX($M$2:M954)+1,0)</f>
        <v>953</v>
      </c>
      <c r="Y955" s="419" t="s">
        <v>3441</v>
      </c>
      <c r="Z955" t="str">
        <f>IFERROR(VLOOKUP(ROWS($Z$3:Z955),$X$3:$Y$992,2,0),"")</f>
        <v>Pomoc cizím zemím při katastrof.nebo v nouz.sit.přímo nebo prostř.mez.org.</v>
      </c>
    </row>
    <row r="956" spans="13:26" ht="12.75">
      <c r="M956" s="418">
        <f>IF(ISNUMBER(SEARCH(ZAKL_DATA!$B$29,N956)),MAX($M$2:M955)+1,0)</f>
        <v>954</v>
      </c>
      <c r="N956" s="419" t="s">
        <v>3443</v>
      </c>
      <c r="O956" s="436" t="s">
        <v>3444</v>
      </c>
      <c r="P956" s="421"/>
      <c r="Q956" s="422" t="str">
        <f>IFERROR(VLOOKUP(ROWS($Q$3:Q956),$M$3:$N$992,2,0),"")</f>
        <v>Rozvíjení vzájemného přátelství a porozumění mezi národy</v>
      </c>
      <c r="R956">
        <f>IF(ISNUMBER(SEARCH('1Př1'!$A$35,N956)),MAX($M$2:M955)+1,0)</f>
        <v>954</v>
      </c>
      <c r="S956" s="419" t="s">
        <v>3443</v>
      </c>
      <c r="T956" t="str">
        <f>IFERROR(VLOOKUP(ROWS($T$3:T956),$R$3:$S$992,2,0),"")</f>
        <v>Rozvíjení vzájemného přátelství a porozumění mezi národy</v>
      </c>
      <c r="U956">
        <f>IF(ISNUMBER(SEARCH('1Př1'!$A$36,N956)),MAX($M$2:M955)+1,0)</f>
        <v>954</v>
      </c>
      <c r="V956" s="419" t="s">
        <v>3443</v>
      </c>
      <c r="W956" t="str">
        <f>IFERROR(VLOOKUP(ROWS($W$3:W956),$U$3:$V$992,2,0),"")</f>
        <v>Rozvíjení vzájemného přátelství a porozumění mezi národy</v>
      </c>
      <c r="X956">
        <f>IF(ISNUMBER(SEARCH('1Př1'!$A$37,N956)),MAX($M$2:M955)+1,0)</f>
        <v>954</v>
      </c>
      <c r="Y956" s="419" t="s">
        <v>3443</v>
      </c>
      <c r="Z956" t="str">
        <f>IFERROR(VLOOKUP(ROWS($Z$3:Z956),$X$3:$Y$992,2,0),"")</f>
        <v>Rozvíjení vzájemného přátelství a porozumění mezi národy</v>
      </c>
    </row>
    <row r="957" spans="13:26" ht="12.75">
      <c r="M957" s="418">
        <f>IF(ISNUMBER(SEARCH(ZAKL_DATA!$B$29,N957)),MAX($M$2:M956)+1,0)</f>
        <v>955</v>
      </c>
      <c r="N957" s="419" t="s">
        <v>3445</v>
      </c>
      <c r="O957" s="436" t="s">
        <v>3446</v>
      </c>
      <c r="P957" s="421"/>
      <c r="Q957" s="422" t="str">
        <f>IFERROR(VLOOKUP(ROWS($Q$3:Q957),$M$3:$N$992,2,0),"")</f>
        <v>Ostatní činnosti v oblasti zahraničních věcí</v>
      </c>
      <c r="R957">
        <f>IF(ISNUMBER(SEARCH('1Př1'!$A$35,N957)),MAX($M$2:M956)+1,0)</f>
        <v>955</v>
      </c>
      <c r="S957" s="419" t="s">
        <v>3445</v>
      </c>
      <c r="T957" t="str">
        <f>IFERROR(VLOOKUP(ROWS($T$3:T957),$R$3:$S$992,2,0),"")</f>
        <v>Ostatní činnosti v oblasti zahraničních věcí</v>
      </c>
      <c r="U957">
        <f>IF(ISNUMBER(SEARCH('1Př1'!$A$36,N957)),MAX($M$2:M956)+1,0)</f>
        <v>955</v>
      </c>
      <c r="V957" s="419" t="s">
        <v>3445</v>
      </c>
      <c r="W957" t="str">
        <f>IFERROR(VLOOKUP(ROWS($W$3:W957),$U$3:$V$992,2,0),"")</f>
        <v>Ostatní činnosti v oblasti zahraničních věcí</v>
      </c>
      <c r="X957">
        <f>IF(ISNUMBER(SEARCH('1Př1'!$A$37,N957)),MAX($M$2:M956)+1,0)</f>
        <v>955</v>
      </c>
      <c r="Y957" s="419" t="s">
        <v>3445</v>
      </c>
      <c r="Z957" t="str">
        <f>IFERROR(VLOOKUP(ROWS($Z$3:Z957),$X$3:$Y$992,2,0),"")</f>
        <v>Ostatní činnosti v oblasti zahraničních věcí</v>
      </c>
    </row>
    <row r="958" spans="13:26" ht="12.75">
      <c r="M958" s="418">
        <f>IF(ISNUMBER(SEARCH(ZAKL_DATA!$B$29,N958)),MAX($M$2:M957)+1,0)</f>
        <v>956</v>
      </c>
      <c r="N958" s="419" t="s">
        <v>3447</v>
      </c>
      <c r="O958" s="436" t="s">
        <v>3448</v>
      </c>
      <c r="P958" s="421"/>
      <c r="Q958" s="422" t="str">
        <f>IFERROR(VLOOKUP(ROWS($Q$3:Q958),$M$3:$N$992,2,0),"")</f>
        <v>Základní vzdělávání na druhém stupni základních škol</v>
      </c>
      <c r="R958">
        <f>IF(ISNUMBER(SEARCH('1Př1'!$A$35,N958)),MAX($M$2:M957)+1,0)</f>
        <v>956</v>
      </c>
      <c r="S958" s="419" t="s">
        <v>3447</v>
      </c>
      <c r="T958" t="str">
        <f>IFERROR(VLOOKUP(ROWS($T$3:T958),$R$3:$S$992,2,0),"")</f>
        <v>Základní vzdělávání na druhém stupni základních škol</v>
      </c>
      <c r="U958">
        <f>IF(ISNUMBER(SEARCH('1Př1'!$A$36,N958)),MAX($M$2:M957)+1,0)</f>
        <v>956</v>
      </c>
      <c r="V958" s="419" t="s">
        <v>3447</v>
      </c>
      <c r="W958" t="str">
        <f>IFERROR(VLOOKUP(ROWS($W$3:W958),$U$3:$V$992,2,0),"")</f>
        <v>Základní vzdělávání na druhém stupni základních škol</v>
      </c>
      <c r="X958">
        <f>IF(ISNUMBER(SEARCH('1Př1'!$A$37,N958)),MAX($M$2:M957)+1,0)</f>
        <v>956</v>
      </c>
      <c r="Y958" s="419" t="s">
        <v>3447</v>
      </c>
      <c r="Z958" t="str">
        <f>IFERROR(VLOOKUP(ROWS($Z$3:Z958),$X$3:$Y$992,2,0),"")</f>
        <v>Základní vzdělávání na druhém stupni základních škol</v>
      </c>
    </row>
    <row r="959" spans="13:26" ht="12.75">
      <c r="M959" s="418">
        <f>IF(ISNUMBER(SEARCH(ZAKL_DATA!$B$29,N959)),MAX($M$2:M958)+1,0)</f>
        <v>957</v>
      </c>
      <c r="N959" s="419" t="s">
        <v>3449</v>
      </c>
      <c r="O959" s="436" t="s">
        <v>3450</v>
      </c>
      <c r="P959" s="421"/>
      <c r="Q959" s="422" t="str">
        <f>IFERROR(VLOOKUP(ROWS($Q$3:Q959),$M$3:$N$992,2,0),"")</f>
        <v>Střední všeobecné vzdělávání</v>
      </c>
      <c r="R959">
        <f>IF(ISNUMBER(SEARCH('1Př1'!$A$35,N959)),MAX($M$2:M958)+1,0)</f>
        <v>957</v>
      </c>
      <c r="S959" s="419" t="s">
        <v>3449</v>
      </c>
      <c r="T959" t="str">
        <f>IFERROR(VLOOKUP(ROWS($T$3:T959),$R$3:$S$992,2,0),"")</f>
        <v>Střední všeobecné vzdělávání</v>
      </c>
      <c r="U959">
        <f>IF(ISNUMBER(SEARCH('1Př1'!$A$36,N959)),MAX($M$2:M958)+1,0)</f>
        <v>957</v>
      </c>
      <c r="V959" s="419" t="s">
        <v>3449</v>
      </c>
      <c r="W959" t="str">
        <f>IFERROR(VLOOKUP(ROWS($W$3:W959),$U$3:$V$992,2,0),"")</f>
        <v>Střední všeobecné vzdělávání</v>
      </c>
      <c r="X959">
        <f>IF(ISNUMBER(SEARCH('1Př1'!$A$37,N959)),MAX($M$2:M958)+1,0)</f>
        <v>957</v>
      </c>
      <c r="Y959" s="419" t="s">
        <v>3449</v>
      </c>
      <c r="Z959" t="str">
        <f>IFERROR(VLOOKUP(ROWS($Z$3:Z959),$X$3:$Y$992,2,0),"")</f>
        <v>Střední všeobecné vzdělávání</v>
      </c>
    </row>
    <row r="960" spans="13:26" ht="12.75">
      <c r="M960" s="418">
        <f>IF(ISNUMBER(SEARCH(ZAKL_DATA!$B$29,N960)),MAX($M$2:M959)+1,0)</f>
        <v>958</v>
      </c>
      <c r="N960" s="419" t="s">
        <v>3451</v>
      </c>
      <c r="O960" s="436" t="s">
        <v>3452</v>
      </c>
      <c r="P960" s="421"/>
      <c r="Q960" s="422" t="str">
        <f>IFERROR(VLOOKUP(ROWS($Q$3:Q960),$M$3:$N$992,2,0),"")</f>
        <v>Střední odborné vzdělávání na učilištích</v>
      </c>
      <c r="R960">
        <f>IF(ISNUMBER(SEARCH('1Př1'!$A$35,N960)),MAX($M$2:M959)+1,0)</f>
        <v>958</v>
      </c>
      <c r="S960" s="419" t="s">
        <v>3451</v>
      </c>
      <c r="T960" t="str">
        <f>IFERROR(VLOOKUP(ROWS($T$3:T960),$R$3:$S$992,2,0),"")</f>
        <v>Střední odborné vzdělávání na učilištích</v>
      </c>
      <c r="U960">
        <f>IF(ISNUMBER(SEARCH('1Př1'!$A$36,N960)),MAX($M$2:M959)+1,0)</f>
        <v>958</v>
      </c>
      <c r="V960" s="419" t="s">
        <v>3451</v>
      </c>
      <c r="W960" t="str">
        <f>IFERROR(VLOOKUP(ROWS($W$3:W960),$U$3:$V$992,2,0),"")</f>
        <v>Střední odborné vzdělávání na učilištích</v>
      </c>
      <c r="X960">
        <f>IF(ISNUMBER(SEARCH('1Př1'!$A$37,N960)),MAX($M$2:M959)+1,0)</f>
        <v>958</v>
      </c>
      <c r="Y960" s="419" t="s">
        <v>3451</v>
      </c>
      <c r="Z960" t="str">
        <f>IFERROR(VLOOKUP(ROWS($Z$3:Z960),$X$3:$Y$992,2,0),"")</f>
        <v>Střední odborné vzdělávání na učilištích</v>
      </c>
    </row>
    <row r="961" spans="13:26" ht="12.75">
      <c r="M961" s="418">
        <f>IF(ISNUMBER(SEARCH(ZAKL_DATA!$B$29,N961)),MAX($M$2:M960)+1,0)</f>
        <v>959</v>
      </c>
      <c r="N961" s="419" t="s">
        <v>3453</v>
      </c>
      <c r="O961" s="436" t="s">
        <v>3454</v>
      </c>
      <c r="P961" s="421"/>
      <c r="Q961" s="422" t="str">
        <f>IFERROR(VLOOKUP(ROWS($Q$3:Q961),$M$3:$N$992,2,0),"")</f>
        <v>Střední odborné vzdělávání na středních odborných školách</v>
      </c>
      <c r="R961">
        <f>IF(ISNUMBER(SEARCH('1Př1'!$A$35,N961)),MAX($M$2:M960)+1,0)</f>
        <v>959</v>
      </c>
      <c r="S961" s="419" t="s">
        <v>3453</v>
      </c>
      <c r="T961" t="str">
        <f>IFERROR(VLOOKUP(ROWS($T$3:T961),$R$3:$S$992,2,0),"")</f>
        <v>Střední odborné vzdělávání na středních odborných školách</v>
      </c>
      <c r="U961">
        <f>IF(ISNUMBER(SEARCH('1Př1'!$A$36,N961)),MAX($M$2:M960)+1,0)</f>
        <v>959</v>
      </c>
      <c r="V961" s="419" t="s">
        <v>3453</v>
      </c>
      <c r="W961" t="str">
        <f>IFERROR(VLOOKUP(ROWS($W$3:W961),$U$3:$V$992,2,0),"")</f>
        <v>Střední odborné vzdělávání na středních odborných školách</v>
      </c>
      <c r="X961">
        <f>IF(ISNUMBER(SEARCH('1Př1'!$A$37,N961)),MAX($M$2:M960)+1,0)</f>
        <v>959</v>
      </c>
      <c r="Y961" s="419" t="s">
        <v>3453</v>
      </c>
      <c r="Z961" t="str">
        <f>IFERROR(VLOOKUP(ROWS($Z$3:Z961),$X$3:$Y$992,2,0),"")</f>
        <v>Střední odborné vzdělávání na středních odborných školách</v>
      </c>
    </row>
    <row r="962" spans="13:26" ht="12.75">
      <c r="M962" s="418">
        <f>IF(ISNUMBER(SEARCH(ZAKL_DATA!$B$29,N962)),MAX($M$2:M961)+1,0)</f>
        <v>960</v>
      </c>
      <c r="N962" s="419" t="s">
        <v>3455</v>
      </c>
      <c r="O962" s="436" t="s">
        <v>3456</v>
      </c>
      <c r="P962" s="421"/>
      <c r="Q962" s="422" t="str">
        <f>IFERROR(VLOOKUP(ROWS($Q$3:Q962),$M$3:$N$992,2,0),"")</f>
        <v>Činnosti autoškol</v>
      </c>
      <c r="R962">
        <f>IF(ISNUMBER(SEARCH('1Př1'!$A$35,N962)),MAX($M$2:M961)+1,0)</f>
        <v>960</v>
      </c>
      <c r="S962" s="419" t="s">
        <v>3455</v>
      </c>
      <c r="T962" t="str">
        <f>IFERROR(VLOOKUP(ROWS($T$3:T962),$R$3:$S$992,2,0),"")</f>
        <v>Činnosti autoškol</v>
      </c>
      <c r="U962">
        <f>IF(ISNUMBER(SEARCH('1Př1'!$A$36,N962)),MAX($M$2:M961)+1,0)</f>
        <v>960</v>
      </c>
      <c r="V962" s="419" t="s">
        <v>3455</v>
      </c>
      <c r="W962" t="str">
        <f>IFERROR(VLOOKUP(ROWS($W$3:W962),$U$3:$V$992,2,0),"")</f>
        <v>Činnosti autoškol</v>
      </c>
      <c r="X962">
        <f>IF(ISNUMBER(SEARCH('1Př1'!$A$37,N962)),MAX($M$2:M961)+1,0)</f>
        <v>960</v>
      </c>
      <c r="Y962" s="419" t="s">
        <v>3455</v>
      </c>
      <c r="Z962" t="str">
        <f>IFERROR(VLOOKUP(ROWS($Z$3:Z962),$X$3:$Y$992,2,0),"")</f>
        <v>Činnosti autoškol</v>
      </c>
    </row>
    <row r="963" spans="13:26" ht="12.75">
      <c r="M963" s="418">
        <f>IF(ISNUMBER(SEARCH(ZAKL_DATA!$B$29,N963)),MAX($M$2:M962)+1,0)</f>
        <v>961</v>
      </c>
      <c r="N963" s="419" t="s">
        <v>3457</v>
      </c>
      <c r="O963" s="436" t="s">
        <v>3458</v>
      </c>
      <c r="P963" s="421"/>
      <c r="Q963" s="422" t="str">
        <f>IFERROR(VLOOKUP(ROWS($Q$3:Q963),$M$3:$N$992,2,0),"")</f>
        <v>Činnosti leteckých škol</v>
      </c>
      <c r="R963">
        <f>IF(ISNUMBER(SEARCH('1Př1'!$A$35,N963)),MAX($M$2:M962)+1,0)</f>
        <v>961</v>
      </c>
      <c r="S963" s="419" t="s">
        <v>3457</v>
      </c>
      <c r="T963" t="str">
        <f>IFERROR(VLOOKUP(ROWS($T$3:T963),$R$3:$S$992,2,0),"")</f>
        <v>Činnosti leteckých škol</v>
      </c>
      <c r="U963">
        <f>IF(ISNUMBER(SEARCH('1Př1'!$A$36,N963)),MAX($M$2:M962)+1,0)</f>
        <v>961</v>
      </c>
      <c r="V963" s="419" t="s">
        <v>3457</v>
      </c>
      <c r="W963" t="str">
        <f>IFERROR(VLOOKUP(ROWS($W$3:W963),$U$3:$V$992,2,0),"")</f>
        <v>Činnosti leteckých škol</v>
      </c>
      <c r="X963">
        <f>IF(ISNUMBER(SEARCH('1Př1'!$A$37,N963)),MAX($M$2:M962)+1,0)</f>
        <v>961</v>
      </c>
      <c r="Y963" s="419" t="s">
        <v>3457</v>
      </c>
      <c r="Z963" t="str">
        <f>IFERROR(VLOOKUP(ROWS($Z$3:Z963),$X$3:$Y$992,2,0),"")</f>
        <v>Činnosti leteckých škol</v>
      </c>
    </row>
    <row r="964" spans="13:26" ht="12.75">
      <c r="M964" s="418">
        <f>IF(ISNUMBER(SEARCH(ZAKL_DATA!$B$29,N964)),MAX($M$2:M963)+1,0)</f>
        <v>962</v>
      </c>
      <c r="N964" s="419" t="s">
        <v>3459</v>
      </c>
      <c r="O964" s="436" t="s">
        <v>3460</v>
      </c>
      <c r="P964" s="421"/>
      <c r="Q964" s="422" t="str">
        <f>IFERROR(VLOOKUP(ROWS($Q$3:Q964),$M$3:$N$992,2,0),"")</f>
        <v>Činnosti ostatních škol řízení</v>
      </c>
      <c r="R964">
        <f>IF(ISNUMBER(SEARCH('1Př1'!$A$35,N964)),MAX($M$2:M963)+1,0)</f>
        <v>962</v>
      </c>
      <c r="S964" s="419" t="s">
        <v>3459</v>
      </c>
      <c r="T964" t="str">
        <f>IFERROR(VLOOKUP(ROWS($T$3:T964),$R$3:$S$992,2,0),"")</f>
        <v>Činnosti ostatních škol řízení</v>
      </c>
      <c r="U964">
        <f>IF(ISNUMBER(SEARCH('1Př1'!$A$36,N964)),MAX($M$2:M963)+1,0)</f>
        <v>962</v>
      </c>
      <c r="V964" s="419" t="s">
        <v>3459</v>
      </c>
      <c r="W964" t="str">
        <f>IFERROR(VLOOKUP(ROWS($W$3:W964),$U$3:$V$992,2,0),"")</f>
        <v>Činnosti ostatních škol řízení</v>
      </c>
      <c r="X964">
        <f>IF(ISNUMBER(SEARCH('1Př1'!$A$37,N964)),MAX($M$2:M963)+1,0)</f>
        <v>962</v>
      </c>
      <c r="Y964" s="419" t="s">
        <v>3459</v>
      </c>
      <c r="Z964" t="str">
        <f>IFERROR(VLOOKUP(ROWS($Z$3:Z964),$X$3:$Y$992,2,0),"")</f>
        <v>Činnosti ostatních škol řízení</v>
      </c>
    </row>
    <row r="965" spans="13:26" ht="12.75">
      <c r="M965" s="418">
        <f>IF(ISNUMBER(SEARCH(ZAKL_DATA!$B$29,N965)),MAX($M$2:M964)+1,0)</f>
        <v>963</v>
      </c>
      <c r="N965" s="419" t="s">
        <v>3461</v>
      </c>
      <c r="O965" s="436" t="s">
        <v>3462</v>
      </c>
      <c r="P965" s="421"/>
      <c r="Q965" s="422" t="str">
        <f>IFERROR(VLOOKUP(ROWS($Q$3:Q965),$M$3:$N$992,2,0),"")</f>
        <v>Vzdělávání v jazykových školách</v>
      </c>
      <c r="R965">
        <f>IF(ISNUMBER(SEARCH('1Př1'!$A$35,N965)),MAX($M$2:M964)+1,0)</f>
        <v>963</v>
      </c>
      <c r="S965" s="419" t="s">
        <v>3461</v>
      </c>
      <c r="T965" t="str">
        <f>IFERROR(VLOOKUP(ROWS($T$3:T965),$R$3:$S$992,2,0),"")</f>
        <v>Vzdělávání v jazykových školách</v>
      </c>
      <c r="U965">
        <f>IF(ISNUMBER(SEARCH('1Př1'!$A$36,N965)),MAX($M$2:M964)+1,0)</f>
        <v>963</v>
      </c>
      <c r="V965" s="419" t="s">
        <v>3461</v>
      </c>
      <c r="W965" t="str">
        <f>IFERROR(VLOOKUP(ROWS($W$3:W965),$U$3:$V$992,2,0),"")</f>
        <v>Vzdělávání v jazykových školách</v>
      </c>
      <c r="X965">
        <f>IF(ISNUMBER(SEARCH('1Př1'!$A$37,N965)),MAX($M$2:M964)+1,0)</f>
        <v>963</v>
      </c>
      <c r="Y965" s="419" t="s">
        <v>3461</v>
      </c>
      <c r="Z965" t="str">
        <f>IFERROR(VLOOKUP(ROWS($Z$3:Z965),$X$3:$Y$992,2,0),"")</f>
        <v>Vzdělávání v jazykových školách</v>
      </c>
    </row>
    <row r="966" spans="13:26" ht="12.75">
      <c r="M966" s="418">
        <f>IF(ISNUMBER(SEARCH(ZAKL_DATA!$B$29,N966)),MAX($M$2:M965)+1,0)</f>
        <v>964</v>
      </c>
      <c r="N966" s="419" t="s">
        <v>3463</v>
      </c>
      <c r="O966" s="436" t="s">
        <v>3464</v>
      </c>
      <c r="P966" s="421"/>
      <c r="Q966" s="422" t="str">
        <f>IFERROR(VLOOKUP(ROWS($Q$3:Q966),$M$3:$N$992,2,0),"")</f>
        <v>Environmentální vzdělávání</v>
      </c>
      <c r="R966">
        <f>IF(ISNUMBER(SEARCH('1Př1'!$A$35,N966)),MAX($M$2:M965)+1,0)</f>
        <v>964</v>
      </c>
      <c r="S966" s="419" t="s">
        <v>3463</v>
      </c>
      <c r="T966" t="str">
        <f>IFERROR(VLOOKUP(ROWS($T$3:T966),$R$3:$S$992,2,0),"")</f>
        <v>Environmentální vzdělávání</v>
      </c>
      <c r="U966">
        <f>IF(ISNUMBER(SEARCH('1Př1'!$A$36,N966)),MAX($M$2:M965)+1,0)</f>
        <v>964</v>
      </c>
      <c r="V966" s="419" t="s">
        <v>3463</v>
      </c>
      <c r="W966" t="str">
        <f>IFERROR(VLOOKUP(ROWS($W$3:W966),$U$3:$V$992,2,0),"")</f>
        <v>Environmentální vzdělávání</v>
      </c>
      <c r="X966">
        <f>IF(ISNUMBER(SEARCH('1Př1'!$A$37,N966)),MAX($M$2:M965)+1,0)</f>
        <v>964</v>
      </c>
      <c r="Y966" s="419" t="s">
        <v>3463</v>
      </c>
      <c r="Z966" t="str">
        <f>IFERROR(VLOOKUP(ROWS($Z$3:Z966),$X$3:$Y$992,2,0),"")</f>
        <v>Environmentální vzdělávání</v>
      </c>
    </row>
    <row r="967" spans="13:26" ht="12.75">
      <c r="M967" s="418">
        <f>IF(ISNUMBER(SEARCH(ZAKL_DATA!$B$29,N967)),MAX($M$2:M966)+1,0)</f>
        <v>965</v>
      </c>
      <c r="N967" s="419" t="s">
        <v>3465</v>
      </c>
      <c r="O967" s="436" t="s">
        <v>3466</v>
      </c>
      <c r="P967" s="421"/>
      <c r="Q967" s="422" t="str">
        <f>IFERROR(VLOOKUP(ROWS($Q$3:Q967),$M$3:$N$992,2,0),"")</f>
        <v>Inovační vzdělávání</v>
      </c>
      <c r="R967">
        <f>IF(ISNUMBER(SEARCH('1Př1'!$A$35,N967)),MAX($M$2:M966)+1,0)</f>
        <v>965</v>
      </c>
      <c r="S967" s="419" t="s">
        <v>3465</v>
      </c>
      <c r="T967" t="str">
        <f>IFERROR(VLOOKUP(ROWS($T$3:T967),$R$3:$S$992,2,0),"")</f>
        <v>Inovační vzdělávání</v>
      </c>
      <c r="U967">
        <f>IF(ISNUMBER(SEARCH('1Př1'!$A$36,N967)),MAX($M$2:M966)+1,0)</f>
        <v>965</v>
      </c>
      <c r="V967" s="419" t="s">
        <v>3465</v>
      </c>
      <c r="W967" t="str">
        <f>IFERROR(VLOOKUP(ROWS($W$3:W967),$U$3:$V$992,2,0),"")</f>
        <v>Inovační vzdělávání</v>
      </c>
      <c r="X967">
        <f>IF(ISNUMBER(SEARCH('1Př1'!$A$37,N967)),MAX($M$2:M966)+1,0)</f>
        <v>965</v>
      </c>
      <c r="Y967" s="419" t="s">
        <v>3465</v>
      </c>
      <c r="Z967" t="str">
        <f>IFERROR(VLOOKUP(ROWS($Z$3:Z967),$X$3:$Y$992,2,0),"")</f>
        <v>Inovační vzdělávání</v>
      </c>
    </row>
    <row r="968" spans="13:26" ht="12.75">
      <c r="M968" s="418">
        <f>IF(ISNUMBER(SEARCH(ZAKL_DATA!$B$29,N968)),MAX($M$2:M967)+1,0)</f>
        <v>966</v>
      </c>
      <c r="N968" s="419" t="s">
        <v>3467</v>
      </c>
      <c r="O968" s="436" t="s">
        <v>3468</v>
      </c>
      <c r="P968" s="421"/>
      <c r="Q968" s="422" t="str">
        <f>IFERROR(VLOOKUP(ROWS($Q$3:Q968),$M$3:$N$992,2,0),"")</f>
        <v>Jiné vzdělávání j. n.</v>
      </c>
      <c r="R968">
        <f>IF(ISNUMBER(SEARCH('1Př1'!$A$35,N968)),MAX($M$2:M967)+1,0)</f>
        <v>966</v>
      </c>
      <c r="S968" s="419" t="s">
        <v>3467</v>
      </c>
      <c r="T968" t="str">
        <f>IFERROR(VLOOKUP(ROWS($T$3:T968),$R$3:$S$992,2,0),"")</f>
        <v>Jiné vzdělávání j. n.</v>
      </c>
      <c r="U968">
        <f>IF(ISNUMBER(SEARCH('1Př1'!$A$36,N968)),MAX($M$2:M967)+1,0)</f>
        <v>966</v>
      </c>
      <c r="V968" s="419" t="s">
        <v>3467</v>
      </c>
      <c r="W968" t="str">
        <f>IFERROR(VLOOKUP(ROWS($W$3:W968),$U$3:$V$992,2,0),"")</f>
        <v>Jiné vzdělávání j. n.</v>
      </c>
      <c r="X968">
        <f>IF(ISNUMBER(SEARCH('1Př1'!$A$37,N968)),MAX($M$2:M967)+1,0)</f>
        <v>966</v>
      </c>
      <c r="Y968" s="419" t="s">
        <v>3467</v>
      </c>
      <c r="Z968" t="str">
        <f>IFERROR(VLOOKUP(ROWS($Z$3:Z968),$X$3:$Y$992,2,0),"")</f>
        <v>Jiné vzdělávání j. n.</v>
      </c>
    </row>
    <row r="969" spans="13:26" ht="12.75">
      <c r="M969" s="418">
        <f>IF(ISNUMBER(SEARCH(ZAKL_DATA!$B$29,N969)),MAX($M$2:M968)+1,0)</f>
        <v>967</v>
      </c>
      <c r="N969" s="419" t="s">
        <v>3469</v>
      </c>
      <c r="O969" s="436" t="s">
        <v>3470</v>
      </c>
      <c r="P969" s="421"/>
      <c r="Q969" s="422" t="str">
        <f>IFERROR(VLOOKUP(ROWS($Q$3:Q969),$M$3:$N$992,2,0),"")</f>
        <v>Činnosti související s ochranou veřejného zdraví</v>
      </c>
      <c r="R969">
        <f>IF(ISNUMBER(SEARCH('1Př1'!$A$35,N969)),MAX($M$2:M968)+1,0)</f>
        <v>967</v>
      </c>
      <c r="S969" s="419" t="s">
        <v>3469</v>
      </c>
      <c r="T969" t="str">
        <f>IFERROR(VLOOKUP(ROWS($T$3:T969),$R$3:$S$992,2,0),"")</f>
        <v>Činnosti související s ochranou veřejného zdraví</v>
      </c>
      <c r="U969">
        <f>IF(ISNUMBER(SEARCH('1Př1'!$A$36,N969)),MAX($M$2:M968)+1,0)</f>
        <v>967</v>
      </c>
      <c r="V969" s="419" t="s">
        <v>3469</v>
      </c>
      <c r="W969" t="str">
        <f>IFERROR(VLOOKUP(ROWS($W$3:W969),$U$3:$V$992,2,0),"")</f>
        <v>Činnosti související s ochranou veřejného zdraví</v>
      </c>
      <c r="X969">
        <f>IF(ISNUMBER(SEARCH('1Př1'!$A$37,N969)),MAX($M$2:M968)+1,0)</f>
        <v>967</v>
      </c>
      <c r="Y969" s="419" t="s">
        <v>3469</v>
      </c>
      <c r="Z969" t="str">
        <f>IFERROR(VLOOKUP(ROWS($Z$3:Z969),$X$3:$Y$992,2,0),"")</f>
        <v>Činnosti související s ochranou veřejného zdraví</v>
      </c>
    </row>
    <row r="970" spans="13:26" ht="12.75">
      <c r="M970" s="418">
        <f>IF(ISNUMBER(SEARCH(ZAKL_DATA!$B$29,N970)),MAX($M$2:M969)+1,0)</f>
        <v>968</v>
      </c>
      <c r="N970" s="419" t="s">
        <v>3471</v>
      </c>
      <c r="O970" s="436" t="s">
        <v>3472</v>
      </c>
      <c r="P970" s="421"/>
      <c r="Q970" s="422" t="str">
        <f>IFERROR(VLOOKUP(ROWS($Q$3:Q970),$M$3:$N$992,2,0),"")</f>
        <v>Ostatní činnosti související se zdravotní péčí j. n.</v>
      </c>
      <c r="R970">
        <f>IF(ISNUMBER(SEARCH('1Př1'!$A$35,N970)),MAX($M$2:M969)+1,0)</f>
        <v>968</v>
      </c>
      <c r="S970" s="419" t="s">
        <v>3471</v>
      </c>
      <c r="T970" t="str">
        <f>IFERROR(VLOOKUP(ROWS($T$3:T970),$R$3:$S$992,2,0),"")</f>
        <v>Ostatní činnosti související se zdravotní péčí j. n.</v>
      </c>
      <c r="U970">
        <f>IF(ISNUMBER(SEARCH('1Př1'!$A$36,N970)),MAX($M$2:M969)+1,0)</f>
        <v>968</v>
      </c>
      <c r="V970" s="419" t="s">
        <v>3471</v>
      </c>
      <c r="W970" t="str">
        <f>IFERROR(VLOOKUP(ROWS($W$3:W970),$U$3:$V$992,2,0),"")</f>
        <v>Ostatní činnosti související se zdravotní péčí j. n.</v>
      </c>
      <c r="X970">
        <f>IF(ISNUMBER(SEARCH('1Př1'!$A$37,N970)),MAX($M$2:M969)+1,0)</f>
        <v>968</v>
      </c>
      <c r="Y970" s="419" t="s">
        <v>3471</v>
      </c>
      <c r="Z970" t="str">
        <f>IFERROR(VLOOKUP(ROWS($Z$3:Z970),$X$3:$Y$992,2,0),"")</f>
        <v>Ostatní činnosti související se zdravotní péčí j. n.</v>
      </c>
    </row>
    <row r="971" spans="13:26" ht="12.75">
      <c r="M971" s="418">
        <f>IF(ISNUMBER(SEARCH(ZAKL_DATA!$B$29,N971)),MAX($M$2:M970)+1,0)</f>
        <v>969</v>
      </c>
      <c r="N971" s="419" t="s">
        <v>3473</v>
      </c>
      <c r="O971" s="436" t="s">
        <v>3474</v>
      </c>
      <c r="P971" s="421"/>
      <c r="Q971" s="422" t="str">
        <f>IFERROR(VLOOKUP(ROWS($Q$3:Q971),$M$3:$N$992,2,0),"")</f>
        <v>Sociální péče v zařízeních pro osoby s chronickým duševním onemocněním</v>
      </c>
      <c r="R971">
        <f>IF(ISNUMBER(SEARCH('1Př1'!$A$35,N971)),MAX($M$2:M970)+1,0)</f>
        <v>969</v>
      </c>
      <c r="S971" s="419" t="s">
        <v>3473</v>
      </c>
      <c r="T971" t="str">
        <f>IFERROR(VLOOKUP(ROWS($T$3:T971),$R$3:$S$992,2,0),"")</f>
        <v>Sociální péče v zařízeních pro osoby s chronickým duševním onemocněním</v>
      </c>
      <c r="U971">
        <f>IF(ISNUMBER(SEARCH('1Př1'!$A$36,N971)),MAX($M$2:M970)+1,0)</f>
        <v>969</v>
      </c>
      <c r="V971" s="419" t="s">
        <v>3473</v>
      </c>
      <c r="W971" t="str">
        <f>IFERROR(VLOOKUP(ROWS($W$3:W971),$U$3:$V$992,2,0),"")</f>
        <v>Sociální péče v zařízeních pro osoby s chronickým duševním onemocněním</v>
      </c>
      <c r="X971">
        <f>IF(ISNUMBER(SEARCH('1Př1'!$A$37,N971)),MAX($M$2:M970)+1,0)</f>
        <v>969</v>
      </c>
      <c r="Y971" s="419" t="s">
        <v>3473</v>
      </c>
      <c r="Z971" t="str">
        <f>IFERROR(VLOOKUP(ROWS($Z$3:Z971),$X$3:$Y$992,2,0),"")</f>
        <v>Sociální péče v zařízeních pro osoby s chronickým duševním onemocněním</v>
      </c>
    </row>
    <row r="972" spans="13:26" ht="12.75">
      <c r="M972" s="418">
        <f>IF(ISNUMBER(SEARCH(ZAKL_DATA!$B$29,N972)),MAX($M$2:M971)+1,0)</f>
        <v>970</v>
      </c>
      <c r="N972" s="419" t="s">
        <v>3475</v>
      </c>
      <c r="O972" s="436" t="s">
        <v>3476</v>
      </c>
      <c r="P972" s="421"/>
      <c r="Q972" s="422" t="str">
        <f>IFERROR(VLOOKUP(ROWS($Q$3:Q972),$M$3:$N$992,2,0),"")</f>
        <v>Sociální péče v zařízeních pro osoby závislé na návykových látkách</v>
      </c>
      <c r="R972">
        <f>IF(ISNUMBER(SEARCH('1Př1'!$A$35,N972)),MAX($M$2:M971)+1,0)</f>
        <v>970</v>
      </c>
      <c r="S972" s="419" t="s">
        <v>3475</v>
      </c>
      <c r="T972" t="str">
        <f>IFERROR(VLOOKUP(ROWS($T$3:T972),$R$3:$S$992,2,0),"")</f>
        <v>Sociální péče v zařízeních pro osoby závislé na návykových látkách</v>
      </c>
      <c r="U972">
        <f>IF(ISNUMBER(SEARCH('1Př1'!$A$36,N972)),MAX($M$2:M971)+1,0)</f>
        <v>970</v>
      </c>
      <c r="V972" s="419" t="s">
        <v>3475</v>
      </c>
      <c r="W972" t="str">
        <f>IFERROR(VLOOKUP(ROWS($W$3:W972),$U$3:$V$992,2,0),"")</f>
        <v>Sociální péče v zařízeních pro osoby závislé na návykových látkách</v>
      </c>
      <c r="X972">
        <f>IF(ISNUMBER(SEARCH('1Př1'!$A$37,N972)),MAX($M$2:M971)+1,0)</f>
        <v>970</v>
      </c>
      <c r="Y972" s="419" t="s">
        <v>3475</v>
      </c>
      <c r="Z972" t="str">
        <f>IFERROR(VLOOKUP(ROWS($Z$3:Z972),$X$3:$Y$992,2,0),"")</f>
        <v>Sociální péče v zařízeních pro osoby závislé na návykových látkách</v>
      </c>
    </row>
    <row r="973" spans="13:26" ht="12.75">
      <c r="M973" s="418">
        <f>IF(ISNUMBER(SEARCH(ZAKL_DATA!$B$29,N973)),MAX($M$2:M972)+1,0)</f>
        <v>971</v>
      </c>
      <c r="N973" s="419" t="s">
        <v>3477</v>
      </c>
      <c r="O973" s="436" t="s">
        <v>3478</v>
      </c>
      <c r="P973" s="421"/>
      <c r="Q973" s="422" t="str">
        <f>IFERROR(VLOOKUP(ROWS($Q$3:Q973),$M$3:$N$992,2,0),"")</f>
        <v>Sociální péče v domovech pro seniory</v>
      </c>
      <c r="R973">
        <f>IF(ISNUMBER(SEARCH('1Př1'!$A$35,N973)),MAX($M$2:M972)+1,0)</f>
        <v>971</v>
      </c>
      <c r="S973" s="419" t="s">
        <v>3477</v>
      </c>
      <c r="T973" t="str">
        <f>IFERROR(VLOOKUP(ROWS($T$3:T973),$R$3:$S$992,2,0),"")</f>
        <v>Sociální péče v domovech pro seniory</v>
      </c>
      <c r="U973">
        <f>IF(ISNUMBER(SEARCH('1Př1'!$A$36,N973)),MAX($M$2:M972)+1,0)</f>
        <v>971</v>
      </c>
      <c r="V973" s="419" t="s">
        <v>3477</v>
      </c>
      <c r="W973" t="str">
        <f>IFERROR(VLOOKUP(ROWS($W$3:W973),$U$3:$V$992,2,0),"")</f>
        <v>Sociální péče v domovech pro seniory</v>
      </c>
      <c r="X973">
        <f>IF(ISNUMBER(SEARCH('1Př1'!$A$37,N973)),MAX($M$2:M972)+1,0)</f>
        <v>971</v>
      </c>
      <c r="Y973" s="419" t="s">
        <v>3477</v>
      </c>
      <c r="Z973" t="str">
        <f>IFERROR(VLOOKUP(ROWS($Z$3:Z973),$X$3:$Y$992,2,0),"")</f>
        <v>Sociální péče v domovech pro seniory</v>
      </c>
    </row>
    <row r="974" spans="13:26" ht="12.75">
      <c r="M974" s="418">
        <f>IF(ISNUMBER(SEARCH(ZAKL_DATA!$B$29,N974)),MAX($M$2:M973)+1,0)</f>
        <v>972</v>
      </c>
      <c r="N974" s="419" t="s">
        <v>3479</v>
      </c>
      <c r="O974" s="436" t="s">
        <v>3480</v>
      </c>
      <c r="P974" s="421"/>
      <c r="Q974" s="422" t="str">
        <f>IFERROR(VLOOKUP(ROWS($Q$3:Q974),$M$3:$N$992,2,0),"")</f>
        <v>Sociální péče v domovech pro osoby se zdravotním postižením</v>
      </c>
      <c r="R974">
        <f>IF(ISNUMBER(SEARCH('1Př1'!$A$35,N974)),MAX($M$2:M973)+1,0)</f>
        <v>972</v>
      </c>
      <c r="S974" s="419" t="s">
        <v>3479</v>
      </c>
      <c r="T974" t="str">
        <f>IFERROR(VLOOKUP(ROWS($T$3:T974),$R$3:$S$992,2,0),"")</f>
        <v>Sociální péče v domovech pro osoby se zdravotním postižením</v>
      </c>
      <c r="U974">
        <f>IF(ISNUMBER(SEARCH('1Př1'!$A$36,N974)),MAX($M$2:M973)+1,0)</f>
        <v>972</v>
      </c>
      <c r="V974" s="419" t="s">
        <v>3479</v>
      </c>
      <c r="W974" t="str">
        <f>IFERROR(VLOOKUP(ROWS($W$3:W974),$U$3:$V$992,2,0),"")</f>
        <v>Sociální péče v domovech pro osoby se zdravotním postižením</v>
      </c>
      <c r="X974">
        <f>IF(ISNUMBER(SEARCH('1Př1'!$A$37,N974)),MAX($M$2:M973)+1,0)</f>
        <v>972</v>
      </c>
      <c r="Y974" s="419" t="s">
        <v>3479</v>
      </c>
      <c r="Z974" t="str">
        <f>IFERROR(VLOOKUP(ROWS($Z$3:Z974),$X$3:$Y$992,2,0),"")</f>
        <v>Sociální péče v domovech pro osoby se zdravotním postižením</v>
      </c>
    </row>
    <row r="975" spans="13:26" ht="12.75">
      <c r="M975" s="418">
        <f>IF(ISNUMBER(SEARCH(ZAKL_DATA!$B$29,N975)),MAX($M$2:M974)+1,0)</f>
        <v>973</v>
      </c>
      <c r="N975" s="419" t="s">
        <v>3481</v>
      </c>
      <c r="O975" s="436" t="s">
        <v>2287</v>
      </c>
      <c r="P975" s="421"/>
      <c r="Q975" s="422" t="str">
        <f>IFERROR(VLOOKUP(ROWS($Q$3:Q975),$M$3:$N$992,2,0),"")</f>
        <v>Mimoústavní sociální péče o seniory a zdravotně postižené osoby</v>
      </c>
      <c r="R975">
        <f>IF(ISNUMBER(SEARCH('1Př1'!$A$35,N975)),MAX($M$2:M974)+1,0)</f>
        <v>973</v>
      </c>
      <c r="S975" s="419" t="s">
        <v>3481</v>
      </c>
      <c r="T975" t="str">
        <f>IFERROR(VLOOKUP(ROWS($T$3:T975),$R$3:$S$992,2,0),"")</f>
        <v>Mimoústavní sociální péče o seniory a zdravotně postižené osoby</v>
      </c>
      <c r="U975">
        <f>IF(ISNUMBER(SEARCH('1Př1'!$A$36,N975)),MAX($M$2:M974)+1,0)</f>
        <v>973</v>
      </c>
      <c r="V975" s="419" t="s">
        <v>3481</v>
      </c>
      <c r="W975" t="str">
        <f>IFERROR(VLOOKUP(ROWS($W$3:W975),$U$3:$V$992,2,0),"")</f>
        <v>Mimoústavní sociální péče o seniory a zdravotně postižené osoby</v>
      </c>
      <c r="X975">
        <f>IF(ISNUMBER(SEARCH('1Př1'!$A$37,N975)),MAX($M$2:M974)+1,0)</f>
        <v>973</v>
      </c>
      <c r="Y975" s="419" t="s">
        <v>3481</v>
      </c>
      <c r="Z975" t="str">
        <f>IFERROR(VLOOKUP(ROWS($Z$3:Z975),$X$3:$Y$992,2,0),"")</f>
        <v>Mimoústavní sociální péče o seniory a zdravotně postižené osoby</v>
      </c>
    </row>
    <row r="976" spans="13:26" ht="12.75">
      <c r="M976" s="418">
        <f>IF(ISNUMBER(SEARCH(ZAKL_DATA!$B$29,N976)),MAX($M$2:M975)+1,0)</f>
        <v>974</v>
      </c>
      <c r="N976" s="419" t="s">
        <v>3482</v>
      </c>
      <c r="O976" s="436" t="s">
        <v>3483</v>
      </c>
      <c r="P976" s="421"/>
      <c r="Q976" s="422" t="str">
        <f>IFERROR(VLOOKUP(ROWS($Q$3:Q976),$M$3:$N$992,2,0),"")</f>
        <v>Ambulantní nebo terénní sociální služby pro seniory</v>
      </c>
      <c r="R976">
        <f>IF(ISNUMBER(SEARCH('1Př1'!$A$35,N976)),MAX($M$2:M975)+1,0)</f>
        <v>974</v>
      </c>
      <c r="S976" s="419" t="s">
        <v>3482</v>
      </c>
      <c r="T976" t="str">
        <f>IFERROR(VLOOKUP(ROWS($T$3:T976),$R$3:$S$992,2,0),"")</f>
        <v>Ambulantní nebo terénní sociální služby pro seniory</v>
      </c>
      <c r="U976">
        <f>IF(ISNUMBER(SEARCH('1Př1'!$A$36,N976)),MAX($M$2:M975)+1,0)</f>
        <v>974</v>
      </c>
      <c r="V976" s="419" t="s">
        <v>3482</v>
      </c>
      <c r="W976" t="str">
        <f>IFERROR(VLOOKUP(ROWS($W$3:W976),$U$3:$V$992,2,0),"")</f>
        <v>Ambulantní nebo terénní sociální služby pro seniory</v>
      </c>
      <c r="X976">
        <f>IF(ISNUMBER(SEARCH('1Př1'!$A$37,N976)),MAX($M$2:M975)+1,0)</f>
        <v>974</v>
      </c>
      <c r="Y976" s="419" t="s">
        <v>3482</v>
      </c>
      <c r="Z976" t="str">
        <f>IFERROR(VLOOKUP(ROWS($Z$3:Z976),$X$3:$Y$992,2,0),"")</f>
        <v>Ambulantní nebo terénní sociální služby pro seniory</v>
      </c>
    </row>
    <row r="977" spans="13:26" ht="12.75">
      <c r="M977" s="418">
        <f>IF(ISNUMBER(SEARCH(ZAKL_DATA!$B$29,N977)),MAX($M$2:M976)+1,0)</f>
        <v>975</v>
      </c>
      <c r="N977" s="419" t="s">
        <v>3484</v>
      </c>
      <c r="O977" s="436" t="s">
        <v>3485</v>
      </c>
      <c r="P977" s="421"/>
      <c r="Q977" s="422" t="str">
        <f>IFERROR(VLOOKUP(ROWS($Q$3:Q977),$M$3:$N$992,2,0),"")</f>
        <v>Ambulantní nebo terénní sociální služby pro osoby se zdrav.postižením</v>
      </c>
      <c r="R977">
        <f>IF(ISNUMBER(SEARCH('1Př1'!$A$35,N977)),MAX($M$2:M976)+1,0)</f>
        <v>975</v>
      </c>
      <c r="S977" s="419" t="s">
        <v>3484</v>
      </c>
      <c r="T977" t="str">
        <f>IFERROR(VLOOKUP(ROWS($T$3:T977),$R$3:$S$992,2,0),"")</f>
        <v>Ambulantní nebo terénní sociální služby pro osoby se zdrav.postižením</v>
      </c>
      <c r="U977">
        <f>IF(ISNUMBER(SEARCH('1Př1'!$A$36,N977)),MAX($M$2:M976)+1,0)</f>
        <v>975</v>
      </c>
      <c r="V977" s="419" t="s">
        <v>3484</v>
      </c>
      <c r="W977" t="str">
        <f>IFERROR(VLOOKUP(ROWS($W$3:W977),$U$3:$V$992,2,0),"")</f>
        <v>Ambulantní nebo terénní sociální služby pro osoby se zdrav.postižením</v>
      </c>
      <c r="X977">
        <f>IF(ISNUMBER(SEARCH('1Př1'!$A$37,N977)),MAX($M$2:M976)+1,0)</f>
        <v>975</v>
      </c>
      <c r="Y977" s="419" t="s">
        <v>3484</v>
      </c>
      <c r="Z977" t="str">
        <f>IFERROR(VLOOKUP(ROWS($Z$3:Z977),$X$3:$Y$992,2,0),"")</f>
        <v>Ambulantní nebo terénní sociální služby pro osoby se zdrav.postižením</v>
      </c>
    </row>
    <row r="978" spans="13:26" ht="12.75">
      <c r="M978" s="418">
        <f>IF(ISNUMBER(SEARCH(ZAKL_DATA!$B$29,N978)),MAX($M$2:M977)+1,0)</f>
        <v>976</v>
      </c>
      <c r="N978" s="419" t="s">
        <v>3486</v>
      </c>
      <c r="O978" s="436" t="s">
        <v>3487</v>
      </c>
      <c r="P978" s="421"/>
      <c r="Q978" s="422" t="str">
        <f>IFERROR(VLOOKUP(ROWS($Q$3:Q978),$M$3:$N$992,2,0),"")</f>
        <v>Sociální služby pro uprchlíky, oběti katastrof</v>
      </c>
      <c r="R978">
        <f>IF(ISNUMBER(SEARCH('1Př1'!$A$35,N978)),MAX($M$2:M977)+1,0)</f>
        <v>976</v>
      </c>
      <c r="S978" s="419" t="s">
        <v>3486</v>
      </c>
      <c r="T978" t="str">
        <f>IFERROR(VLOOKUP(ROWS($T$3:T978),$R$3:$S$992,2,0),"")</f>
        <v>Sociální služby pro uprchlíky, oběti katastrof</v>
      </c>
      <c r="U978">
        <f>IF(ISNUMBER(SEARCH('1Př1'!$A$36,N978)),MAX($M$2:M977)+1,0)</f>
        <v>976</v>
      </c>
      <c r="V978" s="419" t="s">
        <v>3486</v>
      </c>
      <c r="W978" t="str">
        <f>IFERROR(VLOOKUP(ROWS($W$3:W978),$U$3:$V$992,2,0),"")</f>
        <v>Sociální služby pro uprchlíky, oběti katastrof</v>
      </c>
      <c r="X978">
        <f>IF(ISNUMBER(SEARCH('1Př1'!$A$37,N978)),MAX($M$2:M977)+1,0)</f>
        <v>976</v>
      </c>
      <c r="Y978" s="419" t="s">
        <v>3486</v>
      </c>
      <c r="Z978" t="str">
        <f>IFERROR(VLOOKUP(ROWS($Z$3:Z978),$X$3:$Y$992,2,0),"")</f>
        <v>Sociální služby pro uprchlíky, oběti katastrof</v>
      </c>
    </row>
    <row r="979" spans="13:26" ht="12.75">
      <c r="M979" s="418">
        <f>IF(ISNUMBER(SEARCH(ZAKL_DATA!$B$29,N979)),MAX($M$2:M978)+1,0)</f>
        <v>977</v>
      </c>
      <c r="N979" s="419" t="s">
        <v>3488</v>
      </c>
      <c r="O979" s="436" t="s">
        <v>3489</v>
      </c>
      <c r="P979" s="421"/>
      <c r="Q979" s="422" t="str">
        <f>IFERROR(VLOOKUP(ROWS($Q$3:Q979),$M$3:$N$992,2,0),"")</f>
        <v>Sociální prevence</v>
      </c>
      <c r="R979">
        <f>IF(ISNUMBER(SEARCH('1Př1'!$A$35,N979)),MAX($M$2:M978)+1,0)</f>
        <v>977</v>
      </c>
      <c r="S979" s="419" t="s">
        <v>3488</v>
      </c>
      <c r="T979" t="str">
        <f>IFERROR(VLOOKUP(ROWS($T$3:T979),$R$3:$S$992,2,0),"")</f>
        <v>Sociální prevence</v>
      </c>
      <c r="U979">
        <f>IF(ISNUMBER(SEARCH('1Př1'!$A$36,N979)),MAX($M$2:M978)+1,0)</f>
        <v>977</v>
      </c>
      <c r="V979" s="419" t="s">
        <v>3488</v>
      </c>
      <c r="W979" t="str">
        <f>IFERROR(VLOOKUP(ROWS($W$3:W979),$U$3:$V$992,2,0),"")</f>
        <v>Sociální prevence</v>
      </c>
      <c r="X979">
        <f>IF(ISNUMBER(SEARCH('1Př1'!$A$37,N979)),MAX($M$2:M978)+1,0)</f>
        <v>977</v>
      </c>
      <c r="Y979" s="419" t="s">
        <v>3488</v>
      </c>
      <c r="Z979" t="str">
        <f>IFERROR(VLOOKUP(ROWS($Z$3:Z979),$X$3:$Y$992,2,0),"")</f>
        <v>Sociální prevence</v>
      </c>
    </row>
    <row r="980" spans="13:26" ht="12.75">
      <c r="M980" s="418">
        <f>IF(ISNUMBER(SEARCH(ZAKL_DATA!$B$29,N980)),MAX($M$2:M979)+1,0)</f>
        <v>978</v>
      </c>
      <c r="N980" s="419" t="s">
        <v>3490</v>
      </c>
      <c r="O980" s="436" t="s">
        <v>3491</v>
      </c>
      <c r="P980" s="421"/>
      <c r="Q980" s="422" t="str">
        <f>IFERROR(VLOOKUP(ROWS($Q$3:Q980),$M$3:$N$992,2,0),"")</f>
        <v>Sociální rehabilitace</v>
      </c>
      <c r="R980">
        <f>IF(ISNUMBER(SEARCH('1Př1'!$A$35,N980)),MAX($M$2:M979)+1,0)</f>
        <v>978</v>
      </c>
      <c r="S980" s="419" t="s">
        <v>3490</v>
      </c>
      <c r="T980" t="str">
        <f>IFERROR(VLOOKUP(ROWS($T$3:T980),$R$3:$S$992,2,0),"")</f>
        <v>Sociální rehabilitace</v>
      </c>
      <c r="U980">
        <f>IF(ISNUMBER(SEARCH('1Př1'!$A$36,N980)),MAX($M$2:M979)+1,0)</f>
        <v>978</v>
      </c>
      <c r="V980" s="419" t="s">
        <v>3490</v>
      </c>
      <c r="W980" t="str">
        <f>IFERROR(VLOOKUP(ROWS($W$3:W980),$U$3:$V$992,2,0),"")</f>
        <v>Sociální rehabilitace</v>
      </c>
      <c r="X980">
        <f>IF(ISNUMBER(SEARCH('1Př1'!$A$37,N980)),MAX($M$2:M979)+1,0)</f>
        <v>978</v>
      </c>
      <c r="Y980" s="419" t="s">
        <v>3490</v>
      </c>
      <c r="Z980" t="str">
        <f>IFERROR(VLOOKUP(ROWS($Z$3:Z980),$X$3:$Y$992,2,0),"")</f>
        <v>Sociální rehabilitace</v>
      </c>
    </row>
    <row r="981" spans="13:26" ht="12.75">
      <c r="M981" s="418">
        <f>IF(ISNUMBER(SEARCH(ZAKL_DATA!$B$29,N981)),MAX($M$2:M980)+1,0)</f>
        <v>979</v>
      </c>
      <c r="N981" s="419" t="s">
        <v>3492</v>
      </c>
      <c r="O981" s="436" t="s">
        <v>3493</v>
      </c>
      <c r="P981" s="421"/>
      <c r="Q981" s="422" t="str">
        <f>IFERROR(VLOOKUP(ROWS($Q$3:Q981),$M$3:$N$992,2,0),"")</f>
        <v>Jiné ambulantní nebo terénní sociální služby j. n.</v>
      </c>
      <c r="R981">
        <f>IF(ISNUMBER(SEARCH('1Př1'!$A$35,N981)),MAX($M$2:M980)+1,0)</f>
        <v>979</v>
      </c>
      <c r="S981" s="419" t="s">
        <v>3492</v>
      </c>
      <c r="T981" t="str">
        <f>IFERROR(VLOOKUP(ROWS($T$3:T981),$R$3:$S$992,2,0),"")</f>
        <v>Jiné ambulantní nebo terénní sociální služby j. n.</v>
      </c>
      <c r="U981">
        <f>IF(ISNUMBER(SEARCH('1Př1'!$A$36,N981)),MAX($M$2:M980)+1,0)</f>
        <v>979</v>
      </c>
      <c r="V981" s="419" t="s">
        <v>3492</v>
      </c>
      <c r="W981" t="str">
        <f>IFERROR(VLOOKUP(ROWS($W$3:W981),$U$3:$V$992,2,0),"")</f>
        <v>Jiné ambulantní nebo terénní sociální služby j. n.</v>
      </c>
      <c r="X981">
        <f>IF(ISNUMBER(SEARCH('1Př1'!$A$37,N981)),MAX($M$2:M980)+1,0)</f>
        <v>979</v>
      </c>
      <c r="Y981" s="419" t="s">
        <v>3492</v>
      </c>
      <c r="Z981" t="str">
        <f>IFERROR(VLOOKUP(ROWS($Z$3:Z981),$X$3:$Y$992,2,0),"")</f>
        <v>Jiné ambulantní nebo terénní sociální služby j. n.</v>
      </c>
    </row>
    <row r="982" spans="13:26" ht="12.75">
      <c r="M982" s="418">
        <f>IF(ISNUMBER(SEARCH(ZAKL_DATA!$B$29,N982)),MAX($M$2:M981)+1,0)</f>
        <v>980</v>
      </c>
      <c r="N982" s="419" t="s">
        <v>3494</v>
      </c>
      <c r="O982" s="436" t="s">
        <v>3174</v>
      </c>
      <c r="P982" s="421"/>
      <c r="Q982" s="422" t="str">
        <f>IFERROR(VLOOKUP(ROWS($Q$3:Q982),$M$3:$N$992,2,0),"")</f>
        <v>Činnosti botanických a zoologických zahrad,přírod.rezervací a národ.parků</v>
      </c>
      <c r="R982">
        <f>IF(ISNUMBER(SEARCH('1Př1'!$A$35,N982)),MAX($M$2:M981)+1,0)</f>
        <v>980</v>
      </c>
      <c r="S982" s="419" t="s">
        <v>3494</v>
      </c>
      <c r="T982" t="str">
        <f>IFERROR(VLOOKUP(ROWS($T$3:T982),$R$3:$S$992,2,0),"")</f>
        <v>Činnosti botanických a zoologických zahrad,přírod.rezervací a národ.parků</v>
      </c>
      <c r="U982">
        <f>IF(ISNUMBER(SEARCH('1Př1'!$A$36,N982)),MAX($M$2:M981)+1,0)</f>
        <v>980</v>
      </c>
      <c r="V982" s="419" t="s">
        <v>3494</v>
      </c>
      <c r="W982" t="str">
        <f>IFERROR(VLOOKUP(ROWS($W$3:W982),$U$3:$V$992,2,0),"")</f>
        <v>Činnosti botanických a zoologických zahrad,přírod.rezervací a národ.parků</v>
      </c>
      <c r="X982">
        <f>IF(ISNUMBER(SEARCH('1Př1'!$A$37,N982)),MAX($M$2:M981)+1,0)</f>
        <v>980</v>
      </c>
      <c r="Y982" s="419" t="s">
        <v>3494</v>
      </c>
      <c r="Z982" t="str">
        <f>IFERROR(VLOOKUP(ROWS($Z$3:Z982),$X$3:$Y$992,2,0),"")</f>
        <v>Činnosti botanických a zoologických zahrad,přírod.rezervací a národ.parků</v>
      </c>
    </row>
    <row r="983" spans="13:26" ht="12.75">
      <c r="M983" s="418">
        <f>IF(ISNUMBER(SEARCH(ZAKL_DATA!$B$29,N983)),MAX($M$2:M982)+1,0)</f>
        <v>981</v>
      </c>
      <c r="N983" s="419" t="s">
        <v>3495</v>
      </c>
      <c r="O983" s="436" t="s">
        <v>3496</v>
      </c>
      <c r="P983" s="421"/>
      <c r="Q983" s="422" t="str">
        <f>IFERROR(VLOOKUP(ROWS($Q$3:Q983),$M$3:$N$992,2,0),"")</f>
        <v>Činnosti botanických a zoologických zahrad</v>
      </c>
      <c r="R983">
        <f>IF(ISNUMBER(SEARCH('1Př1'!$A$35,N983)),MAX($M$2:M982)+1,0)</f>
        <v>981</v>
      </c>
      <c r="S983" s="419" t="s">
        <v>3495</v>
      </c>
      <c r="T983" t="str">
        <f>IFERROR(VLOOKUP(ROWS($T$3:T983),$R$3:$S$992,2,0),"")</f>
        <v>Činnosti botanických a zoologických zahrad</v>
      </c>
      <c r="U983">
        <f>IF(ISNUMBER(SEARCH('1Př1'!$A$36,N983)),MAX($M$2:M982)+1,0)</f>
        <v>981</v>
      </c>
      <c r="V983" s="419" t="s">
        <v>3495</v>
      </c>
      <c r="W983" t="str">
        <f>IFERROR(VLOOKUP(ROWS($W$3:W983),$U$3:$V$992,2,0),"")</f>
        <v>Činnosti botanických a zoologických zahrad</v>
      </c>
      <c r="X983">
        <f>IF(ISNUMBER(SEARCH('1Př1'!$A$37,N983)),MAX($M$2:M982)+1,0)</f>
        <v>981</v>
      </c>
      <c r="Y983" s="419" t="s">
        <v>3495</v>
      </c>
      <c r="Z983" t="str">
        <f>IFERROR(VLOOKUP(ROWS($Z$3:Z983),$X$3:$Y$992,2,0),"")</f>
        <v>Činnosti botanických a zoologických zahrad</v>
      </c>
    </row>
    <row r="984" spans="13:26" ht="12.75">
      <c r="M984" s="418">
        <f>IF(ISNUMBER(SEARCH(ZAKL_DATA!$B$29,N984)),MAX($M$2:M983)+1,0)</f>
        <v>982</v>
      </c>
      <c r="N984" s="419" t="s">
        <v>3497</v>
      </c>
      <c r="O984" s="436" t="s">
        <v>3498</v>
      </c>
      <c r="P984" s="421"/>
      <c r="Q984" s="422" t="str">
        <f>IFERROR(VLOOKUP(ROWS($Q$3:Q984),$M$3:$N$992,2,0),"")</f>
        <v>Činnosti přírodních rezervací a národních parků</v>
      </c>
      <c r="R984">
        <f>IF(ISNUMBER(SEARCH('1Př1'!$A$35,N984)),MAX($M$2:M983)+1,0)</f>
        <v>982</v>
      </c>
      <c r="S984" s="419" t="s">
        <v>3497</v>
      </c>
      <c r="T984" t="str">
        <f>IFERROR(VLOOKUP(ROWS($T$3:T984),$R$3:$S$992,2,0),"")</f>
        <v>Činnosti přírodních rezervací a národních parků</v>
      </c>
      <c r="U984">
        <f>IF(ISNUMBER(SEARCH('1Př1'!$A$36,N984)),MAX($M$2:M983)+1,0)</f>
        <v>982</v>
      </c>
      <c r="V984" s="419" t="s">
        <v>3497</v>
      </c>
      <c r="W984" t="str">
        <f>IFERROR(VLOOKUP(ROWS($W$3:W984),$U$3:$V$992,2,0),"")</f>
        <v>Činnosti přírodních rezervací a národních parků</v>
      </c>
      <c r="X984">
        <f>IF(ISNUMBER(SEARCH('1Př1'!$A$37,N984)),MAX($M$2:M983)+1,0)</f>
        <v>982</v>
      </c>
      <c r="Y984" s="419" t="s">
        <v>3497</v>
      </c>
      <c r="Z984" t="str">
        <f>IFERROR(VLOOKUP(ROWS($Z$3:Z984),$X$3:$Y$992,2,0),"")</f>
        <v>Činnosti přírodních rezervací a národních parků</v>
      </c>
    </row>
    <row r="985" spans="13:26" ht="12.75">
      <c r="M985" s="418">
        <f>IF(ISNUMBER(SEARCH(ZAKL_DATA!$B$29,N985)),MAX($M$2:M984)+1,0)</f>
        <v>983</v>
      </c>
      <c r="N985" s="419" t="s">
        <v>3499</v>
      </c>
      <c r="O985" s="436" t="s">
        <v>3500</v>
      </c>
      <c r="P985" s="421"/>
      <c r="Q985" s="422" t="str">
        <f>IFERROR(VLOOKUP(ROWS($Q$3:Q985),$M$3:$N$992,2,0),"")</f>
        <v>Činnosti organizací dětí a mládeže</v>
      </c>
      <c r="R985">
        <f>IF(ISNUMBER(SEARCH('1Př1'!$A$35,N985)),MAX($M$2:M984)+1,0)</f>
        <v>983</v>
      </c>
      <c r="S985" s="419" t="s">
        <v>3499</v>
      </c>
      <c r="T985" t="str">
        <f>IFERROR(VLOOKUP(ROWS($T$3:T985),$R$3:$S$992,2,0),"")</f>
        <v>Činnosti organizací dětí a mládeže</v>
      </c>
      <c r="U985">
        <f>IF(ISNUMBER(SEARCH('1Př1'!$A$36,N985)),MAX($M$2:M984)+1,0)</f>
        <v>983</v>
      </c>
      <c r="V985" s="419" t="s">
        <v>3499</v>
      </c>
      <c r="W985" t="str">
        <f>IFERROR(VLOOKUP(ROWS($W$3:W985),$U$3:$V$992,2,0),"")</f>
        <v>Činnosti organizací dětí a mládeže</v>
      </c>
      <c r="X985">
        <f>IF(ISNUMBER(SEARCH('1Př1'!$A$37,N985)),MAX($M$2:M984)+1,0)</f>
        <v>983</v>
      </c>
      <c r="Y985" s="419" t="s">
        <v>3499</v>
      </c>
      <c r="Z985" t="str">
        <f>IFERROR(VLOOKUP(ROWS($Z$3:Z985),$X$3:$Y$992,2,0),"")</f>
        <v>Činnosti organizací dětí a mládeže</v>
      </c>
    </row>
    <row r="986" spans="13:26" ht="12.75">
      <c r="M986" s="418">
        <f>IF(ISNUMBER(SEARCH(ZAKL_DATA!$B$29,N986)),MAX($M$2:M985)+1,0)</f>
        <v>984</v>
      </c>
      <c r="N986" s="419" t="s">
        <v>3501</v>
      </c>
      <c r="O986" s="436" t="s">
        <v>3502</v>
      </c>
      <c r="P986" s="421"/>
      <c r="Q986" s="422" t="str">
        <f>IFERROR(VLOOKUP(ROWS($Q$3:Q986),$M$3:$N$992,2,0),"")</f>
        <v>Činnosti organizací na podporu kulturní činnosti</v>
      </c>
      <c r="R986">
        <f>IF(ISNUMBER(SEARCH('1Př1'!$A$35,N986)),MAX($M$2:M985)+1,0)</f>
        <v>984</v>
      </c>
      <c r="S986" s="419" t="s">
        <v>3501</v>
      </c>
      <c r="T986" t="str">
        <f>IFERROR(VLOOKUP(ROWS($T$3:T986),$R$3:$S$992,2,0),"")</f>
        <v>Činnosti organizací na podporu kulturní činnosti</v>
      </c>
      <c r="U986">
        <f>IF(ISNUMBER(SEARCH('1Př1'!$A$36,N986)),MAX($M$2:M985)+1,0)</f>
        <v>984</v>
      </c>
      <c r="V986" s="419" t="s">
        <v>3501</v>
      </c>
      <c r="W986" t="str">
        <f>IFERROR(VLOOKUP(ROWS($W$3:W986),$U$3:$V$992,2,0),"")</f>
        <v>Činnosti organizací na podporu kulturní činnosti</v>
      </c>
      <c r="X986">
        <f>IF(ISNUMBER(SEARCH('1Př1'!$A$37,N986)),MAX($M$2:M985)+1,0)</f>
        <v>984</v>
      </c>
      <c r="Y986" s="419" t="s">
        <v>3501</v>
      </c>
      <c r="Z986" t="str">
        <f>IFERROR(VLOOKUP(ROWS($Z$3:Z986),$X$3:$Y$992,2,0),"")</f>
        <v>Činnosti organizací na podporu kulturní činnosti</v>
      </c>
    </row>
    <row r="987" spans="13:26" ht="12.75">
      <c r="M987" s="418">
        <f>IF(ISNUMBER(SEARCH(ZAKL_DATA!$B$29,N987)),MAX($M$2:M986)+1,0)</f>
        <v>985</v>
      </c>
      <c r="N987" s="419" t="s">
        <v>3503</v>
      </c>
      <c r="O987" s="436" t="s">
        <v>3504</v>
      </c>
      <c r="P987" s="421"/>
      <c r="Q987" s="422" t="str">
        <f>IFERROR(VLOOKUP(ROWS($Q$3:Q987),$M$3:$N$992,2,0),"")</f>
        <v>Činnosti organizací na podporu rekreační a zájmové činnosti</v>
      </c>
      <c r="R987">
        <f>IF(ISNUMBER(SEARCH('1Př1'!$A$35,N987)),MAX($M$2:M986)+1,0)</f>
        <v>985</v>
      </c>
      <c r="S987" s="419" t="s">
        <v>3503</v>
      </c>
      <c r="T987" t="str">
        <f>IFERROR(VLOOKUP(ROWS($T$3:T987),$R$3:$S$992,2,0),"")</f>
        <v>Činnosti organizací na podporu rekreační a zájmové činnosti</v>
      </c>
      <c r="U987">
        <f>IF(ISNUMBER(SEARCH('1Př1'!$A$36,N987)),MAX($M$2:M986)+1,0)</f>
        <v>985</v>
      </c>
      <c r="V987" s="419" t="s">
        <v>3503</v>
      </c>
      <c r="W987" t="str">
        <f>IFERROR(VLOOKUP(ROWS($W$3:W987),$U$3:$V$992,2,0),"")</f>
        <v>Činnosti organizací na podporu rekreační a zájmové činnosti</v>
      </c>
      <c r="X987">
        <f>IF(ISNUMBER(SEARCH('1Př1'!$A$37,N987)),MAX($M$2:M986)+1,0)</f>
        <v>985</v>
      </c>
      <c r="Y987" s="419" t="s">
        <v>3503</v>
      </c>
      <c r="Z987" t="str">
        <f>IFERROR(VLOOKUP(ROWS($Z$3:Z987),$X$3:$Y$992,2,0),"")</f>
        <v>Činnosti organizací na podporu rekreační a zájmové činnosti</v>
      </c>
    </row>
    <row r="988" spans="13:26" ht="12.75">
      <c r="M988" s="418">
        <f>IF(ISNUMBER(SEARCH(ZAKL_DATA!$B$29,N988)),MAX($M$2:M987)+1,0)</f>
        <v>986</v>
      </c>
      <c r="N988" s="419" t="s">
        <v>3505</v>
      </c>
      <c r="O988" s="436" t="s">
        <v>3506</v>
      </c>
      <c r="P988" s="421"/>
      <c r="Q988" s="422" t="str">
        <f>IFERROR(VLOOKUP(ROWS($Q$3:Q988),$M$3:$N$992,2,0),"")</f>
        <v>Činnosti spotřebitelských organizací</v>
      </c>
      <c r="R988">
        <f>IF(ISNUMBER(SEARCH('1Př1'!$A$35,N988)),MAX($M$2:M987)+1,0)</f>
        <v>986</v>
      </c>
      <c r="S988" s="419" t="s">
        <v>3505</v>
      </c>
      <c r="T988" t="str">
        <f>IFERROR(VLOOKUP(ROWS($T$3:T988),$R$3:$S$992,2,0),"")</f>
        <v>Činnosti spotřebitelských organizací</v>
      </c>
      <c r="U988">
        <f>IF(ISNUMBER(SEARCH('1Př1'!$A$36,N988)),MAX($M$2:M987)+1,0)</f>
        <v>986</v>
      </c>
      <c r="V988" s="419" t="s">
        <v>3505</v>
      </c>
      <c r="W988" t="str">
        <f>IFERROR(VLOOKUP(ROWS($W$3:W988),$U$3:$V$992,2,0),"")</f>
        <v>Činnosti spotřebitelských organizací</v>
      </c>
      <c r="X988">
        <f>IF(ISNUMBER(SEARCH('1Př1'!$A$37,N988)),MAX($M$2:M987)+1,0)</f>
        <v>986</v>
      </c>
      <c r="Y988" s="419" t="s">
        <v>3505</v>
      </c>
      <c r="Z988" t="str">
        <f>IFERROR(VLOOKUP(ROWS($Z$3:Z988),$X$3:$Y$992,2,0),"")</f>
        <v>Činnosti spotřebitelských organizací</v>
      </c>
    </row>
    <row r="989" spans="13:26" ht="12.75">
      <c r="M989" s="418">
        <f>IF(ISNUMBER(SEARCH(ZAKL_DATA!$B$29,N989)),MAX($M$2:M988)+1,0)</f>
        <v>987</v>
      </c>
      <c r="N989" s="419" t="s">
        <v>3507</v>
      </c>
      <c r="O989" s="436" t="s">
        <v>3508</v>
      </c>
      <c r="P989" s="421"/>
      <c r="Q989" s="422" t="str">
        <f>IFERROR(VLOOKUP(ROWS($Q$3:Q989),$M$3:$N$992,2,0),"")</f>
        <v>Činnosti environmentálních a ekologických hnutí</v>
      </c>
      <c r="R989">
        <f>IF(ISNUMBER(SEARCH('1Př1'!$A$35,N989)),MAX($M$2:M988)+1,0)</f>
        <v>987</v>
      </c>
      <c r="S989" s="419" t="s">
        <v>3507</v>
      </c>
      <c r="T989" t="str">
        <f>IFERROR(VLOOKUP(ROWS($T$3:T989),$R$3:$S$992,2,0),"")</f>
        <v>Činnosti environmentálních a ekologických hnutí</v>
      </c>
      <c r="U989">
        <f>IF(ISNUMBER(SEARCH('1Př1'!$A$36,N989)),MAX($M$2:M988)+1,0)</f>
        <v>987</v>
      </c>
      <c r="V989" s="419" t="s">
        <v>3507</v>
      </c>
      <c r="W989" t="str">
        <f>IFERROR(VLOOKUP(ROWS($W$3:W989),$U$3:$V$992,2,0),"")</f>
        <v>Činnosti environmentálních a ekologických hnutí</v>
      </c>
      <c r="X989">
        <f>IF(ISNUMBER(SEARCH('1Př1'!$A$37,N989)),MAX($M$2:M988)+1,0)</f>
        <v>987</v>
      </c>
      <c r="Y989" s="419" t="s">
        <v>3507</v>
      </c>
      <c r="Z989" t="str">
        <f>IFERROR(VLOOKUP(ROWS($Z$3:Z989),$X$3:$Y$992,2,0),"")</f>
        <v>Činnosti environmentálních a ekologických hnutí</v>
      </c>
    </row>
    <row r="990" spans="13:26" ht="12.75">
      <c r="M990" s="418">
        <f>IF(ISNUMBER(SEARCH(ZAKL_DATA!$B$29,N990)),MAX($M$2:M989)+1,0)</f>
        <v>988</v>
      </c>
      <c r="N990" s="419" t="s">
        <v>3509</v>
      </c>
      <c r="O990" s="436" t="s">
        <v>3510</v>
      </c>
      <c r="P990" s="421"/>
      <c r="Q990" s="422" t="str">
        <f>IFERROR(VLOOKUP(ROWS($Q$3:Q990),$M$3:$N$992,2,0),"")</f>
        <v>Čin.org.na ochranu a zlepšení postavení etnických,menšin.a jiných spec.sk.</v>
      </c>
      <c r="R990">
        <f>IF(ISNUMBER(SEARCH('1Př1'!$A$35,N990)),MAX($M$2:M989)+1,0)</f>
        <v>988</v>
      </c>
      <c r="S990" s="419" t="s">
        <v>3509</v>
      </c>
      <c r="T990" t="str">
        <f>IFERROR(VLOOKUP(ROWS($T$3:T990),$R$3:$S$992,2,0),"")</f>
        <v>Čin.org.na ochranu a zlepšení postavení etnických,menšin.a jiných spec.sk.</v>
      </c>
      <c r="U990">
        <f>IF(ISNUMBER(SEARCH('1Př1'!$A$36,N990)),MAX($M$2:M989)+1,0)</f>
        <v>988</v>
      </c>
      <c r="V990" s="419" t="s">
        <v>3509</v>
      </c>
      <c r="W990" t="str">
        <f>IFERROR(VLOOKUP(ROWS($W$3:W990),$U$3:$V$992,2,0),"")</f>
        <v>Čin.org.na ochranu a zlepšení postavení etnických,menšin.a jiných spec.sk.</v>
      </c>
      <c r="X990">
        <f>IF(ISNUMBER(SEARCH('1Př1'!$A$37,N990)),MAX($M$2:M989)+1,0)</f>
        <v>988</v>
      </c>
      <c r="Y990" s="419" t="s">
        <v>3509</v>
      </c>
      <c r="Z990" t="str">
        <f>IFERROR(VLOOKUP(ROWS($Z$3:Z990),$X$3:$Y$992,2,0),"")</f>
        <v>Čin.org.na ochranu a zlepšení postavení etnických,menšin.a jiných spec.sk.</v>
      </c>
    </row>
    <row r="991" spans="13:26" ht="12.75">
      <c r="M991" s="418">
        <f>IF(ISNUMBER(SEARCH(ZAKL_DATA!$B$29,N991)),MAX($M$2:M990)+1,0)</f>
        <v>989</v>
      </c>
      <c r="N991" s="419" t="s">
        <v>3511</v>
      </c>
      <c r="O991" s="436" t="s">
        <v>3512</v>
      </c>
      <c r="P991" s="421"/>
      <c r="Q991" s="422" t="str">
        <f>IFERROR(VLOOKUP(ROWS($Q$3:Q991),$M$3:$N$992,2,0),"")</f>
        <v>Činnosti občanských iniciativ, protestních hnutí</v>
      </c>
      <c r="R991">
        <f>IF(ISNUMBER(SEARCH('1Př1'!$A$35,N991)),MAX($M$2:M990)+1,0)</f>
        <v>989</v>
      </c>
      <c r="S991" s="419" t="s">
        <v>3511</v>
      </c>
      <c r="T991" t="str">
        <f>IFERROR(VLOOKUP(ROWS($T$3:T991),$R$3:$S$992,2,0),"")</f>
        <v>Činnosti občanských iniciativ, protestních hnutí</v>
      </c>
      <c r="U991">
        <f>IF(ISNUMBER(SEARCH('1Př1'!$A$36,N991)),MAX($M$2:M990)+1,0)</f>
        <v>989</v>
      </c>
      <c r="V991" s="419" t="s">
        <v>3511</v>
      </c>
      <c r="W991" t="str">
        <f>IFERROR(VLOOKUP(ROWS($W$3:W991),$U$3:$V$992,2,0),"")</f>
        <v>Činnosti občanských iniciativ, protestních hnutí</v>
      </c>
      <c r="X991">
        <f>IF(ISNUMBER(SEARCH('1Př1'!$A$37,N991)),MAX($M$2:M990)+1,0)</f>
        <v>989</v>
      </c>
      <c r="Y991" s="419" t="s">
        <v>3511</v>
      </c>
      <c r="Z991" t="str">
        <f>IFERROR(VLOOKUP(ROWS($Z$3:Z991),$X$3:$Y$992,2,0),"")</f>
        <v>Činnosti občanských iniciativ, protestních hnutí</v>
      </c>
    </row>
    <row r="992" spans="13:26" ht="13.5" thickBot="1">
      <c r="M992" s="418">
        <f>IF(ISNUMBER(SEARCH(ZAKL_DATA!$B$29,N992)),MAX($M$2:M991)+1,0)</f>
        <v>990</v>
      </c>
      <c r="N992" s="444" t="s">
        <v>3513</v>
      </c>
      <c r="O992" s="445" t="s">
        <v>3514</v>
      </c>
      <c r="P992" s="421"/>
      <c r="Q992" s="446" t="str">
        <f>IFERROR(VLOOKUP(ROWS($Q$3:Q992),$M$3:$N$992,2,0),"")</f>
        <v>Činnosti ostatních organizací j. n.</v>
      </c>
      <c r="R992">
        <f>IF(ISNUMBER(SEARCH('1Př1'!$A$35,N992)),MAX($M$2:M991)+1,0)</f>
        <v>990</v>
      </c>
      <c r="S992" s="444" t="s">
        <v>3513</v>
      </c>
      <c r="T992" t="str">
        <f>IFERROR(VLOOKUP(ROWS($T$3:T992),$R$3:$S$992,2,0),"")</f>
        <v>Činnosti ostatních organizací j. n.</v>
      </c>
      <c r="U992">
        <f>IF(ISNUMBER(SEARCH('1Př1'!$A$36,N992)),MAX($M$2:M991)+1,0)</f>
        <v>990</v>
      </c>
      <c r="V992" s="444" t="s">
        <v>3513</v>
      </c>
      <c r="W992" t="str">
        <f>IFERROR(VLOOKUP(ROWS($W$3:W992),$U$3:$V$992,2,0),"")</f>
        <v>Činnosti ostatních organizací j. n.</v>
      </c>
      <c r="X992">
        <f>IF(ISNUMBER(SEARCH('1Př1'!$A$37,N992)),MAX($M$2:M991)+1,0)</f>
        <v>990</v>
      </c>
      <c r="Y992" s="444" t="s">
        <v>3513</v>
      </c>
      <c r="Z992" t="str">
        <f>IFERROR(VLOOKUP(ROWS($Z$3:Z992),$X$3:$Y$992,2,0),"")</f>
        <v>Činnosti ostatních organizací j. n.</v>
      </c>
    </row>
  </sheetData>
  <dataValidations count="1">
    <dataValidation type="list" allowBlank="1" showInputMessage="1" sqref="B20">
      <formula1>validation_list2</formula1>
    </dataValidation>
  </dataValidations>
  <pageMargins left="0.7" right="0.7" top="0.787401575" bottom="0.787401575" header="0.3" footer="0.3"/>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F99"/>
    <pageSetUpPr fitToPage="1"/>
  </sheetPr>
  <dimension ref="A1:BL164"/>
  <sheetViews>
    <sheetView workbookViewId="0" topLeftCell="A1">
      <selection pane="topLeft" activeCell="A6" sqref="A6:F6"/>
    </sheetView>
  </sheetViews>
  <sheetFormatPr defaultRowHeight="12.75"/>
  <cols>
    <col min="1" max="1" width="21.7142857142857" customWidth="1"/>
    <col min="2" max="32" width="3.28571428571429" customWidth="1"/>
    <col min="33" max="64" width="9.14285714285714" style="29"/>
  </cols>
  <sheetData>
    <row r="1" spans="1:32" ht="18">
      <c r="A1" s="349"/>
      <c r="B1" s="1695" t="s">
        <v>3928</v>
      </c>
      <c r="C1" s="1696"/>
      <c r="D1" s="1696"/>
      <c r="E1" s="1696"/>
      <c r="F1" s="1696"/>
      <c r="G1" s="1696"/>
      <c r="H1" s="1696"/>
      <c r="I1" s="1696"/>
      <c r="J1" s="1696"/>
      <c r="K1" s="1696"/>
      <c r="L1" s="1696"/>
      <c r="M1" s="1696"/>
      <c r="N1" s="1696"/>
      <c r="O1" s="1696"/>
      <c r="P1" s="1696"/>
      <c r="Q1" s="1696"/>
      <c r="R1" s="1696"/>
      <c r="S1" s="1696"/>
      <c r="T1" s="1696"/>
      <c r="U1" s="1696"/>
      <c r="V1" s="1696"/>
      <c r="W1" s="1696"/>
      <c r="X1" s="1696"/>
      <c r="Y1" s="1696"/>
      <c r="Z1" s="1696"/>
      <c r="AA1" s="1722"/>
      <c r="AB1" s="1722"/>
      <c r="AC1" s="1722"/>
      <c r="AD1" s="1722"/>
      <c r="AE1" s="1722"/>
      <c r="AF1" s="322"/>
    </row>
    <row r="2" spans="1:32" ht="12.75">
      <c r="A2" s="369"/>
      <c r="B2" s="1697" t="s">
        <v>302</v>
      </c>
      <c r="C2" s="1696"/>
      <c r="D2" s="1696"/>
      <c r="E2" s="1696"/>
      <c r="F2" s="1696"/>
      <c r="G2" s="1696"/>
      <c r="H2" s="1696"/>
      <c r="I2" s="1696"/>
      <c r="J2" s="1696"/>
      <c r="K2" s="1696"/>
      <c r="L2" s="1696"/>
      <c r="M2" s="1696"/>
      <c r="N2" s="1696"/>
      <c r="O2" s="1696"/>
      <c r="P2" s="1696"/>
      <c r="Q2" s="1696"/>
      <c r="R2" s="1696"/>
      <c r="S2" s="1696"/>
      <c r="T2" s="1696"/>
      <c r="U2" s="1696"/>
      <c r="V2" s="1696"/>
      <c r="W2" s="1696"/>
      <c r="X2" s="1696"/>
      <c r="Y2" s="1696"/>
      <c r="Z2" s="1696"/>
      <c r="AA2" s="1722"/>
      <c r="AB2" s="1722"/>
      <c r="AC2" s="1722"/>
      <c r="AD2" s="1722"/>
      <c r="AE2" s="1722"/>
      <c r="AF2" s="322"/>
    </row>
    <row r="3" spans="1:32" ht="12.75">
      <c r="A3" s="1696"/>
      <c r="B3" s="1696"/>
      <c r="C3" s="1696"/>
      <c r="D3" s="323"/>
      <c r="E3" s="1699"/>
      <c r="F3" s="1699"/>
      <c r="G3" s="1699"/>
      <c r="H3" s="1699"/>
      <c r="I3" s="1699"/>
      <c r="J3" s="370"/>
      <c r="K3" s="370" t="s">
        <v>400</v>
      </c>
      <c r="L3" s="370"/>
      <c r="M3" s="370"/>
      <c r="N3" s="370"/>
      <c r="O3" s="370"/>
      <c r="P3" s="370"/>
      <c r="Q3" s="370" t="s">
        <v>401</v>
      </c>
      <c r="R3" s="370"/>
      <c r="S3" s="1698"/>
      <c r="T3" s="1698"/>
      <c r="U3" s="1698"/>
      <c r="V3" s="1698"/>
      <c r="W3" s="1698"/>
      <c r="X3" s="370"/>
      <c r="Y3" s="370"/>
      <c r="Z3" s="370"/>
      <c r="AA3" s="1700"/>
      <c r="AB3" s="1700"/>
      <c r="AC3" s="1700"/>
      <c r="AD3" s="1700"/>
      <c r="AE3" s="1700"/>
      <c r="AF3" s="371"/>
    </row>
    <row r="4" spans="1:32" ht="12.95" customHeight="1">
      <c r="A4" s="1700"/>
      <c r="B4" s="1700"/>
      <c r="C4" s="1700"/>
      <c r="D4" s="1700"/>
      <c r="E4" s="1700"/>
      <c r="F4" s="1700"/>
      <c r="G4" s="1700"/>
      <c r="H4" s="1700"/>
      <c r="I4" s="1700"/>
      <c r="J4" s="1701"/>
      <c r="K4" s="326" t="s">
        <v>316</v>
      </c>
      <c r="L4" s="1660"/>
      <c r="M4" s="1661"/>
      <c r="N4" s="1661"/>
      <c r="O4" s="1661"/>
      <c r="P4" s="1662"/>
      <c r="Q4" s="326"/>
      <c r="R4" s="1711"/>
      <c r="S4" s="1712"/>
      <c r="T4" s="1712"/>
      <c r="U4" s="1712"/>
      <c r="V4" s="1712"/>
      <c r="W4" s="1712"/>
      <c r="X4" s="1712"/>
      <c r="Y4" s="1712"/>
      <c r="Z4" s="1712"/>
      <c r="AA4" s="1712"/>
      <c r="AB4" s="1712"/>
      <c r="AC4" s="1712"/>
      <c r="AD4" s="1712"/>
      <c r="AE4" s="1712"/>
      <c r="AF4" s="1712"/>
    </row>
    <row r="5" spans="1:32" ht="12.95" customHeight="1">
      <c r="A5" s="1768" t="s">
        <v>3711</v>
      </c>
      <c r="B5" s="1768"/>
      <c r="C5" s="1768"/>
      <c r="D5" s="1768"/>
      <c r="E5" s="1768"/>
      <c r="F5" s="1768"/>
      <c r="G5" s="1777"/>
      <c r="H5" s="1636"/>
      <c r="I5" s="1636"/>
      <c r="J5" s="1636"/>
      <c r="K5" s="1636"/>
      <c r="L5" s="1636"/>
      <c r="M5" s="1636"/>
      <c r="N5" s="1636"/>
      <c r="O5" s="1636"/>
      <c r="P5" s="1636"/>
      <c r="Q5" s="1636"/>
      <c r="R5" s="1636"/>
      <c r="S5" s="1636"/>
      <c r="T5" s="1636"/>
      <c r="U5" s="1778" t="s">
        <v>3712</v>
      </c>
      <c r="V5" s="1778"/>
      <c r="W5" s="1779"/>
      <c r="X5" s="1779"/>
      <c r="Y5" s="1779"/>
      <c r="Z5" s="1780"/>
      <c r="AA5" s="1780"/>
      <c r="AB5" s="1780"/>
      <c r="AC5" s="1780"/>
      <c r="AD5" s="1780"/>
      <c r="AE5" s="1780"/>
      <c r="AF5" s="1780"/>
    </row>
    <row r="6" spans="1:32" ht="18" customHeight="1">
      <c r="A6" s="1769" t="str">
        <f>+CONCATENATE(ZAKL_DATA!B21)</f>
        <v/>
      </c>
      <c r="B6" s="1770"/>
      <c r="C6" s="1770"/>
      <c r="D6" s="1770"/>
      <c r="E6" s="1770"/>
      <c r="F6" s="1771"/>
      <c r="G6" s="1636"/>
      <c r="H6" s="1636"/>
      <c r="I6" s="1636"/>
      <c r="J6" s="1636"/>
      <c r="K6" s="1636"/>
      <c r="L6" s="1636"/>
      <c r="M6" s="1636"/>
      <c r="N6" s="1636"/>
      <c r="O6" s="1636"/>
      <c r="P6" s="1636"/>
      <c r="Q6" s="1636"/>
      <c r="R6" s="1636"/>
      <c r="S6" s="1636"/>
      <c r="T6" s="1636"/>
      <c r="U6" s="1772" t="str">
        <f>+CONCATENATE(ZAKL_DATA!B11)</f>
        <v/>
      </c>
      <c r="V6" s="1773"/>
      <c r="W6" s="1774"/>
      <c r="X6" s="1774"/>
      <c r="Y6" s="1774"/>
      <c r="Z6" s="1775"/>
      <c r="AA6" s="1775"/>
      <c r="AB6" s="1775"/>
      <c r="AC6" s="1775"/>
      <c r="AD6" s="1775"/>
      <c r="AE6" s="1775"/>
      <c r="AF6" s="1776"/>
    </row>
    <row r="7" spans="1:32" ht="9.95" customHeight="1">
      <c r="A7" s="1702"/>
      <c r="B7" s="1703"/>
      <c r="C7" s="1703"/>
      <c r="D7" s="1703"/>
      <c r="E7" s="1703"/>
      <c r="F7" s="1703"/>
      <c r="G7" s="1703"/>
      <c r="H7" s="1703"/>
      <c r="I7" s="1703"/>
      <c r="J7" s="1703"/>
      <c r="K7" s="1703"/>
      <c r="L7" s="1703"/>
      <c r="M7" s="1703"/>
      <c r="N7" s="1703"/>
      <c r="O7" s="1703"/>
      <c r="P7" s="1703"/>
      <c r="Q7" s="1703"/>
      <c r="R7" s="1703"/>
      <c r="S7" s="1703"/>
      <c r="T7" s="1703"/>
      <c r="U7" s="1703"/>
      <c r="V7" s="1703"/>
      <c r="W7" s="1703"/>
      <c r="X7" s="1703"/>
      <c r="Y7" s="1703"/>
      <c r="Z7" s="1703"/>
      <c r="AA7" s="1703"/>
      <c r="AB7" s="1703"/>
      <c r="AC7" s="1703"/>
      <c r="AD7" s="1703"/>
      <c r="AE7" s="1703"/>
      <c r="AF7" s="1703"/>
    </row>
    <row r="8" spans="1:32" ht="12.75">
      <c r="A8" s="1704" t="s">
        <v>375</v>
      </c>
      <c r="B8" s="1705"/>
      <c r="C8" s="1705"/>
      <c r="D8" s="1705"/>
      <c r="E8" s="1705"/>
      <c r="F8" s="1705"/>
      <c r="G8" s="1705"/>
      <c r="H8" s="1705"/>
      <c r="I8" s="1705"/>
      <c r="J8" s="1705"/>
      <c r="K8" s="1705"/>
      <c r="L8" s="1705"/>
      <c r="M8" s="1705"/>
      <c r="N8" s="1705"/>
      <c r="O8" s="1705"/>
      <c r="P8" s="1705"/>
      <c r="Q8" s="1705"/>
      <c r="R8" s="1705"/>
      <c r="S8" s="1705"/>
      <c r="T8" s="1705"/>
      <c r="U8" s="1705"/>
      <c r="V8" s="1705"/>
      <c r="W8" s="1705"/>
      <c r="X8" s="1705"/>
      <c r="Y8" s="1705"/>
      <c r="Z8" s="1705"/>
      <c r="AA8" s="1706"/>
      <c r="AB8" s="1706"/>
      <c r="AC8" s="1706"/>
      <c r="AD8" s="1706"/>
      <c r="AE8" s="1706"/>
      <c r="AF8" s="1707"/>
    </row>
    <row r="9" spans="1:32" ht="11.1" customHeight="1">
      <c r="A9" s="1614" t="s">
        <v>198</v>
      </c>
      <c r="B9" s="1686"/>
      <c r="C9" s="1686"/>
      <c r="D9" s="1686"/>
      <c r="E9" s="1686"/>
      <c r="F9" s="1686"/>
      <c r="G9" s="355"/>
      <c r="H9" s="1686" t="s">
        <v>199</v>
      </c>
      <c r="I9" s="1686"/>
      <c r="J9" s="1686"/>
      <c r="K9" s="355"/>
      <c r="L9" s="355"/>
      <c r="M9" s="355"/>
      <c r="N9" s="355"/>
      <c r="O9" s="1686" t="s">
        <v>200</v>
      </c>
      <c r="P9" s="1686"/>
      <c r="Q9" s="1691"/>
      <c r="R9" s="1691"/>
      <c r="S9" s="1691"/>
      <c r="T9" s="355"/>
      <c r="U9" s="1686" t="s">
        <v>3765</v>
      </c>
      <c r="V9" s="1686"/>
      <c r="W9" s="1691"/>
      <c r="X9" s="1691"/>
      <c r="Y9" s="1691"/>
      <c r="Z9" s="356"/>
      <c r="AA9" s="1740" t="s">
        <v>3766</v>
      </c>
      <c r="AB9" s="1741"/>
      <c r="AC9" s="1741"/>
      <c r="AD9" s="1741"/>
      <c r="AE9" s="1741"/>
      <c r="AF9" s="1742"/>
    </row>
    <row r="10" spans="1:32" ht="18" customHeight="1">
      <c r="A10" s="1746">
        <f>+'DAP1'!B28</f>
        <v>0</v>
      </c>
      <c r="B10" s="1792"/>
      <c r="C10" s="1792"/>
      <c r="D10" s="1792"/>
      <c r="E10" s="1792"/>
      <c r="F10" s="1793"/>
      <c r="G10" s="358"/>
      <c r="H10" s="1746">
        <f>+'DAP1'!J28</f>
        <v>0</v>
      </c>
      <c r="I10" s="1747"/>
      <c r="J10" s="1747"/>
      <c r="K10" s="1748"/>
      <c r="L10" s="1748"/>
      <c r="M10" s="1749"/>
      <c r="N10" s="358"/>
      <c r="O10" s="1783" t="str">
        <f>+CONCATENATE(+ZAKL_DATA!B7)</f>
        <v/>
      </c>
      <c r="P10" s="1784"/>
      <c r="Q10" s="1785"/>
      <c r="R10" s="1785"/>
      <c r="S10" s="1786"/>
      <c r="T10" s="389"/>
      <c r="U10" s="1756">
        <f>+ZAKL_DATA!B8</f>
        <v>0</v>
      </c>
      <c r="V10" s="1757"/>
      <c r="W10" s="1758"/>
      <c r="X10" s="1758"/>
      <c r="Y10" s="1759"/>
      <c r="Z10" s="358"/>
      <c r="AA10" s="1760" t="str">
        <f>+'DAP1'!A9</f>
        <v/>
      </c>
      <c r="AB10" s="1761"/>
      <c r="AC10" s="1761"/>
      <c r="AD10" s="1761"/>
      <c r="AE10" s="1761"/>
      <c r="AF10" s="1762"/>
    </row>
    <row r="11" spans="1:32" ht="11.1" customHeight="1">
      <c r="A11" s="1781" t="s">
        <v>201</v>
      </c>
      <c r="B11" s="1725"/>
      <c r="C11" s="1725"/>
      <c r="D11" s="1725"/>
      <c r="E11" s="1725"/>
      <c r="F11" s="1725"/>
      <c r="G11" s="1725"/>
      <c r="H11" s="1725"/>
      <c r="I11" s="386"/>
      <c r="J11" s="1754" t="s">
        <v>161</v>
      </c>
      <c r="K11" s="1755"/>
      <c r="L11" s="1755"/>
      <c r="M11" s="1755"/>
      <c r="N11" s="355"/>
      <c r="O11" s="1729" t="s">
        <v>47</v>
      </c>
      <c r="P11" s="1729"/>
      <c r="Q11" s="1729"/>
      <c r="R11" s="1729"/>
      <c r="S11" s="1729"/>
      <c r="T11" s="1753"/>
      <c r="U11" s="1730"/>
      <c r="V11" s="1730"/>
      <c r="W11" s="1730"/>
      <c r="X11" s="1730"/>
      <c r="Y11" s="1730"/>
      <c r="Z11" s="355"/>
      <c r="AA11" s="1750" t="s">
        <v>52</v>
      </c>
      <c r="AB11" s="1751"/>
      <c r="AC11" s="1751"/>
      <c r="AD11" s="1751"/>
      <c r="AE11" s="1751"/>
      <c r="AF11" s="1752"/>
    </row>
    <row r="12" spans="1:32" ht="18" customHeight="1">
      <c r="A12" s="1794">
        <f>+'DAP1'!G31</f>
        <v>0</v>
      </c>
      <c r="B12" s="1730"/>
      <c r="C12" s="1730"/>
      <c r="D12" s="1730"/>
      <c r="E12" s="1730"/>
      <c r="F12" s="1730"/>
      <c r="G12" s="1730"/>
      <c r="H12" s="950"/>
      <c r="I12" s="358"/>
      <c r="J12" s="1794">
        <f>+'DAP1'!L31</f>
        <v>0</v>
      </c>
      <c r="K12" s="1730"/>
      <c r="L12" s="1730"/>
      <c r="M12" s="950"/>
      <c r="N12" s="372"/>
      <c r="O12" s="1787">
        <f>+'DAP1'!B31</f>
        <v>0</v>
      </c>
      <c r="P12" s="1788"/>
      <c r="Q12" s="1789"/>
      <c r="R12" s="1789"/>
      <c r="S12" s="1789"/>
      <c r="T12" s="1790"/>
      <c r="U12" s="1790"/>
      <c r="V12" s="1790"/>
      <c r="W12" s="1790"/>
      <c r="X12" s="1790"/>
      <c r="Y12" s="1791"/>
      <c r="Z12" s="363"/>
      <c r="AA12" s="1743">
        <f>+ZAKL_DATA!B19</f>
        <v>0</v>
      </c>
      <c r="AB12" s="1744"/>
      <c r="AC12" s="1744"/>
      <c r="AD12" s="1744"/>
      <c r="AE12" s="1744"/>
      <c r="AF12" s="1745"/>
    </row>
    <row r="13" spans="1:32" ht="11.1" customHeight="1">
      <c r="A13" s="383" t="s">
        <v>48</v>
      </c>
      <c r="B13" s="355"/>
      <c r="C13" s="1724" t="s">
        <v>49</v>
      </c>
      <c r="D13" s="1725"/>
      <c r="E13" s="1725"/>
      <c r="F13" s="1725"/>
      <c r="G13" s="1725"/>
      <c r="H13" s="1725"/>
      <c r="I13" s="1725"/>
      <c r="J13" s="1725"/>
      <c r="K13" s="1725"/>
      <c r="L13" s="1725"/>
      <c r="M13" s="1725"/>
      <c r="N13" s="570"/>
      <c r="O13" s="1729" t="s">
        <v>3624</v>
      </c>
      <c r="P13" s="1730"/>
      <c r="Q13" s="1730"/>
      <c r="R13" s="1730"/>
      <c r="S13" s="1730"/>
      <c r="T13" s="1730"/>
      <c r="U13" s="1730"/>
      <c r="V13" s="1730"/>
      <c r="W13" s="1730"/>
      <c r="X13" s="1730"/>
      <c r="Y13" s="1730"/>
      <c r="Z13" s="355"/>
      <c r="AA13" s="1686" t="s">
        <v>3625</v>
      </c>
      <c r="AB13" s="1691"/>
      <c r="AC13" s="1691"/>
      <c r="AD13" s="1691"/>
      <c r="AE13" s="1691"/>
      <c r="AF13" s="1717"/>
    </row>
    <row r="14" spans="1:32" ht="18" customHeight="1">
      <c r="A14" s="571" t="str">
        <f>+CONCATENATE(ZAKL_DATA!B20)</f>
        <v/>
      </c>
      <c r="B14" s="358"/>
      <c r="C14" s="1726" t="str">
        <f>+CONCATENATE(ZAKL_DATA!B25)</f>
        <v/>
      </c>
      <c r="D14" s="1727"/>
      <c r="E14" s="1727"/>
      <c r="F14" s="1727"/>
      <c r="G14" s="1727"/>
      <c r="H14" s="1727"/>
      <c r="I14" s="1727"/>
      <c r="J14" s="1727"/>
      <c r="K14" s="1727"/>
      <c r="L14" s="1727"/>
      <c r="M14" s="1727"/>
      <c r="N14" s="572"/>
      <c r="O14" s="1726" t="str">
        <f>+CONCATENATE(ZAKL_DATA!B27)</f>
        <v/>
      </c>
      <c r="P14" s="1727"/>
      <c r="Q14" s="1727"/>
      <c r="R14" s="1727"/>
      <c r="S14" s="1727"/>
      <c r="T14" s="1727"/>
      <c r="U14" s="1727"/>
      <c r="V14" s="1727"/>
      <c r="W14" s="1727"/>
      <c r="X14" s="1727"/>
      <c r="Y14" s="1728"/>
      <c r="Z14" s="359"/>
      <c r="AA14" s="1692" t="str">
        <f>+CONCATENATE(ZAKL_DATA!B28)</f>
        <v/>
      </c>
      <c r="AB14" s="1693"/>
      <c r="AC14" s="1693"/>
      <c r="AD14" s="1693"/>
      <c r="AE14" s="1693"/>
      <c r="AF14" s="1694"/>
    </row>
    <row r="15" spans="1:32" ht="5.1" customHeight="1">
      <c r="A15" s="1763"/>
      <c r="B15" s="1764"/>
      <c r="C15" s="1764"/>
      <c r="D15" s="1764"/>
      <c r="E15" s="1764"/>
      <c r="F15" s="1764"/>
      <c r="G15" s="1764"/>
      <c r="H15" s="1764"/>
      <c r="I15" s="1764"/>
      <c r="J15" s="1764"/>
      <c r="K15" s="1764"/>
      <c r="L15" s="1764"/>
      <c r="M15" s="1764"/>
      <c r="N15" s="1764"/>
      <c r="O15" s="1764"/>
      <c r="P15" s="1764"/>
      <c r="Q15" s="1764"/>
      <c r="R15" s="1764"/>
      <c r="S15" s="1764"/>
      <c r="T15" s="1764"/>
      <c r="U15" s="1764"/>
      <c r="V15" s="1764"/>
      <c r="W15" s="1764"/>
      <c r="X15" s="1764"/>
      <c r="Y15" s="1764"/>
      <c r="Z15" s="1764"/>
      <c r="AA15" s="1764"/>
      <c r="AB15" s="1764"/>
      <c r="AC15" s="1764"/>
      <c r="AD15" s="1764"/>
      <c r="AE15" s="1764"/>
      <c r="AF15" s="1765"/>
    </row>
    <row r="16" spans="1:32" ht="12.75">
      <c r="A16" s="1704" t="s">
        <v>376</v>
      </c>
      <c r="B16" s="1705"/>
      <c r="C16" s="1705"/>
      <c r="D16" s="1705"/>
      <c r="E16" s="1705"/>
      <c r="F16" s="1705"/>
      <c r="G16" s="1705"/>
      <c r="H16" s="1705"/>
      <c r="I16" s="1705"/>
      <c r="J16" s="1705"/>
      <c r="K16" s="1705"/>
      <c r="L16" s="1705"/>
      <c r="M16" s="1705"/>
      <c r="N16" s="1705"/>
      <c r="O16" s="1705"/>
      <c r="P16" s="1705"/>
      <c r="Q16" s="1705"/>
      <c r="R16" s="1705"/>
      <c r="S16" s="1705"/>
      <c r="T16" s="1705"/>
      <c r="U16" s="1705"/>
      <c r="V16" s="1705"/>
      <c r="W16" s="1705"/>
      <c r="X16" s="1705"/>
      <c r="Y16" s="1705"/>
      <c r="Z16" s="1705"/>
      <c r="AA16" s="1705"/>
      <c r="AB16" s="1705"/>
      <c r="AC16" s="1705"/>
      <c r="AD16" s="1705"/>
      <c r="AE16" s="1705"/>
      <c r="AF16" s="1719"/>
    </row>
    <row r="17" spans="1:32" ht="9.95" customHeight="1">
      <c r="A17" s="373"/>
      <c r="B17" s="374"/>
      <c r="C17" s="374"/>
      <c r="D17" s="374"/>
      <c r="E17" s="374"/>
      <c r="F17" s="354" t="s">
        <v>294</v>
      </c>
      <c r="G17" s="354"/>
      <c r="H17" s="354" t="s">
        <v>178</v>
      </c>
      <c r="I17" s="363"/>
      <c r="J17" s="1714"/>
      <c r="K17" s="1714"/>
      <c r="L17" s="1714"/>
      <c r="M17" s="1714"/>
      <c r="N17" s="1715"/>
      <c r="O17" s="1715"/>
      <c r="P17" s="1715"/>
      <c r="Q17" s="1715"/>
      <c r="R17" s="1715"/>
      <c r="S17" s="1715"/>
      <c r="T17" s="1715"/>
      <c r="U17" s="1715"/>
      <c r="V17" s="1715"/>
      <c r="W17" s="1715"/>
      <c r="X17" s="1715"/>
      <c r="Y17" s="1715"/>
      <c r="Z17" s="1715"/>
      <c r="AA17" s="1715"/>
      <c r="AB17" s="1715"/>
      <c r="AC17" s="1715"/>
      <c r="AD17" s="1715"/>
      <c r="AE17" s="1715"/>
      <c r="AF17" s="1716"/>
    </row>
    <row r="18" spans="1:32" ht="20.1" customHeight="1">
      <c r="A18" s="1669" t="s">
        <v>3626</v>
      </c>
      <c r="B18" s="1670"/>
      <c r="C18" s="1670"/>
      <c r="D18" s="1670"/>
      <c r="E18" s="1671"/>
      <c r="F18" s="326"/>
      <c r="G18" s="362"/>
      <c r="H18" s="325" t="s">
        <v>316</v>
      </c>
      <c r="I18" s="359"/>
      <c r="J18" s="1682" t="s">
        <v>3629</v>
      </c>
      <c r="K18" s="1670"/>
      <c r="L18" s="1670"/>
      <c r="M18" s="1670"/>
      <c r="N18" s="1670"/>
      <c r="O18" s="1670"/>
      <c r="P18" s="1670"/>
      <c r="Q18" s="1670"/>
      <c r="R18" s="1670"/>
      <c r="S18" s="1670"/>
      <c r="T18" s="1670"/>
      <c r="U18" s="1672"/>
      <c r="V18" s="1673"/>
      <c r="W18" s="1720"/>
      <c r="X18" s="1720"/>
      <c r="Y18" s="1721"/>
      <c r="Z18" s="1737"/>
      <c r="AA18" s="1738"/>
      <c r="AB18" s="1738"/>
      <c r="AC18" s="1738"/>
      <c r="AD18" s="1738"/>
      <c r="AE18" s="1738"/>
      <c r="AF18" s="1739"/>
    </row>
    <row r="19" spans="1:32" ht="9.95" customHeight="1">
      <c r="A19" s="384"/>
      <c r="B19" s="385"/>
      <c r="C19" s="385"/>
      <c r="D19" s="385"/>
      <c r="E19" s="385"/>
      <c r="F19" s="354" t="s">
        <v>294</v>
      </c>
      <c r="G19" s="354"/>
      <c r="H19" s="354" t="s">
        <v>178</v>
      </c>
      <c r="I19" s="363"/>
      <c r="J19" s="1713"/>
      <c r="K19" s="1713"/>
      <c r="L19" s="1713"/>
      <c r="M19" s="1713"/>
      <c r="N19" s="1713"/>
      <c r="O19" s="1713"/>
      <c r="P19" s="1713"/>
      <c r="Q19" s="1713"/>
      <c r="R19" s="1713"/>
      <c r="S19" s="1713"/>
      <c r="T19" s="1713"/>
      <c r="U19" s="1766" t="s">
        <v>3767</v>
      </c>
      <c r="V19" s="1766"/>
      <c r="W19" s="357"/>
      <c r="X19" s="357"/>
      <c r="Y19" s="357"/>
      <c r="Z19" s="357"/>
      <c r="AA19" s="1657" t="s">
        <v>3768</v>
      </c>
      <c r="AB19" s="1657"/>
      <c r="AC19" s="1657"/>
      <c r="AD19" s="1657"/>
      <c r="AE19" s="1657"/>
      <c r="AF19" s="1767"/>
    </row>
    <row r="20" spans="1:32" ht="20.1" customHeight="1">
      <c r="A20" s="1669" t="s">
        <v>3627</v>
      </c>
      <c r="B20" s="1670"/>
      <c r="C20" s="1670"/>
      <c r="D20" s="1670"/>
      <c r="E20" s="1671"/>
      <c r="F20" s="326" t="s">
        <v>316</v>
      </c>
      <c r="G20" s="362"/>
      <c r="H20" s="325"/>
      <c r="I20" s="359"/>
      <c r="J20" s="1682" t="s">
        <v>3630</v>
      </c>
      <c r="K20" s="1670"/>
      <c r="L20" s="1670"/>
      <c r="M20" s="1670"/>
      <c r="N20" s="1670"/>
      <c r="O20" s="1670"/>
      <c r="P20" s="1670"/>
      <c r="Q20" s="1670"/>
      <c r="R20" s="1670"/>
      <c r="S20" s="1670"/>
      <c r="T20" s="1670"/>
      <c r="U20" s="1672"/>
      <c r="V20" s="1673"/>
      <c r="W20" s="1720"/>
      <c r="X20" s="1720"/>
      <c r="Y20" s="1721"/>
      <c r="Z20" s="367"/>
      <c r="AA20" s="1672"/>
      <c r="AB20" s="1673"/>
      <c r="AC20" s="1673"/>
      <c r="AD20" s="1673"/>
      <c r="AE20" s="1673"/>
      <c r="AF20" s="1674"/>
    </row>
    <row r="21" spans="1:32" ht="9.95" customHeight="1">
      <c r="A21" s="384"/>
      <c r="B21" s="385"/>
      <c r="C21" s="385"/>
      <c r="D21" s="385"/>
      <c r="E21" s="385"/>
      <c r="F21" s="354" t="s">
        <v>294</v>
      </c>
      <c r="G21" s="354"/>
      <c r="H21" s="354" t="s">
        <v>178</v>
      </c>
      <c r="I21" s="363"/>
      <c r="J21" s="1713"/>
      <c r="K21" s="1713"/>
      <c r="L21" s="1713"/>
      <c r="M21" s="1713"/>
      <c r="N21" s="1713"/>
      <c r="O21" s="1713"/>
      <c r="P21" s="1713"/>
      <c r="Q21" s="1713"/>
      <c r="R21" s="1713"/>
      <c r="S21" s="1713"/>
      <c r="T21" s="1713"/>
      <c r="U21" s="354" t="s">
        <v>294</v>
      </c>
      <c r="V21" s="1714"/>
      <c r="W21" s="1714"/>
      <c r="X21" s="1714"/>
      <c r="Y21" s="1714"/>
      <c r="Z21" s="1715"/>
      <c r="AA21" s="354" t="s">
        <v>178</v>
      </c>
      <c r="AB21" s="1714"/>
      <c r="AC21" s="1714"/>
      <c r="AD21" s="1714"/>
      <c r="AE21" s="1714"/>
      <c r="AF21" s="1716"/>
    </row>
    <row r="22" spans="1:32" ht="20.1" customHeight="1">
      <c r="A22" s="1669" t="s">
        <v>3628</v>
      </c>
      <c r="B22" s="1670"/>
      <c r="C22" s="1670"/>
      <c r="D22" s="1670"/>
      <c r="E22" s="1671"/>
      <c r="F22" s="326"/>
      <c r="G22" s="362"/>
      <c r="H22" s="325" t="s">
        <v>316</v>
      </c>
      <c r="I22" s="359"/>
      <c r="J22" s="1682" t="s">
        <v>3631</v>
      </c>
      <c r="K22" s="1670"/>
      <c r="L22" s="1670"/>
      <c r="M22" s="1670"/>
      <c r="N22" s="1670"/>
      <c r="O22" s="1670"/>
      <c r="P22" s="1670"/>
      <c r="Q22" s="1670"/>
      <c r="R22" s="1670"/>
      <c r="S22" s="1670"/>
      <c r="T22" s="1718"/>
      <c r="U22" s="326"/>
      <c r="V22" s="1668"/>
      <c r="W22" s="1668"/>
      <c r="X22" s="1668"/>
      <c r="Y22" s="1668"/>
      <c r="Z22" s="1668"/>
      <c r="AA22" s="325" t="s">
        <v>316</v>
      </c>
      <c r="AB22" s="1691"/>
      <c r="AC22" s="1691"/>
      <c r="AD22" s="1691"/>
      <c r="AE22" s="1691"/>
      <c r="AF22" s="1717"/>
    </row>
    <row r="23" spans="1:32" ht="15" customHeight="1">
      <c r="A23" s="1704" t="s">
        <v>3632</v>
      </c>
      <c r="B23" s="1705"/>
      <c r="C23" s="1705"/>
      <c r="D23" s="1705"/>
      <c r="E23" s="1705"/>
      <c r="F23" s="1705"/>
      <c r="G23" s="1705"/>
      <c r="H23" s="1705"/>
      <c r="I23" s="1705"/>
      <c r="J23" s="1705"/>
      <c r="K23" s="1705"/>
      <c r="L23" s="1705"/>
      <c r="M23" s="1705"/>
      <c r="N23" s="1705"/>
      <c r="O23" s="1705"/>
      <c r="P23" s="1705"/>
      <c r="Q23" s="1705"/>
      <c r="R23" s="1705"/>
      <c r="S23" s="1705"/>
      <c r="T23" s="1705"/>
      <c r="U23" s="1705"/>
      <c r="V23" s="1705"/>
      <c r="W23" s="1705"/>
      <c r="X23" s="1705"/>
      <c r="Y23" s="1705"/>
      <c r="Z23" s="1705"/>
      <c r="AA23" s="1705"/>
      <c r="AB23" s="1705"/>
      <c r="AC23" s="1705"/>
      <c r="AD23" s="1705"/>
      <c r="AE23" s="1705"/>
      <c r="AF23" s="1719"/>
    </row>
    <row r="24" spans="1:32" ht="4.5" customHeight="1">
      <c r="A24" s="1708"/>
      <c r="B24" s="1709"/>
      <c r="C24" s="1709"/>
      <c r="D24" s="1709"/>
      <c r="E24" s="1709"/>
      <c r="F24" s="1709"/>
      <c r="G24" s="1709"/>
      <c r="H24" s="1709"/>
      <c r="I24" s="1709"/>
      <c r="J24" s="1709"/>
      <c r="K24" s="1709"/>
      <c r="L24" s="1709"/>
      <c r="M24" s="1709"/>
      <c r="N24" s="1709"/>
      <c r="O24" s="1709"/>
      <c r="P24" s="1709"/>
      <c r="Q24" s="1709"/>
      <c r="R24" s="1709"/>
      <c r="S24" s="1709"/>
      <c r="T24" s="1709"/>
      <c r="U24" s="1709"/>
      <c r="V24" s="1709"/>
      <c r="W24" s="1709"/>
      <c r="X24" s="1709"/>
      <c r="Y24" s="1709"/>
      <c r="Z24" s="1709"/>
      <c r="AA24" s="1709"/>
      <c r="AB24" s="1709"/>
      <c r="AC24" s="1709"/>
      <c r="AD24" s="1709"/>
      <c r="AE24" s="1709"/>
      <c r="AF24" s="1710"/>
    </row>
    <row r="25" spans="1:32" ht="15" customHeight="1">
      <c r="A25" s="1675" t="s">
        <v>3929</v>
      </c>
      <c r="B25" s="1676"/>
      <c r="C25" s="1676"/>
      <c r="D25" s="1676"/>
      <c r="E25" s="1676"/>
      <c r="F25" s="1676"/>
      <c r="G25" s="1676"/>
      <c r="H25" s="1676"/>
      <c r="I25" s="1676"/>
      <c r="J25" s="1676"/>
      <c r="K25" s="1676"/>
      <c r="L25" s="1676"/>
      <c r="M25" s="1676"/>
      <c r="N25" s="1677"/>
      <c r="O25" s="326" t="s">
        <v>316</v>
      </c>
      <c r="P25" s="1678" t="s">
        <v>202</v>
      </c>
      <c r="Q25" s="1676"/>
      <c r="R25" s="1676"/>
      <c r="S25" s="1676"/>
      <c r="T25" s="1677"/>
      <c r="U25" s="326"/>
      <c r="V25" s="1678" t="s">
        <v>203</v>
      </c>
      <c r="W25" s="1676"/>
      <c r="X25" s="1676"/>
      <c r="Y25" s="1676"/>
      <c r="Z25" s="1679"/>
      <c r="AA25" s="326"/>
      <c r="AB25" s="1676" t="s">
        <v>204</v>
      </c>
      <c r="AC25" s="1676"/>
      <c r="AD25" s="1676"/>
      <c r="AE25" s="1676"/>
      <c r="AF25" s="1667"/>
    </row>
    <row r="26" spans="1:32" ht="10.5" customHeight="1">
      <c r="A26" s="1614"/>
      <c r="B26" s="1686"/>
      <c r="C26" s="1686"/>
      <c r="D26" s="1686"/>
      <c r="E26" s="1686"/>
      <c r="F26" s="1686"/>
      <c r="G26" s="354">
        <v>1</v>
      </c>
      <c r="H26" s="354"/>
      <c r="I26" s="354">
        <v>2</v>
      </c>
      <c r="J26" s="354"/>
      <c r="K26" s="354">
        <v>3</v>
      </c>
      <c r="L26" s="354"/>
      <c r="M26" s="354">
        <v>4</v>
      </c>
      <c r="N26" s="354"/>
      <c r="O26" s="354">
        <v>5</v>
      </c>
      <c r="P26" s="354"/>
      <c r="Q26" s="354">
        <v>6</v>
      </c>
      <c r="R26" s="354"/>
      <c r="S26" s="354">
        <v>7</v>
      </c>
      <c r="T26" s="354"/>
      <c r="U26" s="354">
        <v>8</v>
      </c>
      <c r="V26" s="354"/>
      <c r="W26" s="354">
        <v>9</v>
      </c>
      <c r="X26" s="354"/>
      <c r="Y26" s="354">
        <v>10</v>
      </c>
      <c r="Z26" s="354"/>
      <c r="AA26" s="354">
        <v>11</v>
      </c>
      <c r="AB26" s="354"/>
      <c r="AC26" s="354">
        <v>12</v>
      </c>
      <c r="AD26" s="1687" t="s">
        <v>297</v>
      </c>
      <c r="AE26" s="1688"/>
      <c r="AF26" s="1689"/>
    </row>
    <row r="27" spans="1:32" ht="15" customHeight="1">
      <c r="A27" s="1684" t="s">
        <v>157</v>
      </c>
      <c r="B27" s="1676"/>
      <c r="C27" s="1676"/>
      <c r="D27" s="1676"/>
      <c r="E27" s="1676"/>
      <c r="F27" s="1685"/>
      <c r="G27" s="326"/>
      <c r="H27" s="354"/>
      <c r="I27" s="326"/>
      <c r="J27" s="354"/>
      <c r="K27" s="326"/>
      <c r="L27" s="354"/>
      <c r="M27" s="326"/>
      <c r="N27" s="354"/>
      <c r="O27" s="326"/>
      <c r="P27" s="354"/>
      <c r="Q27" s="326"/>
      <c r="R27" s="354"/>
      <c r="S27" s="326"/>
      <c r="T27" s="354"/>
      <c r="U27" s="326"/>
      <c r="V27" s="354"/>
      <c r="W27" s="326"/>
      <c r="X27" s="354"/>
      <c r="Y27" s="326"/>
      <c r="Z27" s="354"/>
      <c r="AA27" s="326"/>
      <c r="AB27" s="354"/>
      <c r="AC27" s="326"/>
      <c r="AD27" s="354"/>
      <c r="AE27" s="326"/>
      <c r="AF27" s="365"/>
    </row>
    <row r="28" spans="1:32" ht="9.95" customHeight="1">
      <c r="A28" s="1684"/>
      <c r="B28" s="1676"/>
      <c r="C28" s="1676"/>
      <c r="D28" s="1676"/>
      <c r="E28" s="1676"/>
      <c r="F28" s="1676"/>
      <c r="G28" s="354">
        <v>1</v>
      </c>
      <c r="H28" s="354"/>
      <c r="I28" s="354">
        <v>2</v>
      </c>
      <c r="J28" s="354"/>
      <c r="K28" s="354">
        <v>3</v>
      </c>
      <c r="L28" s="354"/>
      <c r="M28" s="354">
        <v>4</v>
      </c>
      <c r="N28" s="354"/>
      <c r="O28" s="354">
        <v>5</v>
      </c>
      <c r="P28" s="354"/>
      <c r="Q28" s="354">
        <v>6</v>
      </c>
      <c r="R28" s="354"/>
      <c r="S28" s="354">
        <v>7</v>
      </c>
      <c r="T28" s="354"/>
      <c r="U28" s="354">
        <v>8</v>
      </c>
      <c r="V28" s="354"/>
      <c r="W28" s="354">
        <v>9</v>
      </c>
      <c r="X28" s="354"/>
      <c r="Y28" s="354">
        <v>10</v>
      </c>
      <c r="Z28" s="354"/>
      <c r="AA28" s="354">
        <v>11</v>
      </c>
      <c r="AB28" s="354"/>
      <c r="AC28" s="354">
        <v>12</v>
      </c>
      <c r="AD28" s="1687" t="s">
        <v>297</v>
      </c>
      <c r="AE28" s="1688"/>
      <c r="AF28" s="1689"/>
    </row>
    <row r="29" spans="1:32" ht="15" customHeight="1">
      <c r="A29" s="1684" t="s">
        <v>158</v>
      </c>
      <c r="B29" s="1676"/>
      <c r="C29" s="1676"/>
      <c r="D29" s="1676"/>
      <c r="E29" s="1676"/>
      <c r="F29" s="1685"/>
      <c r="G29" s="326"/>
      <c r="H29" s="354"/>
      <c r="I29" s="326"/>
      <c r="J29" s="354"/>
      <c r="K29" s="326"/>
      <c r="L29" s="354"/>
      <c r="M29" s="326"/>
      <c r="N29" s="354"/>
      <c r="O29" s="326"/>
      <c r="P29" s="354"/>
      <c r="Q29" s="326"/>
      <c r="R29" s="354"/>
      <c r="S29" s="326"/>
      <c r="T29" s="354"/>
      <c r="U29" s="326"/>
      <c r="V29" s="354"/>
      <c r="W29" s="326"/>
      <c r="X29" s="354"/>
      <c r="Y29" s="326"/>
      <c r="Z29" s="354"/>
      <c r="AA29" s="326"/>
      <c r="AB29" s="354"/>
      <c r="AC29" s="326"/>
      <c r="AD29" s="354"/>
      <c r="AE29" s="326"/>
      <c r="AF29" s="365"/>
    </row>
    <row r="30" spans="1:32" ht="4.5" customHeight="1">
      <c r="A30" s="1731"/>
      <c r="B30" s="1652"/>
      <c r="C30" s="1652"/>
      <c r="D30" s="1652"/>
      <c r="E30" s="1652"/>
      <c r="F30" s="1652"/>
      <c r="G30" s="1652"/>
      <c r="H30" s="1652"/>
      <c r="I30" s="1652"/>
      <c r="J30" s="1652"/>
      <c r="K30" s="1652"/>
      <c r="L30" s="1652"/>
      <c r="M30" s="1652"/>
      <c r="N30" s="1652"/>
      <c r="O30" s="1652"/>
      <c r="P30" s="1652"/>
      <c r="Q30" s="1652"/>
      <c r="R30" s="1652"/>
      <c r="S30" s="1652"/>
      <c r="T30" s="1652"/>
      <c r="U30" s="1652"/>
      <c r="V30" s="1652"/>
      <c r="W30" s="1652"/>
      <c r="X30" s="1652"/>
      <c r="Y30" s="1652"/>
      <c r="Z30" s="1652"/>
      <c r="AA30" s="1652"/>
      <c r="AB30" s="1652"/>
      <c r="AC30" s="1652"/>
      <c r="AD30" s="1652"/>
      <c r="AE30" s="1652"/>
      <c r="AF30" s="1732"/>
    </row>
    <row r="31" spans="1:32" ht="15" customHeight="1">
      <c r="A31" s="1704" t="s">
        <v>3633</v>
      </c>
      <c r="B31" s="1705"/>
      <c r="C31" s="1705"/>
      <c r="D31" s="1705"/>
      <c r="E31" s="1705"/>
      <c r="F31" s="1705"/>
      <c r="G31" s="1705"/>
      <c r="H31" s="1705"/>
      <c r="I31" s="1705"/>
      <c r="J31" s="1705"/>
      <c r="K31" s="1705"/>
      <c r="L31" s="1705"/>
      <c r="M31" s="1705"/>
      <c r="N31" s="1705"/>
      <c r="O31" s="1705"/>
      <c r="P31" s="1705"/>
      <c r="Q31" s="1705"/>
      <c r="R31" s="1705"/>
      <c r="S31" s="1705"/>
      <c r="T31" s="1705"/>
      <c r="U31" s="1705"/>
      <c r="V31" s="1705"/>
      <c r="W31" s="1705"/>
      <c r="X31" s="1705"/>
      <c r="Y31" s="1705"/>
      <c r="Z31" s="1705"/>
      <c r="AA31" s="1705"/>
      <c r="AB31" s="1705"/>
      <c r="AC31" s="1705"/>
      <c r="AD31" s="1705"/>
      <c r="AE31" s="1705"/>
      <c r="AF31" s="1719"/>
    </row>
    <row r="32" spans="1:32" ht="15" customHeight="1">
      <c r="A32" s="1663" t="s">
        <v>80</v>
      </c>
      <c r="B32" s="1664"/>
      <c r="C32" s="1664"/>
      <c r="D32" s="1664"/>
      <c r="E32" s="1664"/>
      <c r="F32" s="1665"/>
      <c r="G32" s="1665"/>
      <c r="H32" s="1665"/>
      <c r="I32" s="1665"/>
      <c r="J32" s="1665"/>
      <c r="K32" s="1665"/>
      <c r="L32" s="1665"/>
      <c r="M32" s="1665"/>
      <c r="N32" s="1665"/>
      <c r="O32" s="1665"/>
      <c r="P32" s="1665"/>
      <c r="Q32" s="1665"/>
      <c r="R32" s="1665"/>
      <c r="S32" s="1665"/>
      <c r="T32" s="1665"/>
      <c r="U32" s="1665"/>
      <c r="V32" s="1665"/>
      <c r="W32" s="1665"/>
      <c r="X32" s="1665"/>
      <c r="Y32" s="1665"/>
      <c r="Z32" s="1665"/>
      <c r="AA32" s="1665"/>
      <c r="AB32" s="1665"/>
      <c r="AC32" s="1665"/>
      <c r="AD32" s="1666"/>
      <c r="AE32" s="1666"/>
      <c r="AF32" s="1667"/>
    </row>
    <row r="33" spans="1:32" ht="18" customHeight="1">
      <c r="A33" s="1690" t="s">
        <v>156</v>
      </c>
      <c r="B33" s="1670"/>
      <c r="C33" s="1670"/>
      <c r="D33" s="1670"/>
      <c r="E33" s="1670"/>
      <c r="F33" s="858"/>
      <c r="G33" s="326"/>
      <c r="H33" s="1627"/>
      <c r="I33" s="1668"/>
      <c r="J33" s="1668"/>
      <c r="K33" s="1668"/>
      <c r="L33" s="1680" t="s">
        <v>159</v>
      </c>
      <c r="M33" s="1681"/>
      <c r="N33" s="1681"/>
      <c r="O33" s="1681"/>
      <c r="P33" s="1681"/>
      <c r="Q33" s="1681"/>
      <c r="R33" s="1681"/>
      <c r="S33" s="1681"/>
      <c r="T33" s="1681"/>
      <c r="U33" s="1681"/>
      <c r="V33" s="1681"/>
      <c r="W33" s="1681"/>
      <c r="X33" s="1681"/>
      <c r="Y33" s="1681"/>
      <c r="Z33" s="1681"/>
      <c r="AA33" s="1681"/>
      <c r="AB33" s="1681"/>
      <c r="AC33" s="1681"/>
      <c r="AD33" s="858"/>
      <c r="AE33" s="326"/>
      <c r="AF33" s="361"/>
    </row>
    <row r="34" spans="1:32" ht="3.95" customHeight="1">
      <c r="A34" s="1634"/>
      <c r="B34" s="1247"/>
      <c r="C34" s="1247"/>
      <c r="D34" s="1247"/>
      <c r="E34" s="1247"/>
      <c r="F34" s="1247"/>
      <c r="G34" s="1247"/>
      <c r="H34" s="1247"/>
      <c r="I34" s="1247"/>
      <c r="J34" s="1247"/>
      <c r="K34" s="1247"/>
      <c r="L34" s="1247"/>
      <c r="M34" s="1247"/>
      <c r="N34" s="1247"/>
      <c r="O34" s="1247"/>
      <c r="P34" s="1247"/>
      <c r="Q34" s="1247"/>
      <c r="R34" s="1247"/>
      <c r="S34" s="1247"/>
      <c r="T34" s="1247"/>
      <c r="U34" s="1247"/>
      <c r="V34" s="1247"/>
      <c r="W34" s="1247"/>
      <c r="X34" s="1247"/>
      <c r="Y34" s="1247"/>
      <c r="Z34" s="1247"/>
      <c r="AA34" s="1247"/>
      <c r="AB34" s="1247"/>
      <c r="AC34" s="1247"/>
      <c r="AD34" s="1247"/>
      <c r="AE34" s="1247"/>
      <c r="AF34" s="858"/>
    </row>
    <row r="35" spans="1:32" ht="20.1" customHeight="1">
      <c r="A35" s="1669" t="s">
        <v>3769</v>
      </c>
      <c r="B35" s="1670"/>
      <c r="C35" s="1670"/>
      <c r="D35" s="1670"/>
      <c r="E35" s="1670"/>
      <c r="F35" s="858"/>
      <c r="G35" s="326"/>
      <c r="H35" s="1627"/>
      <c r="I35" s="1668"/>
      <c r="J35" s="1668"/>
      <c r="K35" s="1668"/>
      <c r="L35" s="1682" t="s">
        <v>3772</v>
      </c>
      <c r="M35" s="1683"/>
      <c r="N35" s="1683"/>
      <c r="O35" s="1683"/>
      <c r="P35" s="1683"/>
      <c r="Q35" s="1683"/>
      <c r="R35" s="1683"/>
      <c r="S35" s="1683"/>
      <c r="T35" s="1683"/>
      <c r="U35" s="1683"/>
      <c r="V35" s="1683"/>
      <c r="W35" s="1683"/>
      <c r="X35" s="1683"/>
      <c r="Y35" s="1683"/>
      <c r="Z35" s="1683"/>
      <c r="AA35" s="1683"/>
      <c r="AB35" s="1683"/>
      <c r="AC35" s="1683"/>
      <c r="AD35" s="858"/>
      <c r="AE35" s="326"/>
      <c r="AF35" s="361"/>
    </row>
    <row r="36" spans="1:32" ht="3.95" customHeight="1">
      <c r="A36" s="1634"/>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247"/>
      <c r="Y36" s="1247"/>
      <c r="Z36" s="1247"/>
      <c r="AA36" s="1247"/>
      <c r="AB36" s="1247"/>
      <c r="AC36" s="1247"/>
      <c r="AD36" s="1247"/>
      <c r="AE36" s="1247"/>
      <c r="AF36" s="858"/>
    </row>
    <row r="37" spans="1:32" ht="18" customHeight="1">
      <c r="A37" s="1669" t="s">
        <v>3770</v>
      </c>
      <c r="B37" s="1670"/>
      <c r="C37" s="1670"/>
      <c r="D37" s="1670"/>
      <c r="E37" s="1670"/>
      <c r="F37" s="1681"/>
      <c r="G37" s="1681"/>
      <c r="H37" s="1681"/>
      <c r="I37" s="1681"/>
      <c r="J37" s="1681"/>
      <c r="K37" s="1681"/>
      <c r="L37" s="1681"/>
      <c r="M37" s="1681"/>
      <c r="N37" s="1681"/>
      <c r="O37" s="1681"/>
      <c r="P37" s="1681"/>
      <c r="Q37" s="1681"/>
      <c r="R37" s="1681"/>
      <c r="S37" s="1681"/>
      <c r="T37" s="1681"/>
      <c r="U37" s="1681"/>
      <c r="V37" s="1681"/>
      <c r="W37" s="1681"/>
      <c r="X37" s="1681"/>
      <c r="Y37" s="1681"/>
      <c r="Z37" s="1681"/>
      <c r="AA37" s="1681"/>
      <c r="AB37" s="1681"/>
      <c r="AC37" s="1681"/>
      <c r="AD37" s="858"/>
      <c r="AE37" s="326"/>
      <c r="AF37" s="361"/>
    </row>
    <row r="38" spans="1:32" ht="3.95" customHeight="1">
      <c r="A38" s="1634"/>
      <c r="B38" s="1247"/>
      <c r="C38" s="1247"/>
      <c r="D38" s="1247"/>
      <c r="E38" s="1247"/>
      <c r="F38" s="1247"/>
      <c r="G38" s="1247"/>
      <c r="H38" s="1247"/>
      <c r="I38" s="1247"/>
      <c r="J38" s="1247"/>
      <c r="K38" s="1247"/>
      <c r="L38" s="1247"/>
      <c r="M38" s="1247"/>
      <c r="N38" s="1247"/>
      <c r="O38" s="1247"/>
      <c r="P38" s="1247"/>
      <c r="Q38" s="1247"/>
      <c r="R38" s="1247"/>
      <c r="S38" s="1247"/>
      <c r="T38" s="1247"/>
      <c r="U38" s="1247"/>
      <c r="V38" s="1247"/>
      <c r="W38" s="1247"/>
      <c r="X38" s="1247"/>
      <c r="Y38" s="1247"/>
      <c r="Z38" s="1247"/>
      <c r="AA38" s="1247"/>
      <c r="AB38" s="1247"/>
      <c r="AC38" s="1247"/>
      <c r="AD38" s="1247"/>
      <c r="AE38" s="1247"/>
      <c r="AF38" s="858"/>
    </row>
    <row r="39" spans="1:32" ht="20.1" customHeight="1">
      <c r="A39" s="1669" t="s">
        <v>3771</v>
      </c>
      <c r="B39" s="1670"/>
      <c r="C39" s="1670"/>
      <c r="D39" s="1670"/>
      <c r="E39" s="1670"/>
      <c r="F39" s="858"/>
      <c r="G39" s="326"/>
      <c r="H39" s="1627"/>
      <c r="I39" s="1668"/>
      <c r="J39" s="1668"/>
      <c r="K39" s="1668"/>
      <c r="L39" s="1682" t="s">
        <v>3887</v>
      </c>
      <c r="M39" s="1683"/>
      <c r="N39" s="1683"/>
      <c r="O39" s="1683"/>
      <c r="P39" s="1683"/>
      <c r="Q39" s="1683"/>
      <c r="R39" s="1683"/>
      <c r="S39" s="1683"/>
      <c r="T39" s="1683"/>
      <c r="U39" s="1683"/>
      <c r="V39" s="1683"/>
      <c r="W39" s="1683"/>
      <c r="X39" s="1683"/>
      <c r="Y39" s="1683"/>
      <c r="Z39" s="1683"/>
      <c r="AA39" s="1683"/>
      <c r="AB39" s="1683"/>
      <c r="AC39" s="1683"/>
      <c r="AD39" s="858"/>
      <c r="AE39" s="326"/>
      <c r="AF39" s="361"/>
    </row>
    <row r="40" spans="1:32" ht="3.95" customHeight="1">
      <c r="A40" s="1781"/>
      <c r="B40" s="1725"/>
      <c r="C40" s="1725"/>
      <c r="D40" s="1725"/>
      <c r="E40" s="1725"/>
      <c r="F40" s="1725"/>
      <c r="G40" s="1725"/>
      <c r="H40" s="1725"/>
      <c r="I40" s="1725"/>
      <c r="J40" s="1725"/>
      <c r="K40" s="1725"/>
      <c r="L40" s="1725"/>
      <c r="M40" s="1725"/>
      <c r="N40" s="1725"/>
      <c r="O40" s="1725"/>
      <c r="P40" s="1725"/>
      <c r="Q40" s="1725"/>
      <c r="R40" s="1725"/>
      <c r="S40" s="1725"/>
      <c r="T40" s="1725"/>
      <c r="U40" s="1725"/>
      <c r="V40" s="1725"/>
      <c r="W40" s="1725"/>
      <c r="X40" s="1725"/>
      <c r="Y40" s="1725"/>
      <c r="Z40" s="1725"/>
      <c r="AA40" s="1725"/>
      <c r="AB40" s="1725"/>
      <c r="AC40" s="1725"/>
      <c r="AD40" s="1725"/>
      <c r="AE40" s="1725"/>
      <c r="AF40" s="1782"/>
    </row>
    <row r="41" spans="1:32" ht="12.75">
      <c r="A41" s="1704" t="s">
        <v>3930</v>
      </c>
      <c r="B41" s="1705"/>
      <c r="C41" s="1705"/>
      <c r="D41" s="1705"/>
      <c r="E41" s="1705"/>
      <c r="F41" s="1705"/>
      <c r="G41" s="1705"/>
      <c r="H41" s="1705"/>
      <c r="I41" s="1705"/>
      <c r="J41" s="1705"/>
      <c r="K41" s="1705"/>
      <c r="L41" s="1705"/>
      <c r="M41" s="1705"/>
      <c r="N41" s="1705"/>
      <c r="O41" s="1705"/>
      <c r="P41" s="1705"/>
      <c r="Q41" s="1705"/>
      <c r="R41" s="1705"/>
      <c r="S41" s="1705"/>
      <c r="T41" s="1705"/>
      <c r="U41" s="1705"/>
      <c r="V41" s="1705"/>
      <c r="W41" s="1705"/>
      <c r="X41" s="1705"/>
      <c r="Y41" s="1705"/>
      <c r="Z41" s="1705"/>
      <c r="AA41" s="1705"/>
      <c r="AB41" s="1705"/>
      <c r="AC41" s="1705"/>
      <c r="AD41" s="1705"/>
      <c r="AE41" s="1705"/>
      <c r="AF41" s="1719"/>
    </row>
    <row r="42" spans="1:32" ht="5.1" customHeight="1">
      <c r="A42" s="1799"/>
      <c r="B42" s="1542"/>
      <c r="C42" s="1542"/>
      <c r="D42" s="1542"/>
      <c r="E42" s="1542"/>
      <c r="F42" s="1542"/>
      <c r="G42" s="1542"/>
      <c r="H42" s="1542"/>
      <c r="I42" s="1542"/>
      <c r="J42" s="1542"/>
      <c r="K42" s="1542"/>
      <c r="L42" s="1542"/>
      <c r="M42" s="1542"/>
      <c r="N42" s="1542"/>
      <c r="O42" s="1542"/>
      <c r="P42" s="1542"/>
      <c r="Q42" s="1542"/>
      <c r="R42" s="1542"/>
      <c r="S42" s="1542"/>
      <c r="T42" s="1542"/>
      <c r="U42" s="1542"/>
      <c r="V42" s="1542"/>
      <c r="W42" s="1542"/>
      <c r="X42" s="1542"/>
      <c r="Y42" s="1799"/>
      <c r="Z42" s="1542"/>
      <c r="AA42" s="1542"/>
      <c r="AB42" s="1542"/>
      <c r="AC42" s="1542"/>
      <c r="AD42" s="1542"/>
      <c r="AE42" s="1542"/>
      <c r="AF42" s="1800"/>
    </row>
    <row r="43" spans="1:32" ht="18" customHeight="1">
      <c r="A43" s="1735" t="s">
        <v>81</v>
      </c>
      <c r="B43" s="1561"/>
      <c r="C43" s="1561"/>
      <c r="D43" s="1561"/>
      <c r="E43" s="1561"/>
      <c r="F43" s="1561"/>
      <c r="G43" s="1637"/>
      <c r="H43" s="1631">
        <f>+'1Př1'!F25</f>
        <v>0</v>
      </c>
      <c r="I43" s="1616"/>
      <c r="J43" s="1616"/>
      <c r="K43" s="1616"/>
      <c r="L43" s="1616"/>
      <c r="M43" s="1617"/>
      <c r="N43" s="1618" t="s">
        <v>250</v>
      </c>
      <c r="O43" s="1247"/>
      <c r="P43" s="1247"/>
      <c r="Q43" s="1247"/>
      <c r="R43" s="1247"/>
      <c r="S43" s="1247"/>
      <c r="T43" s="1247"/>
      <c r="U43" s="1247"/>
      <c r="V43" s="1247"/>
      <c r="W43" s="1247"/>
      <c r="X43" s="858"/>
      <c r="Y43" s="1801" t="s">
        <v>3817</v>
      </c>
      <c r="Z43" s="1802"/>
      <c r="AA43" s="1802"/>
      <c r="AB43" s="1802"/>
      <c r="AC43" s="1802"/>
      <c r="AD43" s="1802"/>
      <c r="AE43" s="1802"/>
      <c r="AF43" s="1803"/>
    </row>
    <row r="44" spans="1:32" ht="9.95" customHeight="1">
      <c r="A44" s="1795"/>
      <c r="B44" s="1247"/>
      <c r="C44" s="1247"/>
      <c r="D44" s="1247"/>
      <c r="E44" s="1247"/>
      <c r="F44" s="1247"/>
      <c r="G44" s="1247"/>
      <c r="H44" s="1247"/>
      <c r="I44" s="1247"/>
      <c r="J44" s="1247"/>
      <c r="K44" s="1247"/>
      <c r="L44" s="1247"/>
      <c r="M44" s="1247"/>
      <c r="N44" s="1247"/>
      <c r="O44" s="1657" t="s">
        <v>206</v>
      </c>
      <c r="P44" s="1247"/>
      <c r="Q44" s="1247"/>
      <c r="R44" s="1247"/>
      <c r="S44" s="1247"/>
      <c r="T44" s="1657" t="s">
        <v>207</v>
      </c>
      <c r="U44" s="1247"/>
      <c r="V44" s="1247"/>
      <c r="W44" s="1658"/>
      <c r="X44" s="858"/>
      <c r="Y44" s="1736" t="s">
        <v>206</v>
      </c>
      <c r="Z44" s="1636"/>
      <c r="AA44" s="1636"/>
      <c r="AB44" s="1733"/>
      <c r="AC44" s="1636"/>
      <c r="AD44" s="1734" t="s">
        <v>207</v>
      </c>
      <c r="AE44" s="1636"/>
      <c r="AF44" s="1637"/>
    </row>
    <row r="45" spans="1:32" ht="18" customHeight="1">
      <c r="A45" s="1614" t="s">
        <v>3842</v>
      </c>
      <c r="B45" s="1247"/>
      <c r="C45" s="1247"/>
      <c r="D45" s="1247"/>
      <c r="E45" s="1247"/>
      <c r="F45" s="1247"/>
      <c r="G45" s="1247"/>
      <c r="H45" s="1247"/>
      <c r="I45" s="1247"/>
      <c r="J45" s="1247"/>
      <c r="K45" s="1156"/>
      <c r="L45" s="1247"/>
      <c r="M45" s="1247"/>
      <c r="N45" s="1247"/>
      <c r="O45" s="858"/>
      <c r="P45" s="326">
        <v>12</v>
      </c>
      <c r="Q45" s="1634"/>
      <c r="R45" s="1247"/>
      <c r="S45" s="1247"/>
      <c r="T45" s="858"/>
      <c r="U45" s="325">
        <v>0</v>
      </c>
      <c r="V45" s="1659"/>
      <c r="W45" s="1247"/>
      <c r="X45" s="858"/>
      <c r="Y45" s="624"/>
      <c r="Z45" s="625"/>
      <c r="AA45" s="1735"/>
      <c r="AB45" s="1636"/>
      <c r="AC45" s="1636"/>
      <c r="AD45" s="1637"/>
      <c r="AE45" s="626"/>
      <c r="AF45" s="627"/>
    </row>
    <row r="46" spans="1:32" ht="9.95" customHeight="1">
      <c r="A46" s="1627"/>
      <c r="B46" s="1247"/>
      <c r="C46" s="1247"/>
      <c r="D46" s="1247"/>
      <c r="E46" s="1247"/>
      <c r="F46" s="1247"/>
      <c r="G46" s="1247"/>
      <c r="H46" s="1247"/>
      <c r="I46" s="1247"/>
      <c r="J46" s="1247"/>
      <c r="K46" s="1247"/>
      <c r="L46" s="1247"/>
      <c r="M46" s="1247"/>
      <c r="N46" s="1247"/>
      <c r="O46" s="1657" t="s">
        <v>206</v>
      </c>
      <c r="P46" s="1247"/>
      <c r="Q46" s="1247"/>
      <c r="R46" s="1247"/>
      <c r="S46" s="1247"/>
      <c r="T46" s="1657" t="s">
        <v>207</v>
      </c>
      <c r="U46" s="1247"/>
      <c r="V46" s="1247"/>
      <c r="W46" s="1658"/>
      <c r="X46" s="858"/>
      <c r="Y46" s="1736" t="s">
        <v>206</v>
      </c>
      <c r="Z46" s="1636"/>
      <c r="AA46" s="1636"/>
      <c r="AB46" s="1733"/>
      <c r="AC46" s="1636"/>
      <c r="AD46" s="1734" t="s">
        <v>207</v>
      </c>
      <c r="AE46" s="1636"/>
      <c r="AF46" s="1637"/>
    </row>
    <row r="47" spans="1:64" s="134" customFormat="1" ht="18" customHeight="1">
      <c r="A47" s="1634" t="s">
        <v>82</v>
      </c>
      <c r="B47" s="1247"/>
      <c r="C47" s="1247"/>
      <c r="D47" s="1247"/>
      <c r="E47" s="1247"/>
      <c r="F47" s="1247"/>
      <c r="G47" s="1247"/>
      <c r="H47" s="1247"/>
      <c r="I47" s="1247"/>
      <c r="J47" s="1247"/>
      <c r="K47" s="1156"/>
      <c r="L47" s="1247"/>
      <c r="M47" s="1247"/>
      <c r="N47" s="1247"/>
      <c r="O47" s="858"/>
      <c r="P47" s="326">
        <f>+P45</f>
        <v>12</v>
      </c>
      <c r="Q47" s="1634"/>
      <c r="R47" s="1247"/>
      <c r="S47" s="1247"/>
      <c r="T47" s="858"/>
      <c r="U47" s="325">
        <f>+U45</f>
        <v>0</v>
      </c>
      <c r="V47" s="1659"/>
      <c r="W47" s="1247"/>
      <c r="X47" s="858"/>
      <c r="Y47" s="624"/>
      <c r="Z47" s="625"/>
      <c r="AA47" s="1735"/>
      <c r="AB47" s="1636"/>
      <c r="AC47" s="1636"/>
      <c r="AD47" s="1637"/>
      <c r="AE47" s="626"/>
      <c r="AF47" s="627"/>
      <c r="AG47" s="113"/>
      <c r="AH47" s="113"/>
      <c r="AI47" s="113"/>
      <c r="AJ47" s="113"/>
      <c r="AK47" s="113"/>
      <c r="AL47" s="113"/>
      <c r="AM47" s="113"/>
      <c r="AN47" s="113"/>
      <c r="AO47" s="113"/>
      <c r="AP47" s="113"/>
      <c r="AQ47" s="113"/>
      <c r="AR47" s="113"/>
      <c r="AS47" s="113"/>
      <c r="AT47" s="113"/>
      <c r="AU47" s="113"/>
      <c r="AV47" s="113"/>
      <c r="AW47" s="113"/>
      <c r="AX47" s="113"/>
      <c r="AY47" s="113"/>
      <c r="AZ47" s="113"/>
      <c r="BA47" s="113"/>
      <c r="BB47" s="113"/>
      <c r="BC47" s="113"/>
      <c r="BD47" s="113"/>
      <c r="BE47" s="113"/>
      <c r="BF47" s="113"/>
      <c r="BG47" s="113"/>
      <c r="BH47" s="113"/>
      <c r="BI47" s="113"/>
      <c r="BJ47" s="113"/>
      <c r="BK47" s="113"/>
      <c r="BL47" s="113"/>
    </row>
    <row r="48" spans="1:32" ht="5.1" customHeight="1">
      <c r="A48" s="1763"/>
      <c r="B48" s="1247"/>
      <c r="C48" s="1247"/>
      <c r="D48" s="1247"/>
      <c r="E48" s="1247"/>
      <c r="F48" s="1247"/>
      <c r="G48" s="1247"/>
      <c r="H48" s="1247"/>
      <c r="I48" s="1247"/>
      <c r="J48" s="1247"/>
      <c r="K48" s="1247"/>
      <c r="L48" s="1247"/>
      <c r="M48" s="1247"/>
      <c r="N48" s="1247"/>
      <c r="O48" s="1247"/>
      <c r="P48" s="1247"/>
      <c r="Q48" s="1247"/>
      <c r="R48" s="1247"/>
      <c r="S48" s="1247"/>
      <c r="T48" s="1247"/>
      <c r="U48" s="1247"/>
      <c r="V48" s="1247"/>
      <c r="W48" s="1247"/>
      <c r="X48" s="858"/>
      <c r="Y48" s="1611"/>
      <c r="Z48" s="1612"/>
      <c r="AA48" s="1612"/>
      <c r="AB48" s="1612"/>
      <c r="AC48" s="1612"/>
      <c r="AD48" s="1612"/>
      <c r="AE48" s="1612"/>
      <c r="AF48" s="1613"/>
    </row>
    <row r="49" spans="1:32" ht="18" customHeight="1">
      <c r="A49" s="1634" t="s">
        <v>83</v>
      </c>
      <c r="B49" s="1247"/>
      <c r="C49" s="1156"/>
      <c r="D49" s="1247"/>
      <c r="E49" s="1247"/>
      <c r="F49" s="1247"/>
      <c r="G49" s="1247"/>
      <c r="H49" s="1796">
        <f>+ROUND(IF(P47+U47=0,0,H43/(P47+U47)),2)</f>
        <v>0</v>
      </c>
      <c r="I49" s="1797"/>
      <c r="J49" s="1797"/>
      <c r="K49" s="1797"/>
      <c r="L49" s="1797"/>
      <c r="M49" s="1798"/>
      <c r="N49" s="1618" t="s">
        <v>250</v>
      </c>
      <c r="O49" s="1247"/>
      <c r="P49" s="1247"/>
      <c r="Q49" s="1247"/>
      <c r="R49" s="1247"/>
      <c r="S49" s="1247"/>
      <c r="T49" s="1247"/>
      <c r="U49" s="1247"/>
      <c r="V49" s="1247"/>
      <c r="W49" s="1247"/>
      <c r="X49" s="858"/>
      <c r="Y49" s="628"/>
      <c r="Z49" s="1619"/>
      <c r="AA49" s="1620"/>
      <c r="AB49" s="1620"/>
      <c r="AC49" s="1620"/>
      <c r="AD49" s="1620"/>
      <c r="AE49" s="1621"/>
      <c r="AF49" s="629" t="s">
        <v>250</v>
      </c>
    </row>
    <row r="50" spans="1:32" ht="8.1" customHeight="1">
      <c r="A50" s="1627"/>
      <c r="B50" s="1247"/>
      <c r="C50" s="1247"/>
      <c r="D50" s="1247"/>
      <c r="E50" s="1247"/>
      <c r="F50" s="1247"/>
      <c r="G50" s="1247"/>
      <c r="H50" s="1654" t="s">
        <v>3773</v>
      </c>
      <c r="I50" s="1655"/>
      <c r="J50" s="1655"/>
      <c r="K50" s="1655"/>
      <c r="L50" s="1655"/>
      <c r="M50" s="1655"/>
      <c r="N50" s="617"/>
      <c r="O50" s="617"/>
      <c r="P50" s="1656" t="s">
        <v>3774</v>
      </c>
      <c r="Q50" s="1624"/>
      <c r="R50" s="1624"/>
      <c r="S50" s="1624"/>
      <c r="T50" s="1624"/>
      <c r="U50" s="1624"/>
      <c r="V50" s="1652"/>
      <c r="W50" s="1247"/>
      <c r="X50" s="1247"/>
      <c r="Y50" s="1611"/>
      <c r="Z50" s="1612"/>
      <c r="AA50" s="1612"/>
      <c r="AB50" s="1612"/>
      <c r="AC50" s="1612"/>
      <c r="AD50" s="1612"/>
      <c r="AE50" s="1612"/>
      <c r="AF50" s="1613"/>
    </row>
    <row r="51" spans="1:32" ht="18" customHeight="1">
      <c r="A51" s="1634" t="s">
        <v>84</v>
      </c>
      <c r="B51" s="1247"/>
      <c r="C51" s="1247"/>
      <c r="D51" s="1247"/>
      <c r="E51" s="1247"/>
      <c r="F51" s="1247"/>
      <c r="G51" s="858"/>
      <c r="H51" s="1631">
        <f>IF(OR(EXACT("X",AA25),EXACT("x",AA25)),+H49*P47,0)</f>
        <v>0</v>
      </c>
      <c r="I51" s="1616"/>
      <c r="J51" s="1616"/>
      <c r="K51" s="1616"/>
      <c r="L51" s="1616"/>
      <c r="M51" s="1617"/>
      <c r="N51" s="1618" t="s">
        <v>250</v>
      </c>
      <c r="O51" s="858"/>
      <c r="P51" s="1723">
        <f>IF(OR(EXACT("X",AA25),EXACT("x",AA25)),+H49*U47,0)</f>
        <v>0</v>
      </c>
      <c r="Q51" s="1616"/>
      <c r="R51" s="1616"/>
      <c r="S51" s="1616"/>
      <c r="T51" s="1616"/>
      <c r="U51" s="1617"/>
      <c r="V51" s="1653" t="s">
        <v>250</v>
      </c>
      <c r="W51" s="1247"/>
      <c r="X51" s="1247"/>
      <c r="Y51" s="628"/>
      <c r="Z51" s="1619"/>
      <c r="AA51" s="1620"/>
      <c r="AB51" s="1620"/>
      <c r="AC51" s="1620"/>
      <c r="AD51" s="1620"/>
      <c r="AE51" s="1621"/>
      <c r="AF51" s="629" t="s">
        <v>250</v>
      </c>
    </row>
    <row r="52" spans="1:32" ht="8.1" customHeight="1">
      <c r="A52" s="1627"/>
      <c r="B52" s="1247"/>
      <c r="C52" s="1247"/>
      <c r="D52" s="1247"/>
      <c r="E52" s="1247"/>
      <c r="F52" s="1247"/>
      <c r="G52" s="1247"/>
      <c r="H52" s="1654" t="s">
        <v>3773</v>
      </c>
      <c r="I52" s="1655"/>
      <c r="J52" s="1655"/>
      <c r="K52" s="1655"/>
      <c r="L52" s="1655"/>
      <c r="M52" s="1655"/>
      <c r="N52" s="617"/>
      <c r="O52" s="617"/>
      <c r="P52" s="1656" t="s">
        <v>3774</v>
      </c>
      <c r="Q52" s="1624"/>
      <c r="R52" s="1624"/>
      <c r="S52" s="1624"/>
      <c r="T52" s="1624"/>
      <c r="U52" s="1624"/>
      <c r="V52" s="1652"/>
      <c r="W52" s="1247"/>
      <c r="X52" s="1247"/>
      <c r="Y52" s="1611"/>
      <c r="Z52" s="1612"/>
      <c r="AA52" s="1612"/>
      <c r="AB52" s="1612"/>
      <c r="AC52" s="1612"/>
      <c r="AD52" s="1612"/>
      <c r="AE52" s="1612"/>
      <c r="AF52" s="1613"/>
    </row>
    <row r="53" spans="1:32" ht="18" customHeight="1">
      <c r="A53" s="1634" t="s">
        <v>85</v>
      </c>
      <c r="B53" s="1247"/>
      <c r="C53" s="1247"/>
      <c r="D53" s="1247"/>
      <c r="E53" s="1247"/>
      <c r="F53" s="1247"/>
      <c r="G53" s="858"/>
      <c r="H53" s="1723">
        <f>+IF(OR(EXACT(O25,"X"),EXACT(O25,"x")),CEILING(H43*0.5,1),CEILING(+H51*0.5,1))</f>
        <v>0</v>
      </c>
      <c r="I53" s="1616"/>
      <c r="J53" s="1616"/>
      <c r="K53" s="1616"/>
      <c r="L53" s="1616"/>
      <c r="M53" s="1617"/>
      <c r="N53" s="1618" t="s">
        <v>250</v>
      </c>
      <c r="O53" s="858"/>
      <c r="P53" s="1723">
        <f>+IF(OR(EXACT(U25,"X"),EXACT(U25,"x")),ROUND(H43*0.5,0),ROUND(+P51*0.5,0))</f>
        <v>0</v>
      </c>
      <c r="Q53" s="1616"/>
      <c r="R53" s="1616"/>
      <c r="S53" s="1616"/>
      <c r="T53" s="1616"/>
      <c r="U53" s="1617"/>
      <c r="V53" s="1653" t="s">
        <v>250</v>
      </c>
      <c r="W53" s="1247"/>
      <c r="X53" s="1247"/>
      <c r="Y53" s="628"/>
      <c r="Z53" s="1619"/>
      <c r="AA53" s="1620"/>
      <c r="AB53" s="1620"/>
      <c r="AC53" s="1620"/>
      <c r="AD53" s="1620"/>
      <c r="AE53" s="1621"/>
      <c r="AF53" s="629" t="s">
        <v>250</v>
      </c>
    </row>
    <row r="54" spans="1:32" ht="8.1" customHeight="1">
      <c r="A54" s="1627"/>
      <c r="B54" s="1247"/>
      <c r="C54" s="1247"/>
      <c r="D54" s="1247"/>
      <c r="E54" s="1247"/>
      <c r="F54" s="1247"/>
      <c r="G54" s="1247"/>
      <c r="H54" s="1654" t="s">
        <v>3773</v>
      </c>
      <c r="I54" s="1655"/>
      <c r="J54" s="1655"/>
      <c r="K54" s="1655"/>
      <c r="L54" s="1655"/>
      <c r="M54" s="1655"/>
      <c r="N54" s="617"/>
      <c r="O54" s="617"/>
      <c r="P54" s="1656" t="s">
        <v>3774</v>
      </c>
      <c r="Q54" s="1624"/>
      <c r="R54" s="1624"/>
      <c r="S54" s="1624"/>
      <c r="T54" s="1624"/>
      <c r="U54" s="1624"/>
      <c r="V54" s="1652"/>
      <c r="W54" s="1247"/>
      <c r="X54" s="1247"/>
      <c r="Y54" s="1611"/>
      <c r="Z54" s="1612"/>
      <c r="AA54" s="1612"/>
      <c r="AB54" s="1612"/>
      <c r="AC54" s="1612"/>
      <c r="AD54" s="1612"/>
      <c r="AE54" s="1612"/>
      <c r="AF54" s="1613"/>
    </row>
    <row r="55" spans="1:32" ht="18" customHeight="1">
      <c r="A55" s="1634" t="s">
        <v>86</v>
      </c>
      <c r="B55" s="1247"/>
      <c r="C55" s="1247"/>
      <c r="D55" s="1247"/>
      <c r="E55" s="1247"/>
      <c r="F55" s="1247"/>
      <c r="G55" s="858"/>
      <c r="H55" s="1631">
        <f>(IF(OR(EXACT(AA25,"X"),EXACT(AA25,"x")),+IF(P45&gt;0,7058*P47,0),0))</f>
        <v>0</v>
      </c>
      <c r="I55" s="1616"/>
      <c r="J55" s="1616"/>
      <c r="K55" s="1616"/>
      <c r="L55" s="1616"/>
      <c r="M55" s="1617"/>
      <c r="N55" s="1618" t="s">
        <v>250</v>
      </c>
      <c r="O55" s="858"/>
      <c r="P55" s="1723">
        <f>(IF(OR(EXACT(AA25,"X"),EXACT(AA25,"x")),+IF(U45&gt;0,2824*U47,0),0))</f>
        <v>0</v>
      </c>
      <c r="Q55" s="1616"/>
      <c r="R55" s="1616"/>
      <c r="S55" s="1616"/>
      <c r="T55" s="1616"/>
      <c r="U55" s="1617"/>
      <c r="V55" s="1653" t="s">
        <v>250</v>
      </c>
      <c r="W55" s="1247"/>
      <c r="X55" s="1247"/>
      <c r="Y55" s="628"/>
      <c r="Z55" s="1619"/>
      <c r="AA55" s="1620"/>
      <c r="AB55" s="1620"/>
      <c r="AC55" s="1620"/>
      <c r="AD55" s="1620"/>
      <c r="AE55" s="1621"/>
      <c r="AF55" s="629" t="s">
        <v>250</v>
      </c>
    </row>
    <row r="56" spans="1:32" ht="8.1" customHeight="1">
      <c r="A56" s="1627"/>
      <c r="B56" s="1247"/>
      <c r="C56" s="1247"/>
      <c r="D56" s="1247"/>
      <c r="E56" s="1247"/>
      <c r="F56" s="1247"/>
      <c r="G56" s="1247"/>
      <c r="H56" s="1247"/>
      <c r="I56" s="1247"/>
      <c r="J56" s="1247"/>
      <c r="K56" s="1247"/>
      <c r="L56" s="1247"/>
      <c r="M56" s="1247"/>
      <c r="N56" s="1247"/>
      <c r="O56" s="1247"/>
      <c r="P56" s="1247"/>
      <c r="Q56" s="1247"/>
      <c r="R56" s="1247"/>
      <c r="S56" s="1247"/>
      <c r="T56" s="1247"/>
      <c r="U56" s="1247"/>
      <c r="V56" s="1247"/>
      <c r="W56" s="1247"/>
      <c r="X56" s="858"/>
      <c r="Y56" s="1611"/>
      <c r="Z56" s="1612"/>
      <c r="AA56" s="1612"/>
      <c r="AB56" s="1612"/>
      <c r="AC56" s="1612"/>
      <c r="AD56" s="1612"/>
      <c r="AE56" s="1612"/>
      <c r="AF56" s="1613"/>
    </row>
    <row r="57" spans="1:32" ht="18" customHeight="1">
      <c r="A57" s="1634" t="s">
        <v>377</v>
      </c>
      <c r="B57" s="1247"/>
      <c r="C57" s="1247"/>
      <c r="D57" s="1247"/>
      <c r="E57" s="1247"/>
      <c r="F57" s="1247"/>
      <c r="G57" s="858"/>
      <c r="H57" s="1723">
        <f>MIN(IF(OR(EXACT(O25,"X"),EXACT(O25,"x")),MAX(+P47*7058,H53),IF(OR(EXACT(U25,"X"),EXACT(U25,"x")),MAX(+U47*2824,P53),+MAX(H55,H53)+MAX(+P55,P53))),1355136)</f>
        <v>84696</v>
      </c>
      <c r="I57" s="1616"/>
      <c r="J57" s="1616"/>
      <c r="K57" s="1616"/>
      <c r="L57" s="1616"/>
      <c r="M57" s="1617"/>
      <c r="N57" s="1618" t="s">
        <v>250</v>
      </c>
      <c r="O57" s="1156"/>
      <c r="P57" s="1639" t="s">
        <v>3818</v>
      </c>
      <c r="Q57" s="1640"/>
      <c r="R57" s="1640"/>
      <c r="S57" s="1640"/>
      <c r="T57" s="1640"/>
      <c r="U57" s="1641"/>
      <c r="V57" s="1648"/>
      <c r="W57" s="1247"/>
      <c r="X57" s="858"/>
      <c r="Y57" s="628"/>
      <c r="Z57" s="1619"/>
      <c r="AA57" s="1620"/>
      <c r="AB57" s="1620"/>
      <c r="AC57" s="1620"/>
      <c r="AD57" s="1620"/>
      <c r="AE57" s="1621"/>
      <c r="AF57" s="629" t="s">
        <v>250</v>
      </c>
    </row>
    <row r="58" spans="1:32" ht="6.95" customHeight="1">
      <c r="A58" s="1627"/>
      <c r="B58" s="1247"/>
      <c r="C58" s="1247"/>
      <c r="D58" s="1247"/>
      <c r="E58" s="1247"/>
      <c r="F58" s="1247"/>
      <c r="G58" s="1247"/>
      <c r="H58" s="1650"/>
      <c r="I58" s="1626"/>
      <c r="J58" s="1626"/>
      <c r="K58" s="1626"/>
      <c r="L58" s="1626"/>
      <c r="M58" s="1626"/>
      <c r="N58" s="1247"/>
      <c r="O58" s="1651"/>
      <c r="P58" s="1642"/>
      <c r="Q58" s="1643"/>
      <c r="R58" s="1643"/>
      <c r="S58" s="1643"/>
      <c r="T58" s="1643"/>
      <c r="U58" s="1644"/>
      <c r="V58" s="1649"/>
      <c r="W58" s="1247"/>
      <c r="X58" s="858"/>
      <c r="Y58" s="1635"/>
      <c r="Z58" s="1636"/>
      <c r="AA58" s="1636"/>
      <c r="AB58" s="1636"/>
      <c r="AC58" s="1636"/>
      <c r="AD58" s="1636"/>
      <c r="AE58" s="1636"/>
      <c r="AF58" s="1637"/>
    </row>
    <row r="59" spans="1:32" ht="18" customHeight="1">
      <c r="A59" s="1634" t="s">
        <v>378</v>
      </c>
      <c r="B59" s="1247"/>
      <c r="C59" s="1247"/>
      <c r="D59" s="1247"/>
      <c r="E59" s="1247"/>
      <c r="F59" s="1247"/>
      <c r="G59" s="858"/>
      <c r="H59" s="1631">
        <f>+H57</f>
        <v>84696</v>
      </c>
      <c r="I59" s="1616"/>
      <c r="J59" s="1616"/>
      <c r="K59" s="1616"/>
      <c r="L59" s="1616"/>
      <c r="M59" s="1617"/>
      <c r="N59" s="1618" t="s">
        <v>250</v>
      </c>
      <c r="O59" s="1156"/>
      <c r="P59" s="1642"/>
      <c r="Q59" s="1643"/>
      <c r="R59" s="1643"/>
      <c r="S59" s="1643"/>
      <c r="T59" s="1643"/>
      <c r="U59" s="1644"/>
      <c r="V59" s="1649"/>
      <c r="W59" s="1247"/>
      <c r="X59" s="858"/>
      <c r="Y59" s="1638"/>
      <c r="Z59" s="1636"/>
      <c r="AA59" s="1636"/>
      <c r="AB59" s="1636"/>
      <c r="AC59" s="1636"/>
      <c r="AD59" s="1636"/>
      <c r="AE59" s="1636"/>
      <c r="AF59" s="1637"/>
    </row>
    <row r="60" spans="1:32" ht="7.5" customHeight="1">
      <c r="A60" s="1627"/>
      <c r="B60" s="1247"/>
      <c r="C60" s="1247"/>
      <c r="D60" s="1247"/>
      <c r="E60" s="1247"/>
      <c r="F60" s="1247"/>
      <c r="G60" s="1247"/>
      <c r="H60" s="1650"/>
      <c r="I60" s="1626"/>
      <c r="J60" s="1626"/>
      <c r="K60" s="1626"/>
      <c r="L60" s="1626"/>
      <c r="M60" s="1626"/>
      <c r="N60" s="1247"/>
      <c r="O60" s="1651"/>
      <c r="P60" s="1642"/>
      <c r="Q60" s="1643"/>
      <c r="R60" s="1643"/>
      <c r="S60" s="1643"/>
      <c r="T60" s="1643"/>
      <c r="U60" s="1644"/>
      <c r="V60" s="1649"/>
      <c r="W60" s="1247"/>
      <c r="X60" s="858"/>
      <c r="Y60" s="1611"/>
      <c r="Z60" s="1612"/>
      <c r="AA60" s="1612"/>
      <c r="AB60" s="1612"/>
      <c r="AC60" s="1612"/>
      <c r="AD60" s="1612"/>
      <c r="AE60" s="1612"/>
      <c r="AF60" s="1613"/>
    </row>
    <row r="61" spans="1:32" ht="18" customHeight="1">
      <c r="A61" s="1634" t="s">
        <v>379</v>
      </c>
      <c r="B61" s="1247"/>
      <c r="C61" s="1247"/>
      <c r="D61" s="1247"/>
      <c r="E61" s="1247"/>
      <c r="F61" s="1247"/>
      <c r="G61" s="858"/>
      <c r="H61" s="1631">
        <f>+'DAP2'!E4</f>
        <v>0</v>
      </c>
      <c r="I61" s="1632"/>
      <c r="J61" s="1632"/>
      <c r="K61" s="1632"/>
      <c r="L61" s="1632"/>
      <c r="M61" s="1633"/>
      <c r="N61" s="1618" t="s">
        <v>250</v>
      </c>
      <c r="O61" s="1156"/>
      <c r="P61" s="1645"/>
      <c r="Q61" s="1646"/>
      <c r="R61" s="1646"/>
      <c r="S61" s="1646"/>
      <c r="T61" s="1646"/>
      <c r="U61" s="1647"/>
      <c r="V61" s="1649"/>
      <c r="W61" s="1247"/>
      <c r="X61" s="858"/>
      <c r="Y61" s="628"/>
      <c r="Z61" s="1619"/>
      <c r="AA61" s="1620"/>
      <c r="AB61" s="1620"/>
      <c r="AC61" s="1620"/>
      <c r="AD61" s="1620"/>
      <c r="AE61" s="1621"/>
      <c r="AF61" s="629" t="s">
        <v>250</v>
      </c>
    </row>
    <row r="62" spans="1:32" ht="7.5" customHeight="1">
      <c r="A62" s="1627"/>
      <c r="B62" s="1247"/>
      <c r="C62" s="1247"/>
      <c r="D62" s="1247"/>
      <c r="E62" s="1247"/>
      <c r="F62" s="1247"/>
      <c r="G62" s="1247"/>
      <c r="H62" s="1247"/>
      <c r="I62" s="1247"/>
      <c r="J62" s="1247"/>
      <c r="K62" s="1247"/>
      <c r="L62" s="1247"/>
      <c r="M62" s="1247"/>
      <c r="N62" s="1247"/>
      <c r="O62" s="1247"/>
      <c r="P62" s="1247"/>
      <c r="Q62" s="1247"/>
      <c r="R62" s="1247"/>
      <c r="S62" s="1247"/>
      <c r="T62" s="1247"/>
      <c r="U62" s="1247"/>
      <c r="V62" s="1247"/>
      <c r="W62" s="1247"/>
      <c r="X62" s="858"/>
      <c r="Y62" s="1611"/>
      <c r="Z62" s="1612"/>
      <c r="AA62" s="1612"/>
      <c r="AB62" s="1612"/>
      <c r="AC62" s="1612"/>
      <c r="AD62" s="1612"/>
      <c r="AE62" s="1612"/>
      <c r="AF62" s="1613"/>
    </row>
    <row r="63" spans="1:32" ht="18.75" customHeight="1">
      <c r="A63" s="1634" t="s">
        <v>380</v>
      </c>
      <c r="B63" s="1247"/>
      <c r="C63" s="1247"/>
      <c r="D63" s="1247"/>
      <c r="E63" s="1247"/>
      <c r="F63" s="1247"/>
      <c r="G63" s="858"/>
      <c r="H63" s="1615">
        <f>+H61+H59</f>
        <v>84696</v>
      </c>
      <c r="I63" s="1616"/>
      <c r="J63" s="1616"/>
      <c r="K63" s="1616"/>
      <c r="L63" s="1616"/>
      <c r="M63" s="1617"/>
      <c r="N63" s="1618" t="s">
        <v>250</v>
      </c>
      <c r="O63" s="1156"/>
      <c r="P63" s="1247"/>
      <c r="Q63" s="1247"/>
      <c r="R63" s="1247"/>
      <c r="S63" s="1247"/>
      <c r="T63" s="1247"/>
      <c r="U63" s="1247"/>
      <c r="V63" s="1247"/>
      <c r="W63" s="1247"/>
      <c r="X63" s="858"/>
      <c r="Y63" s="628"/>
      <c r="Z63" s="1619"/>
      <c r="AA63" s="1620"/>
      <c r="AB63" s="1620"/>
      <c r="AC63" s="1620"/>
      <c r="AD63" s="1620"/>
      <c r="AE63" s="1621"/>
      <c r="AF63" s="629" t="s">
        <v>250</v>
      </c>
    </row>
    <row r="64" spans="1:32" ht="6.75" customHeight="1">
      <c r="A64" s="1627"/>
      <c r="B64" s="1247"/>
      <c r="C64" s="1247"/>
      <c r="D64" s="1247"/>
      <c r="E64" s="1247"/>
      <c r="F64" s="1247"/>
      <c r="G64" s="1247"/>
      <c r="H64" s="1247"/>
      <c r="I64" s="1247"/>
      <c r="J64" s="1247"/>
      <c r="K64" s="1247"/>
      <c r="L64" s="1247"/>
      <c r="M64" s="1247"/>
      <c r="N64" s="1247"/>
      <c r="O64" s="1247"/>
      <c r="P64" s="1247"/>
      <c r="Q64" s="1247"/>
      <c r="R64" s="1247"/>
      <c r="S64" s="1247"/>
      <c r="T64" s="1247"/>
      <c r="U64" s="1247"/>
      <c r="V64" s="1247"/>
      <c r="W64" s="1247"/>
      <c r="X64" s="858"/>
      <c r="Y64" s="1611"/>
      <c r="Z64" s="1612"/>
      <c r="AA64" s="1612"/>
      <c r="AB64" s="1612"/>
      <c r="AC64" s="1612"/>
      <c r="AD64" s="1612"/>
      <c r="AE64" s="1612"/>
      <c r="AF64" s="1613"/>
    </row>
    <row r="65" spans="1:32" ht="18.95" customHeight="1">
      <c r="A65" s="1614" t="s">
        <v>3636</v>
      </c>
      <c r="B65" s="1247"/>
      <c r="C65" s="1247"/>
      <c r="D65" s="1247"/>
      <c r="E65" s="1247"/>
      <c r="F65" s="1247"/>
      <c r="G65" s="858"/>
      <c r="H65" s="1615">
        <f>IF(H63&lt;1355136,H59,MAX(0,1355136-H61))</f>
        <v>84696</v>
      </c>
      <c r="I65" s="1616"/>
      <c r="J65" s="1616"/>
      <c r="K65" s="1616"/>
      <c r="L65" s="1616"/>
      <c r="M65" s="1617"/>
      <c r="N65" s="1618" t="s">
        <v>250</v>
      </c>
      <c r="O65" s="1156"/>
      <c r="P65" s="1247"/>
      <c r="Q65" s="1247"/>
      <c r="R65" s="1247"/>
      <c r="S65" s="1247"/>
      <c r="T65" s="1247"/>
      <c r="U65" s="1247"/>
      <c r="V65" s="1247"/>
      <c r="W65" s="1247"/>
      <c r="X65" s="858"/>
      <c r="Y65" s="628"/>
      <c r="Z65" s="1619"/>
      <c r="AA65" s="1620"/>
      <c r="AB65" s="1620"/>
      <c r="AC65" s="1620"/>
      <c r="AD65" s="1620"/>
      <c r="AE65" s="1621"/>
      <c r="AF65" s="629" t="s">
        <v>250</v>
      </c>
    </row>
    <row r="66" spans="1:32" ht="7.5" customHeight="1">
      <c r="A66" s="1627"/>
      <c r="B66" s="1247"/>
      <c r="C66" s="1247"/>
      <c r="D66" s="1247"/>
      <c r="E66" s="1247"/>
      <c r="F66" s="1247"/>
      <c r="G66" s="1247"/>
      <c r="H66" s="1247"/>
      <c r="I66" s="1247"/>
      <c r="J66" s="1247"/>
      <c r="K66" s="1247"/>
      <c r="L66" s="1247"/>
      <c r="M66" s="1247"/>
      <c r="N66" s="1247"/>
      <c r="O66" s="1247"/>
      <c r="P66" s="1247"/>
      <c r="Q66" s="1247"/>
      <c r="R66" s="1247"/>
      <c r="S66" s="1247"/>
      <c r="T66" s="1247"/>
      <c r="U66" s="1247"/>
      <c r="V66" s="1247"/>
      <c r="W66" s="1247"/>
      <c r="X66" s="858"/>
      <c r="Y66" s="1611"/>
      <c r="Z66" s="1612"/>
      <c r="AA66" s="1612"/>
      <c r="AB66" s="1612"/>
      <c r="AC66" s="1612"/>
      <c r="AD66" s="1612"/>
      <c r="AE66" s="1612"/>
      <c r="AF66" s="1613"/>
    </row>
    <row r="67" spans="1:32" ht="18.95" customHeight="1">
      <c r="A67" s="1614" t="s">
        <v>3635</v>
      </c>
      <c r="B67" s="1247"/>
      <c r="C67" s="1247"/>
      <c r="D67" s="1247"/>
      <c r="E67" s="1247"/>
      <c r="F67" s="1247"/>
      <c r="G67" s="858"/>
      <c r="H67" s="1615">
        <f>+CEILING(H65*0.292,1)</f>
        <v>24732</v>
      </c>
      <c r="I67" s="1616"/>
      <c r="J67" s="1616"/>
      <c r="K67" s="1616"/>
      <c r="L67" s="1616"/>
      <c r="M67" s="1617"/>
      <c r="N67" s="1618" t="s">
        <v>250</v>
      </c>
      <c r="O67" s="1156"/>
      <c r="P67" s="1247"/>
      <c r="Q67" s="1247"/>
      <c r="R67" s="1247"/>
      <c r="S67" s="1247"/>
      <c r="T67" s="1247"/>
      <c r="U67" s="1247"/>
      <c r="V67" s="1247"/>
      <c r="W67" s="1247"/>
      <c r="X67" s="858"/>
      <c r="Y67" s="628"/>
      <c r="Z67" s="1619"/>
      <c r="AA67" s="1620"/>
      <c r="AB67" s="1620"/>
      <c r="AC67" s="1620"/>
      <c r="AD67" s="1620"/>
      <c r="AE67" s="1621"/>
      <c r="AF67" s="629" t="s">
        <v>250</v>
      </c>
    </row>
    <row r="68" spans="1:32" ht="7.5" customHeight="1">
      <c r="A68" s="1627"/>
      <c r="B68" s="1247"/>
      <c r="C68" s="1247"/>
      <c r="D68" s="1247"/>
      <c r="E68" s="1247"/>
      <c r="F68" s="1247"/>
      <c r="G68" s="1247"/>
      <c r="H68" s="1247"/>
      <c r="I68" s="1247"/>
      <c r="J68" s="1247"/>
      <c r="K68" s="1247"/>
      <c r="L68" s="1247"/>
      <c r="M68" s="1247"/>
      <c r="N68" s="1247"/>
      <c r="O68" s="1247"/>
      <c r="P68" s="1247"/>
      <c r="Q68" s="1247"/>
      <c r="R68" s="1247"/>
      <c r="S68" s="1247"/>
      <c r="T68" s="1247"/>
      <c r="U68" s="1247"/>
      <c r="V68" s="1247"/>
      <c r="W68" s="1247"/>
      <c r="X68" s="858"/>
      <c r="Y68" s="1611"/>
      <c r="Z68" s="1612"/>
      <c r="AA68" s="1612"/>
      <c r="AB68" s="1612"/>
      <c r="AC68" s="1612"/>
      <c r="AD68" s="1612"/>
      <c r="AE68" s="1612"/>
      <c r="AF68" s="1613"/>
    </row>
    <row r="69" spans="1:32" ht="18.95" customHeight="1">
      <c r="A69" s="1614" t="s">
        <v>3634</v>
      </c>
      <c r="B69" s="1247"/>
      <c r="C69" s="1247"/>
      <c r="D69" s="1247"/>
      <c r="E69" s="1247"/>
      <c r="F69" s="1247"/>
      <c r="G69" s="858"/>
      <c r="H69" s="1631">
        <v>0</v>
      </c>
      <c r="I69" s="1632"/>
      <c r="J69" s="1632"/>
      <c r="K69" s="1632"/>
      <c r="L69" s="1632"/>
      <c r="M69" s="1633"/>
      <c r="N69" s="1618" t="s">
        <v>250</v>
      </c>
      <c r="O69" s="1156"/>
      <c r="P69" s="1247"/>
      <c r="Q69" s="1247"/>
      <c r="R69" s="1247"/>
      <c r="S69" s="1247"/>
      <c r="T69" s="1247"/>
      <c r="U69" s="1247"/>
      <c r="V69" s="1247"/>
      <c r="W69" s="1247"/>
      <c r="X69" s="858"/>
      <c r="Y69" s="628"/>
      <c r="Z69" s="1619"/>
      <c r="AA69" s="1620"/>
      <c r="AB69" s="1620"/>
      <c r="AC69" s="1620"/>
      <c r="AD69" s="1620"/>
      <c r="AE69" s="1621"/>
      <c r="AF69" s="629" t="s">
        <v>250</v>
      </c>
    </row>
    <row r="70" spans="1:32" ht="7.5" customHeight="1">
      <c r="A70" s="1627"/>
      <c r="B70" s="1247"/>
      <c r="C70" s="1247"/>
      <c r="D70" s="1247"/>
      <c r="E70" s="1247"/>
      <c r="F70" s="1247"/>
      <c r="G70" s="1247"/>
      <c r="H70" s="1247"/>
      <c r="I70" s="1247"/>
      <c r="J70" s="1247"/>
      <c r="K70" s="1247"/>
      <c r="L70" s="1247"/>
      <c r="M70" s="1247"/>
      <c r="N70" s="1247"/>
      <c r="O70" s="1247"/>
      <c r="P70" s="1247"/>
      <c r="Q70" s="1247"/>
      <c r="R70" s="1247"/>
      <c r="S70" s="1247"/>
      <c r="T70" s="1247"/>
      <c r="U70" s="1247"/>
      <c r="V70" s="1247"/>
      <c r="W70" s="1247"/>
      <c r="X70" s="858"/>
      <c r="Y70" s="1611"/>
      <c r="Z70" s="1612"/>
      <c r="AA70" s="1612"/>
      <c r="AB70" s="1612"/>
      <c r="AC70" s="1612"/>
      <c r="AD70" s="1612"/>
      <c r="AE70" s="1612"/>
      <c r="AF70" s="1613"/>
    </row>
    <row r="71" spans="1:32" ht="18.95" customHeight="1">
      <c r="A71" s="1614" t="s">
        <v>3819</v>
      </c>
      <c r="B71" s="1247"/>
      <c r="C71" s="1247"/>
      <c r="D71" s="1247"/>
      <c r="E71" s="1247"/>
      <c r="F71" s="1247"/>
      <c r="G71" s="858"/>
      <c r="H71" s="1615">
        <f>+H67-H69</f>
        <v>24732</v>
      </c>
      <c r="I71" s="1616"/>
      <c r="J71" s="1616"/>
      <c r="K71" s="1616"/>
      <c r="L71" s="1616"/>
      <c r="M71" s="1617"/>
      <c r="N71" s="1618" t="s">
        <v>250</v>
      </c>
      <c r="O71" s="1156"/>
      <c r="P71" s="1247"/>
      <c r="Q71" s="1247"/>
      <c r="R71" s="1247"/>
      <c r="S71" s="1247"/>
      <c r="T71" s="1247"/>
      <c r="U71" s="1247"/>
      <c r="V71" s="1247"/>
      <c r="W71" s="1247"/>
      <c r="X71" s="858"/>
      <c r="Y71" s="628"/>
      <c r="Z71" s="1619"/>
      <c r="AA71" s="1620"/>
      <c r="AB71" s="1620"/>
      <c r="AC71" s="1620"/>
      <c r="AD71" s="1620"/>
      <c r="AE71" s="1621"/>
      <c r="AF71" s="629" t="s">
        <v>250</v>
      </c>
    </row>
    <row r="72" spans="1:32" ht="6.75" customHeight="1">
      <c r="A72" s="1627"/>
      <c r="B72" s="1247"/>
      <c r="C72" s="1247"/>
      <c r="D72" s="1247"/>
      <c r="E72" s="1247"/>
      <c r="F72" s="1247"/>
      <c r="G72" s="1247"/>
      <c r="H72" s="1247"/>
      <c r="I72" s="1247"/>
      <c r="J72" s="1247"/>
      <c r="K72" s="1247"/>
      <c r="L72" s="1247"/>
      <c r="M72" s="1247"/>
      <c r="N72" s="1247"/>
      <c r="O72" s="1247"/>
      <c r="P72" s="1247"/>
      <c r="Q72" s="1247"/>
      <c r="R72" s="1247"/>
      <c r="S72" s="1247"/>
      <c r="T72" s="1247"/>
      <c r="U72" s="1247"/>
      <c r="V72" s="1247"/>
      <c r="W72" s="1247"/>
      <c r="X72" s="858"/>
      <c r="Y72" s="1611"/>
      <c r="Z72" s="1622"/>
      <c r="AA72" s="1622"/>
      <c r="AB72" s="1622"/>
      <c r="AC72" s="1622"/>
      <c r="AD72" s="1622"/>
      <c r="AE72" s="1622"/>
      <c r="AF72" s="1613"/>
    </row>
    <row r="73" spans="1:32" ht="33.75" customHeight="1">
      <c r="A73" s="1625"/>
      <c r="B73" s="1626"/>
      <c r="C73" s="1626"/>
      <c r="D73" s="1626"/>
      <c r="E73" s="1626"/>
      <c r="F73" s="1626"/>
      <c r="G73" s="1626"/>
      <c r="H73" s="1626"/>
      <c r="I73" s="1626"/>
      <c r="J73" s="1626"/>
      <c r="K73" s="1626"/>
      <c r="L73" s="1626"/>
      <c r="M73" s="1626"/>
      <c r="N73" s="1626"/>
      <c r="O73" s="1626"/>
      <c r="P73" s="1626"/>
      <c r="Q73" s="1626"/>
      <c r="R73" s="1626"/>
      <c r="S73" s="1626"/>
      <c r="T73" s="1626"/>
      <c r="U73" s="1626"/>
      <c r="V73" s="1626"/>
      <c r="W73" s="1626"/>
      <c r="X73" s="1626"/>
      <c r="Y73" s="631"/>
      <c r="Z73" s="632"/>
      <c r="AA73" s="632"/>
      <c r="AB73" s="632"/>
      <c r="AC73" s="632"/>
      <c r="AD73" s="618"/>
      <c r="AE73" s="618"/>
      <c r="AF73" s="633" t="s">
        <v>208</v>
      </c>
    </row>
    <row r="74" spans="1:32" ht="12.75">
      <c r="A74" s="1623" t="str">
        <f>+'DAP1'!A46</f>
        <v>Formulář zpracovala ASPEKT HM, daňová, účetní a auditorská kancelář, www.danovapriznani.cz, business.center.cz</v>
      </c>
      <c r="B74" s="1624"/>
      <c r="C74" s="1624"/>
      <c r="D74" s="1624"/>
      <c r="E74" s="1624"/>
      <c r="F74" s="1624"/>
      <c r="G74" s="1624"/>
      <c r="H74" s="1624"/>
      <c r="I74" s="1624"/>
      <c r="J74" s="1624"/>
      <c r="K74" s="1624"/>
      <c r="L74" s="1624"/>
      <c r="M74" s="1624"/>
      <c r="N74" s="1624"/>
      <c r="O74" s="1624"/>
      <c r="P74" s="1624"/>
      <c r="Q74" s="1624"/>
      <c r="R74" s="1624"/>
      <c r="S74" s="1624"/>
      <c r="T74" s="1624"/>
      <c r="U74" s="1624"/>
      <c r="V74" s="1624"/>
      <c r="W74" s="1624"/>
      <c r="X74" s="1624"/>
      <c r="Y74" s="634"/>
      <c r="Z74" s="635"/>
      <c r="AA74" s="635"/>
      <c r="AB74" s="1628" t="s">
        <v>3931</v>
      </c>
      <c r="AC74" s="1629"/>
      <c r="AD74" s="1629"/>
      <c r="AE74" s="1629"/>
      <c r="AF74" s="1630"/>
    </row>
    <row r="75" spans="1:32"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row>
    <row r="76" spans="1:32"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row>
    <row r="77" spans="1:32"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row>
    <row r="78" spans="1:32"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row>
    <row r="79" spans="1:32"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row>
    <row r="80" spans="1:32"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row>
    <row r="81" spans="1:32"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row>
    <row r="82" spans="1:32"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row>
    <row r="83" spans="1:32"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row>
    <row r="84" spans="1:32"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row>
    <row r="85" spans="1:32"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row>
    <row r="86" spans="1:32"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row>
    <row r="87" spans="1:32"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row>
    <row r="88" spans="1:32"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row>
    <row r="89" spans="1:32"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row>
    <row r="90" spans="1:32"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row>
    <row r="91" spans="1:32"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row>
    <row r="92" spans="1:32"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row>
    <row r="93" spans="1:32"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row>
    <row r="94" spans="1:32"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row>
    <row r="95" spans="1:32"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row>
    <row r="96" spans="1:32"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row>
    <row r="97" spans="1:32"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row>
    <row r="98" spans="1:32"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row>
    <row r="99" spans="1:32"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row>
    <row r="100" spans="1:32"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row>
    <row r="101" spans="1:32"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row>
    <row r="102" spans="1:32"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row>
    <row r="103" spans="1:32"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row>
    <row r="104" spans="1:32"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row>
    <row r="105" spans="1:32"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row>
    <row r="106" spans="1:32"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row>
    <row r="107" spans="1:32"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row>
    <row r="108" spans="1:32"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row>
    <row r="109" spans="1:32"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row>
    <row r="110" spans="1:32"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row>
    <row r="111" spans="1:32"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row>
    <row r="112" spans="1:32"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row>
    <row r="113" spans="1:32"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row>
    <row r="114" spans="1:32" ht="12.75">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row>
    <row r="115" spans="1:32" ht="12.75">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row>
    <row r="116" spans="1:32" ht="12.75">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row>
    <row r="117" spans="1:32" ht="12.75">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row>
    <row r="118" spans="1:32" ht="12.75">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row>
    <row r="119" spans="1:32" ht="12.75">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row>
    <row r="120" spans="1:32" ht="12.75">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row>
    <row r="121" spans="1:32" ht="12.75">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row>
    <row r="122" spans="1:32" ht="12.75">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row>
    <row r="123" spans="1:32" ht="12.75">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row>
    <row r="124" spans="1:32" ht="12.75">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row>
    <row r="125" spans="1:32" ht="12.75">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row>
    <row r="126" spans="1:32" ht="12.75">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row>
    <row r="127" spans="1:32" ht="12.75">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row>
    <row r="128" spans="1:32" ht="12.75">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row>
    <row r="129" spans="1:32" ht="12.75">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row>
    <row r="130" spans="1:32" ht="12.75">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row>
    <row r="131" spans="1:32" ht="12.75">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row>
    <row r="132" spans="1:32" ht="12.75">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row>
    <row r="133" spans="1:32" ht="12.75">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row>
    <row r="134" spans="1:32" ht="12.75">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row>
    <row r="135" spans="1:32" ht="12.75">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row>
    <row r="136" spans="1:32" ht="12.75">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row>
    <row r="137" spans="1:32" ht="12.75">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row>
    <row r="138" spans="1:32" ht="12.75">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row>
    <row r="139" spans="1:32" ht="12.75">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row>
    <row r="140" spans="1:32" ht="12.75">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row>
    <row r="141" spans="1:32" ht="12.75">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row>
    <row r="142" spans="1:32" ht="12.75">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row>
    <row r="143" spans="1:32" ht="12.75">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row>
    <row r="144" spans="1:32" ht="12.75">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row>
    <row r="145" spans="1:32" ht="12.75">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row>
    <row r="146" spans="1:32" ht="12.75">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row>
    <row r="147" spans="1:32" ht="12.75">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row>
    <row r="148" spans="1:32" ht="12.75">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row>
    <row r="149" spans="1:32" ht="12.75">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row>
    <row r="150" spans="1:32" ht="12.75">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row>
    <row r="151" spans="1:32" ht="12.75">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row>
    <row r="152" spans="1:32" ht="12.75">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row>
    <row r="153" spans="1:32" ht="12.75">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row>
    <row r="154" spans="1:32" ht="12.75">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row>
    <row r="155" spans="1:32" ht="12.75">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row>
    <row r="156" spans="1:32" ht="12.75">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row>
    <row r="157" spans="1:32" ht="12.75">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row>
    <row r="158" spans="1:32" ht="12.75">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row>
    <row r="159" spans="1:32" ht="12.75">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row>
    <row r="160" spans="1:32" ht="12.75">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row>
    <row r="161" spans="1:32" ht="12.75">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row>
    <row r="162" spans="1:32" ht="12.75">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row>
    <row r="163" spans="1:32" ht="12.75">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row>
    <row r="164" spans="1:32" ht="12.75">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row>
    <row r="165" s="29" customFormat="1" ht="12.75"/>
    <row r="166" s="29" customFormat="1" ht="12.75"/>
  </sheetData>
  <sheetProtection password="EF65" sheet="1" objects="1" scenarios="1"/>
  <mergeCells count="214">
    <mergeCell ref="P55:U55"/>
    <mergeCell ref="A44:N44"/>
    <mergeCell ref="A54:G54"/>
    <mergeCell ref="A43:G43"/>
    <mergeCell ref="H43:M43"/>
    <mergeCell ref="P54:U54"/>
    <mergeCell ref="H52:M52"/>
    <mergeCell ref="A41:AF41"/>
    <mergeCell ref="A49:G49"/>
    <mergeCell ref="H49:M49"/>
    <mergeCell ref="A51:G51"/>
    <mergeCell ref="A50:G50"/>
    <mergeCell ref="P52:U52"/>
    <mergeCell ref="H53:M53"/>
    <mergeCell ref="A46:N46"/>
    <mergeCell ref="N51:O51"/>
    <mergeCell ref="A42:X42"/>
    <mergeCell ref="Y42:AF42"/>
    <mergeCell ref="Y43:AF43"/>
    <mergeCell ref="N43:X43"/>
    <mergeCell ref="A48:X48"/>
    <mergeCell ref="Z49:AE49"/>
    <mergeCell ref="T44:V44"/>
    <mergeCell ref="R44:S44"/>
    <mergeCell ref="AD28:AF28"/>
    <mergeCell ref="A15:AF15"/>
    <mergeCell ref="U19:V19"/>
    <mergeCell ref="AA19:AF19"/>
    <mergeCell ref="A27:F27"/>
    <mergeCell ref="H54:M54"/>
    <mergeCell ref="H51:M51"/>
    <mergeCell ref="Y44:AA44"/>
    <mergeCell ref="A5:F5"/>
    <mergeCell ref="A6:F6"/>
    <mergeCell ref="U6:AF6"/>
    <mergeCell ref="G5:T6"/>
    <mergeCell ref="U5:AF5"/>
    <mergeCell ref="A36:AF36"/>
    <mergeCell ref="A38:AF38"/>
    <mergeCell ref="A40:AF40"/>
    <mergeCell ref="O10:S10"/>
    <mergeCell ref="O12:Y12"/>
    <mergeCell ref="A10:F10"/>
    <mergeCell ref="A12:H12"/>
    <mergeCell ref="J17:AF17"/>
    <mergeCell ref="J12:M12"/>
    <mergeCell ref="A16:AF16"/>
    <mergeCell ref="A11:H11"/>
    <mergeCell ref="AA9:AF9"/>
    <mergeCell ref="AA12:AF12"/>
    <mergeCell ref="AA13:AF13"/>
    <mergeCell ref="A9:F9"/>
    <mergeCell ref="H10:M10"/>
    <mergeCell ref="AA11:AF11"/>
    <mergeCell ref="O11:Y11"/>
    <mergeCell ref="J11:M11"/>
    <mergeCell ref="U10:Y10"/>
    <mergeCell ref="AA10:AF10"/>
    <mergeCell ref="A53:G53"/>
    <mergeCell ref="N53:O53"/>
    <mergeCell ref="P51:U51"/>
    <mergeCell ref="P53:U53"/>
    <mergeCell ref="C13:M13"/>
    <mergeCell ref="C14:M14"/>
    <mergeCell ref="O14:Y14"/>
    <mergeCell ref="O13:Y13"/>
    <mergeCell ref="O44:Q44"/>
    <mergeCell ref="A45:O45"/>
    <mergeCell ref="A47:O47"/>
    <mergeCell ref="A28:F28"/>
    <mergeCell ref="N49:X49"/>
    <mergeCell ref="H35:K35"/>
    <mergeCell ref="A30:AF30"/>
    <mergeCell ref="A31:AF31"/>
    <mergeCell ref="AB44:AC44"/>
    <mergeCell ref="AD44:AF44"/>
    <mergeCell ref="AA45:AD45"/>
    <mergeCell ref="AA47:AD47"/>
    <mergeCell ref="AD46:AF46"/>
    <mergeCell ref="AB46:AC46"/>
    <mergeCell ref="Y46:AA46"/>
    <mergeCell ref="Z18:AF18"/>
    <mergeCell ref="B1:Z1"/>
    <mergeCell ref="B2:Z2"/>
    <mergeCell ref="A3:C3"/>
    <mergeCell ref="S3:W3"/>
    <mergeCell ref="E3:I3"/>
    <mergeCell ref="A4:J4"/>
    <mergeCell ref="A7:AF7"/>
    <mergeCell ref="A8:AF8"/>
    <mergeCell ref="A24:AF24"/>
    <mergeCell ref="R4:AF4"/>
    <mergeCell ref="A18:E18"/>
    <mergeCell ref="A20:E20"/>
    <mergeCell ref="J19:T19"/>
    <mergeCell ref="V21:Z22"/>
    <mergeCell ref="AB21:AF22"/>
    <mergeCell ref="J22:T22"/>
    <mergeCell ref="J21:T21"/>
    <mergeCell ref="A23:AF23"/>
    <mergeCell ref="J20:T20"/>
    <mergeCell ref="J18:T18"/>
    <mergeCell ref="U18:Y18"/>
    <mergeCell ref="U20:Y20"/>
    <mergeCell ref="AA1:AE3"/>
    <mergeCell ref="H9:J9"/>
    <mergeCell ref="L4:P4"/>
    <mergeCell ref="A32:AF32"/>
    <mergeCell ref="H39:K39"/>
    <mergeCell ref="A22:E22"/>
    <mergeCell ref="AA20:AF20"/>
    <mergeCell ref="A25:N25"/>
    <mergeCell ref="P25:T25"/>
    <mergeCell ref="V25:Z25"/>
    <mergeCell ref="A35:F35"/>
    <mergeCell ref="A39:F39"/>
    <mergeCell ref="L33:AD33"/>
    <mergeCell ref="L35:AD35"/>
    <mergeCell ref="A37:AD37"/>
    <mergeCell ref="L39:AD39"/>
    <mergeCell ref="A29:F29"/>
    <mergeCell ref="AB25:AF25"/>
    <mergeCell ref="A34:AF34"/>
    <mergeCell ref="H33:K33"/>
    <mergeCell ref="A26:F26"/>
    <mergeCell ref="AD26:AF26"/>
    <mergeCell ref="A33:F33"/>
    <mergeCell ref="U9:Y9"/>
    <mergeCell ref="AA14:AF14"/>
    <mergeCell ref="O9:S9"/>
    <mergeCell ref="Y48:AF48"/>
    <mergeCell ref="O46:Q46"/>
    <mergeCell ref="W44:X44"/>
    <mergeCell ref="R46:S46"/>
    <mergeCell ref="T46:V46"/>
    <mergeCell ref="W46:X46"/>
    <mergeCell ref="Q45:T45"/>
    <mergeCell ref="Q47:T47"/>
    <mergeCell ref="V45:X45"/>
    <mergeCell ref="V47:X47"/>
    <mergeCell ref="Y50:AF50"/>
    <mergeCell ref="Z51:AE51"/>
    <mergeCell ref="Y52:AF52"/>
    <mergeCell ref="Z53:AE53"/>
    <mergeCell ref="Y54:AF54"/>
    <mergeCell ref="Z55:AE55"/>
    <mergeCell ref="A58:G58"/>
    <mergeCell ref="A60:G60"/>
    <mergeCell ref="H57:M57"/>
    <mergeCell ref="H59:M59"/>
    <mergeCell ref="N57:O57"/>
    <mergeCell ref="N59:O59"/>
    <mergeCell ref="V50:X50"/>
    <mergeCell ref="V51:X51"/>
    <mergeCell ref="V52:X52"/>
    <mergeCell ref="V53:X53"/>
    <mergeCell ref="V54:X54"/>
    <mergeCell ref="V55:X55"/>
    <mergeCell ref="A52:G52"/>
    <mergeCell ref="H50:M50"/>
    <mergeCell ref="A55:G55"/>
    <mergeCell ref="N55:O55"/>
    <mergeCell ref="H55:M55"/>
    <mergeCell ref="P50:U50"/>
    <mergeCell ref="Y56:AF56"/>
    <mergeCell ref="Z57:AE57"/>
    <mergeCell ref="Y58:AF59"/>
    <mergeCell ref="Y60:AF60"/>
    <mergeCell ref="Z61:AE61"/>
    <mergeCell ref="Y62:AF62"/>
    <mergeCell ref="P57:U61"/>
    <mergeCell ref="V57:X61"/>
    <mergeCell ref="H60:O60"/>
    <mergeCell ref="H58:O58"/>
    <mergeCell ref="A56:X56"/>
    <mergeCell ref="A62:X62"/>
    <mergeCell ref="H61:M61"/>
    <mergeCell ref="N61:O61"/>
    <mergeCell ref="Y64:AF64"/>
    <mergeCell ref="A65:G65"/>
    <mergeCell ref="H65:M65"/>
    <mergeCell ref="N65:X65"/>
    <mergeCell ref="Z65:AE65"/>
    <mergeCell ref="Y66:AF66"/>
    <mergeCell ref="A64:X64"/>
    <mergeCell ref="A66:X66"/>
    <mergeCell ref="A57:G57"/>
    <mergeCell ref="A59:G59"/>
    <mergeCell ref="A61:G61"/>
    <mergeCell ref="A63:G63"/>
    <mergeCell ref="N63:X63"/>
    <mergeCell ref="H63:M63"/>
    <mergeCell ref="Z63:AE63"/>
    <mergeCell ref="A67:G67"/>
    <mergeCell ref="H67:M67"/>
    <mergeCell ref="N67:X67"/>
    <mergeCell ref="Z67:AE67"/>
    <mergeCell ref="Y68:AF68"/>
    <mergeCell ref="A69:G69"/>
    <mergeCell ref="H69:M69"/>
    <mergeCell ref="N69:X69"/>
    <mergeCell ref="Z69:AE69"/>
    <mergeCell ref="A68:X68"/>
    <mergeCell ref="Y70:AF70"/>
    <mergeCell ref="A71:G71"/>
    <mergeCell ref="H71:M71"/>
    <mergeCell ref="N71:X71"/>
    <mergeCell ref="Z71:AE71"/>
    <mergeCell ref="Y72:AF72"/>
    <mergeCell ref="A74:X74"/>
    <mergeCell ref="A73:X73"/>
    <mergeCell ref="A70:X70"/>
    <mergeCell ref="A72:X72"/>
    <mergeCell ref="AB74:AF74"/>
  </mergeCells>
  <printOptions horizontalCentered="1" verticalCentered="1"/>
  <pageMargins left="0.196850393700787" right="0.196850393700787" top="0.393700787401575" bottom="0.393700787401575" header="0.511811023622047" footer="0.511811023622047"/>
  <pageSetup orientation="portrait" paperSize="9" scale="83" r:id="rId4"/>
  <headerFooter alignWithMargins="0"/>
  <drawing r:id="rId2"/>
  <legacyDrawing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F99"/>
    <pageSetUpPr fitToPage="1"/>
  </sheetPr>
  <dimension ref="A1:CE80"/>
  <sheetViews>
    <sheetView workbookViewId="0" topLeftCell="A1">
      <selection pane="topLeft" activeCell="A33" sqref="A33:L33"/>
    </sheetView>
  </sheetViews>
  <sheetFormatPr defaultColWidth="9.14428571428571" defaultRowHeight="12.75"/>
  <cols>
    <col min="1" max="2" width="2.42857142857143" style="136" customWidth="1"/>
    <col min="3" max="3" width="16.7142857142857" style="136" customWidth="1"/>
    <col min="4" max="4" width="3.14285714285714" style="136" customWidth="1"/>
    <col min="5" max="5" width="2.42857142857143" style="136" customWidth="1"/>
    <col min="6" max="6" width="1.71428571428571" style="136" customWidth="1"/>
    <col min="7" max="40" width="2.42857142857143" style="136" customWidth="1"/>
    <col min="41" max="41" width="3" style="136" customWidth="1"/>
    <col min="42" max="81" width="9.14285714285714" style="29"/>
    <col min="82" max="16384" width="9.14285714285714" style="136"/>
  </cols>
  <sheetData>
    <row r="1" spans="1:41 82:83" ht="18" customHeight="1">
      <c r="A1" s="1887"/>
      <c r="B1" s="1661"/>
      <c r="C1" s="1661"/>
      <c r="D1" s="1874" t="s">
        <v>3932</v>
      </c>
      <c r="E1" s="1874"/>
      <c r="F1" s="1874"/>
      <c r="G1" s="1874"/>
      <c r="H1" s="1874"/>
      <c r="I1" s="1874"/>
      <c r="J1" s="1874"/>
      <c r="K1" s="1874"/>
      <c r="L1" s="1875"/>
      <c r="M1" s="1875"/>
      <c r="N1" s="1875"/>
      <c r="O1" s="1875"/>
      <c r="P1" s="1875"/>
      <c r="Q1" s="1875"/>
      <c r="R1" s="1875"/>
      <c r="S1" s="1875"/>
      <c r="T1" s="1875"/>
      <c r="U1" s="1875"/>
      <c r="V1" s="1875"/>
      <c r="W1" s="1875"/>
      <c r="X1" s="1875"/>
      <c r="Y1" s="1875"/>
      <c r="Z1" s="1875"/>
      <c r="AA1" s="1875"/>
      <c r="AB1" s="1875"/>
      <c r="AC1" s="1875"/>
      <c r="AD1" s="1875"/>
      <c r="AE1" s="1875"/>
      <c r="AF1" s="1875"/>
      <c r="AG1" s="1875"/>
      <c r="AH1" s="1875"/>
      <c r="AI1" s="1875"/>
      <c r="AJ1" s="353"/>
      <c r="AK1" s="353"/>
      <c r="AL1" s="353"/>
      <c r="AM1" s="353"/>
      <c r="AN1" s="353"/>
      <c r="AO1" s="353"/>
      <c r="CD1" s="29"/>
      <c r="CE1" s="29"/>
    </row>
    <row r="2" spans="1:41 82:83" ht="12.75">
      <c r="A2" s="1888"/>
      <c r="B2" s="1888"/>
      <c r="C2" s="1888"/>
      <c r="D2" s="354"/>
      <c r="E2" s="381"/>
      <c r="F2" s="381"/>
      <c r="G2" s="381"/>
      <c r="H2" s="381"/>
      <c r="I2" s="381"/>
      <c r="J2" s="381"/>
      <c r="K2" s="381"/>
      <c r="L2" s="381"/>
      <c r="M2" s="381"/>
      <c r="N2" s="1876" t="s">
        <v>195</v>
      </c>
      <c r="O2" s="1877"/>
      <c r="P2" s="1877"/>
      <c r="Q2" s="1877"/>
      <c r="R2" s="1877"/>
      <c r="S2" s="1877"/>
      <c r="T2" s="1877"/>
      <c r="U2" s="1877"/>
      <c r="V2" s="1877"/>
      <c r="W2" s="1884"/>
      <c r="X2" s="745"/>
      <c r="Y2" s="745"/>
      <c r="Z2" s="745"/>
      <c r="AA2" s="745"/>
      <c r="AB2" s="745"/>
      <c r="AC2" s="745"/>
      <c r="AD2" s="745"/>
      <c r="AE2" s="745"/>
      <c r="AF2" s="745"/>
      <c r="AG2" s="745"/>
      <c r="AH2" s="745"/>
      <c r="AI2" s="375"/>
      <c r="AJ2" s="353"/>
      <c r="AK2" s="353"/>
      <c r="AL2" s="353"/>
      <c r="AM2" s="353"/>
      <c r="AN2" s="353"/>
      <c r="AO2" s="353"/>
      <c r="CD2" s="29"/>
      <c r="CE2" s="29"/>
    </row>
    <row r="3" spans="1:41 82:83" ht="12.75">
      <c r="A3" s="1888"/>
      <c r="B3" s="1888"/>
      <c r="C3" s="1888"/>
      <c r="D3" s="323"/>
      <c r="E3" s="323"/>
      <c r="F3" s="323"/>
      <c r="G3" s="323"/>
      <c r="H3" s="323"/>
      <c r="I3" s="323"/>
      <c r="J3" s="323"/>
      <c r="K3" s="323"/>
      <c r="L3" s="323"/>
      <c r="M3" s="323"/>
      <c r="N3" s="1878" t="str">
        <f>+'SP1'!AA10</f>
        <v/>
      </c>
      <c r="O3" s="1879"/>
      <c r="P3" s="1879"/>
      <c r="Q3" s="1879"/>
      <c r="R3" s="1879"/>
      <c r="S3" s="1879"/>
      <c r="T3" s="1879"/>
      <c r="U3" s="1879"/>
      <c r="V3" s="1397"/>
      <c r="W3" s="1711" t="s">
        <v>374</v>
      </c>
      <c r="X3" s="1885"/>
      <c r="Y3" s="1885"/>
      <c r="Z3" s="1885"/>
      <c r="AA3" s="1885"/>
      <c r="AB3" s="1885"/>
      <c r="AC3" s="1885"/>
      <c r="AD3" s="1885"/>
      <c r="AE3" s="1885"/>
      <c r="AF3" s="1885"/>
      <c r="AG3" s="1885"/>
      <c r="AH3" s="1885"/>
      <c r="AI3" s="1885"/>
      <c r="AJ3" s="1885"/>
      <c r="AK3" s="1885"/>
      <c r="AL3" s="1885"/>
      <c r="AM3" s="1885"/>
      <c r="AN3" s="1885"/>
      <c r="AO3" s="1885"/>
      <c r="CD3" s="29"/>
      <c r="CE3" s="29"/>
    </row>
    <row r="4" spans="1:41" ht="5.1" customHeight="1">
      <c r="A4" s="1700"/>
      <c r="B4" s="1700"/>
      <c r="C4" s="1700"/>
      <c r="D4" s="1700"/>
      <c r="E4" s="1700"/>
      <c r="F4" s="1700"/>
      <c r="G4" s="1700"/>
      <c r="H4" s="1700"/>
      <c r="I4" s="1700"/>
      <c r="J4" s="1700"/>
      <c r="K4" s="1700"/>
      <c r="L4" s="1700"/>
      <c r="M4" s="1700"/>
      <c r="N4" s="1700"/>
      <c r="O4" s="1700"/>
      <c r="P4" s="1700"/>
      <c r="Q4" s="1700"/>
      <c r="R4" s="1700"/>
      <c r="S4" s="1700"/>
      <c r="T4" s="1700"/>
      <c r="U4" s="1700"/>
      <c r="V4" s="1700"/>
      <c r="W4" s="1700"/>
      <c r="X4" s="1700"/>
      <c r="Y4" s="1700"/>
      <c r="Z4" s="1700"/>
      <c r="AA4" s="1700"/>
      <c r="AB4" s="1875"/>
      <c r="AC4" s="1875"/>
      <c r="AD4" s="1875"/>
      <c r="AE4" s="1875"/>
      <c r="AF4" s="1875"/>
      <c r="AG4" s="1875"/>
      <c r="AH4" s="1875"/>
      <c r="AI4" s="1875"/>
      <c r="AJ4" s="1875"/>
      <c r="AK4" s="1875"/>
      <c r="AL4" s="1875"/>
      <c r="AM4" s="1875"/>
      <c r="AN4" s="1875"/>
      <c r="AO4" s="1875"/>
    </row>
    <row r="5" spans="1:41" ht="12.75">
      <c r="A5" s="1704" t="s">
        <v>3775</v>
      </c>
      <c r="B5" s="1705"/>
      <c r="C5" s="1705"/>
      <c r="D5" s="1705"/>
      <c r="E5" s="1705"/>
      <c r="F5" s="1705"/>
      <c r="G5" s="1705"/>
      <c r="H5" s="1705"/>
      <c r="I5" s="1705"/>
      <c r="J5" s="1705"/>
      <c r="K5" s="1705"/>
      <c r="L5" s="1705"/>
      <c r="M5" s="1705"/>
      <c r="N5" s="1705"/>
      <c r="O5" s="1705"/>
      <c r="P5" s="1705"/>
      <c r="Q5" s="1705"/>
      <c r="R5" s="1705"/>
      <c r="S5" s="1705"/>
      <c r="T5" s="1705"/>
      <c r="U5" s="1705"/>
      <c r="V5" s="1705"/>
      <c r="W5" s="1705"/>
      <c r="X5" s="1705"/>
      <c r="Y5" s="1705"/>
      <c r="Z5" s="1705"/>
      <c r="AA5" s="1705"/>
      <c r="AB5" s="1705"/>
      <c r="AC5" s="1705"/>
      <c r="AD5" s="1705"/>
      <c r="AE5" s="1705"/>
      <c r="AF5" s="1705"/>
      <c r="AG5" s="1705"/>
      <c r="AH5" s="1705"/>
      <c r="AI5" s="1705"/>
      <c r="AJ5" s="1705"/>
      <c r="AK5" s="1705"/>
      <c r="AL5" s="1705"/>
      <c r="AM5" s="1705"/>
      <c r="AN5" s="1705"/>
      <c r="AO5" s="1719"/>
    </row>
    <row r="6" spans="1:41" ht="5.1" customHeight="1">
      <c r="A6" s="376"/>
      <c r="B6" s="324"/>
      <c r="C6" s="324"/>
      <c r="D6" s="324"/>
      <c r="E6" s="324"/>
      <c r="F6" s="324"/>
      <c r="G6" s="324"/>
      <c r="H6" s="324"/>
      <c r="I6" s="324"/>
      <c r="J6" s="324"/>
      <c r="K6" s="324"/>
      <c r="L6" s="324"/>
      <c r="M6" s="324"/>
      <c r="N6" s="324"/>
      <c r="O6" s="324"/>
      <c r="P6" s="324"/>
      <c r="Q6" s="324"/>
      <c r="R6" s="324"/>
      <c r="S6" s="324"/>
      <c r="T6" s="324"/>
      <c r="U6" s="324"/>
      <c r="V6" s="324"/>
      <c r="W6" s="324"/>
      <c r="X6" s="324"/>
      <c r="Y6" s="324"/>
      <c r="Z6" s="324"/>
      <c r="AA6" s="324"/>
      <c r="AB6" s="324"/>
      <c r="AC6" s="324"/>
      <c r="AD6" s="324"/>
      <c r="AE6" s="324"/>
      <c r="AF6" s="324"/>
      <c r="AG6" s="324"/>
      <c r="AH6" s="324"/>
      <c r="AI6" s="324"/>
      <c r="AJ6" s="324"/>
      <c r="AK6" s="324"/>
      <c r="AL6" s="324"/>
      <c r="AM6" s="324"/>
      <c r="AN6" s="324"/>
      <c r="AO6" s="377"/>
    </row>
    <row r="7" spans="1:41" ht="23.1" customHeight="1">
      <c r="A7" s="1933" t="s">
        <v>398</v>
      </c>
      <c r="B7" s="1934"/>
      <c r="C7" s="1934"/>
      <c r="D7" s="1934"/>
      <c r="E7" s="1934"/>
      <c r="F7" s="1934"/>
      <c r="G7" s="1934"/>
      <c r="H7" s="1934"/>
      <c r="I7" s="1934"/>
      <c r="J7" s="1934"/>
      <c r="K7" s="1934"/>
      <c r="L7" s="1934"/>
      <c r="M7" s="1934"/>
      <c r="N7" s="1942">
        <f>+IF('SP1'!H71&lt;0,-'SP1'!H71,0)</f>
        <v>0</v>
      </c>
      <c r="O7" s="1943"/>
      <c r="P7" s="1943"/>
      <c r="Q7" s="1943"/>
      <c r="R7" s="1943"/>
      <c r="S7" s="1943"/>
      <c r="T7" s="1943"/>
      <c r="U7" s="1943"/>
      <c r="V7" s="1943"/>
      <c r="W7" s="1943"/>
      <c r="X7" s="1943"/>
      <c r="Y7" s="1944"/>
      <c r="Z7" s="1946" t="s">
        <v>250</v>
      </c>
      <c r="AA7" s="1946"/>
      <c r="AB7" s="1946"/>
      <c r="AC7" s="1946"/>
      <c r="AD7" s="1946"/>
      <c r="AE7" s="1946"/>
      <c r="AF7" s="1946"/>
      <c r="AG7" s="1946"/>
      <c r="AH7" s="1946"/>
      <c r="AI7" s="1946"/>
      <c r="AJ7" s="1946"/>
      <c r="AK7" s="1946"/>
      <c r="AL7" s="1946"/>
      <c r="AM7" s="1946"/>
      <c r="AN7" s="1946"/>
      <c r="AO7" s="1947"/>
    </row>
    <row r="8" spans="1:41" ht="15" customHeight="1">
      <c r="A8" s="1812" t="s">
        <v>3844</v>
      </c>
      <c r="B8" s="1935"/>
      <c r="C8" s="1935"/>
      <c r="D8" s="1935"/>
      <c r="E8" s="1935"/>
      <c r="F8" s="1935"/>
      <c r="G8" s="1935"/>
      <c r="H8" s="1935"/>
      <c r="I8" s="1935"/>
      <c r="J8" s="1935"/>
      <c r="K8" s="1935"/>
      <c r="L8" s="1935"/>
      <c r="M8" s="1935"/>
      <c r="N8" s="1935"/>
      <c r="O8" s="1935"/>
      <c r="P8" s="1935"/>
      <c r="Q8" s="1935"/>
      <c r="R8" s="1935"/>
      <c r="S8" s="1935"/>
      <c r="T8" s="1935"/>
      <c r="U8" s="1935"/>
      <c r="V8" s="1935"/>
      <c r="W8" s="1935"/>
      <c r="X8" s="1935"/>
      <c r="Y8" s="1935"/>
      <c r="Z8" s="1935"/>
      <c r="AA8" s="1935"/>
      <c r="AB8" s="1935"/>
      <c r="AC8" s="1935"/>
      <c r="AD8" s="1935"/>
      <c r="AE8" s="1935"/>
      <c r="AF8" s="1935"/>
      <c r="AG8" s="1935"/>
      <c r="AH8" s="1935"/>
      <c r="AI8" s="1935"/>
      <c r="AJ8" s="1935"/>
      <c r="AK8" s="1935"/>
      <c r="AL8" s="1935"/>
      <c r="AM8" s="1935"/>
      <c r="AN8" s="1935"/>
      <c r="AO8" s="1936"/>
    </row>
    <row r="9" spans="1:81" s="196" customFormat="1" ht="9.95" customHeight="1">
      <c r="A9" s="1948" t="s">
        <v>3843</v>
      </c>
      <c r="B9" s="894"/>
      <c r="C9" s="894"/>
      <c r="D9" s="1945" t="s">
        <v>3933</v>
      </c>
      <c r="E9" s="1691"/>
      <c r="F9" s="1907"/>
      <c r="G9" s="1911" t="s">
        <v>3934</v>
      </c>
      <c r="H9" s="1911"/>
      <c r="I9" s="1907"/>
      <c r="J9" s="1911" t="s">
        <v>3935</v>
      </c>
      <c r="K9" s="1911"/>
      <c r="L9" s="1907"/>
      <c r="M9" s="1911" t="s">
        <v>3936</v>
      </c>
      <c r="N9" s="1911"/>
      <c r="O9" s="1907"/>
      <c r="P9" s="1911" t="s">
        <v>3937</v>
      </c>
      <c r="Q9" s="1911"/>
      <c r="R9" s="1907"/>
      <c r="S9" s="1911" t="s">
        <v>3938</v>
      </c>
      <c r="T9" s="1911"/>
      <c r="U9" s="1907"/>
      <c r="V9" s="1911" t="s">
        <v>3939</v>
      </c>
      <c r="W9" s="1911"/>
      <c r="X9" s="1907"/>
      <c r="Y9" s="1911" t="s">
        <v>3940</v>
      </c>
      <c r="Z9" s="1911"/>
      <c r="AA9" s="1907"/>
      <c r="AB9" s="1911" t="s">
        <v>3941</v>
      </c>
      <c r="AC9" s="1911"/>
      <c r="AD9" s="1907"/>
      <c r="AE9" s="1911" t="s">
        <v>3942</v>
      </c>
      <c r="AF9" s="1911"/>
      <c r="AG9" s="1907"/>
      <c r="AH9" s="1911" t="s">
        <v>3943</v>
      </c>
      <c r="AI9" s="1911"/>
      <c r="AJ9" s="1907"/>
      <c r="AK9" s="1911" t="s">
        <v>3944</v>
      </c>
      <c r="AL9" s="1911"/>
      <c r="AM9" s="1912" t="s">
        <v>3945</v>
      </c>
      <c r="AN9" s="1691"/>
      <c r="AO9" s="1717"/>
      <c r="AP9" s="1929"/>
      <c r="AQ9" s="195"/>
      <c r="AR9" s="195"/>
      <c r="AS9" s="195"/>
      <c r="AT9" s="195"/>
      <c r="AU9" s="195"/>
      <c r="AV9" s="195"/>
      <c r="AW9" s="195"/>
      <c r="AX9" s="195"/>
      <c r="AY9" s="195"/>
      <c r="AZ9" s="195"/>
      <c r="BA9" s="195"/>
      <c r="BB9" s="195"/>
      <c r="BC9" s="195"/>
      <c r="BD9" s="195"/>
      <c r="BE9" s="195"/>
      <c r="BF9" s="195"/>
      <c r="BG9" s="195"/>
      <c r="BH9" s="195"/>
      <c r="BI9" s="195"/>
      <c r="BJ9" s="195"/>
      <c r="BK9" s="195"/>
      <c r="BL9" s="195"/>
      <c r="BM9" s="195"/>
      <c r="BN9" s="195"/>
      <c r="BO9" s="195"/>
      <c r="BP9" s="195"/>
      <c r="BQ9" s="195"/>
      <c r="BR9" s="195"/>
      <c r="BS9" s="195"/>
      <c r="BT9" s="195"/>
      <c r="BU9" s="195"/>
      <c r="BV9" s="195"/>
      <c r="BW9" s="195"/>
      <c r="BX9" s="195"/>
      <c r="BY9" s="195"/>
      <c r="BZ9" s="195"/>
      <c r="CA9" s="195"/>
      <c r="CB9" s="195"/>
      <c r="CC9" s="195"/>
    </row>
    <row r="10" spans="1:42" ht="15" customHeight="1">
      <c r="A10" s="1949"/>
      <c r="B10" s="894"/>
      <c r="C10" s="894"/>
      <c r="D10" s="1824"/>
      <c r="E10" s="1825"/>
      <c r="F10" s="1909"/>
      <c r="G10" s="1903"/>
      <c r="H10" s="1908"/>
      <c r="I10" s="1907"/>
      <c r="J10" s="1824"/>
      <c r="K10" s="1910"/>
      <c r="L10" s="1909"/>
      <c r="M10" s="1903"/>
      <c r="N10" s="1908"/>
      <c r="O10" s="1907"/>
      <c r="P10" s="1824"/>
      <c r="Q10" s="1910"/>
      <c r="R10" s="1909"/>
      <c r="S10" s="1903"/>
      <c r="T10" s="1908"/>
      <c r="U10" s="1907"/>
      <c r="V10" s="1824"/>
      <c r="W10" s="1910"/>
      <c r="X10" s="1909"/>
      <c r="Y10" s="1903"/>
      <c r="Z10" s="1908"/>
      <c r="AA10" s="1907"/>
      <c r="AB10" s="1824"/>
      <c r="AC10" s="1910"/>
      <c r="AD10" s="1909"/>
      <c r="AE10" s="1903"/>
      <c r="AF10" s="1908"/>
      <c r="AG10" s="1907"/>
      <c r="AH10" s="1824"/>
      <c r="AI10" s="1910"/>
      <c r="AJ10" s="1909"/>
      <c r="AK10" s="1903"/>
      <c r="AL10" s="1908"/>
      <c r="AM10" s="378"/>
      <c r="AN10" s="1824"/>
      <c r="AO10" s="1825"/>
      <c r="AP10" s="1929"/>
    </row>
    <row r="11" spans="1:41" ht="5.1" customHeight="1">
      <c r="A11" s="1627"/>
      <c r="B11" s="1894"/>
      <c r="C11" s="1894"/>
      <c r="D11" s="1894"/>
      <c r="E11" s="1894"/>
      <c r="F11" s="1894"/>
      <c r="G11" s="1894"/>
      <c r="H11" s="1894"/>
      <c r="I11" s="1894"/>
      <c r="J11" s="1894"/>
      <c r="K11" s="1894"/>
      <c r="L11" s="1894"/>
      <c r="M11" s="1894"/>
      <c r="N11" s="1894"/>
      <c r="O11" s="1894"/>
      <c r="P11" s="1894"/>
      <c r="Q11" s="1894"/>
      <c r="R11" s="1894"/>
      <c r="S11" s="1894"/>
      <c r="T11" s="1894"/>
      <c r="U11" s="1894"/>
      <c r="V11" s="1894"/>
      <c r="W11" s="1894"/>
      <c r="X11" s="1894"/>
      <c r="Y11" s="1894"/>
      <c r="Z11" s="1894"/>
      <c r="AA11" s="1894"/>
      <c r="AB11" s="1894"/>
      <c r="AC11" s="1894"/>
      <c r="AD11" s="1894"/>
      <c r="AE11" s="1894"/>
      <c r="AF11" s="1894"/>
      <c r="AG11" s="1894"/>
      <c r="AH11" s="1894"/>
      <c r="AI11" s="1894"/>
      <c r="AJ11" s="1894"/>
      <c r="AK11" s="1894"/>
      <c r="AL11" s="1894"/>
      <c r="AM11" s="1894"/>
      <c r="AN11" s="1894"/>
      <c r="AO11" s="1906"/>
    </row>
    <row r="12" spans="1:41" ht="12.75">
      <c r="A12" s="1950" t="s">
        <v>3953</v>
      </c>
      <c r="B12" s="1679"/>
      <c r="C12" s="1679"/>
      <c r="D12" s="1679"/>
      <c r="E12" s="1679"/>
      <c r="F12" s="1679"/>
      <c r="G12" s="1679"/>
      <c r="H12" s="1679"/>
      <c r="I12" s="1679"/>
      <c r="J12" s="1679"/>
      <c r="K12" s="1679"/>
      <c r="L12" s="1679"/>
      <c r="M12" s="1679"/>
      <c r="N12" s="1679"/>
      <c r="O12" s="1679"/>
      <c r="P12" s="1679"/>
      <c r="Q12" s="1679"/>
      <c r="R12" s="1679"/>
      <c r="S12" s="1679"/>
      <c r="T12" s="1679"/>
      <c r="U12" s="1679"/>
      <c r="V12" s="1679"/>
      <c r="W12" s="1679"/>
      <c r="X12" s="1679"/>
      <c r="Y12" s="1679"/>
      <c r="Z12" s="1679"/>
      <c r="AA12" s="1679"/>
      <c r="AB12" s="1679"/>
      <c r="AC12" s="1679"/>
      <c r="AD12" s="1679"/>
      <c r="AE12" s="1679"/>
      <c r="AF12" s="1679"/>
      <c r="AG12" s="1679"/>
      <c r="AH12" s="1679"/>
      <c r="AI12" s="1679"/>
      <c r="AJ12" s="1679"/>
      <c r="AK12" s="1679"/>
      <c r="AL12" s="1679"/>
      <c r="AM12" s="1679"/>
      <c r="AN12" s="1679"/>
      <c r="AO12" s="1951"/>
    </row>
    <row r="13" spans="1:41" ht="12.75">
      <c r="A13" s="1684"/>
      <c r="B13" s="1715"/>
      <c r="C13" s="1715"/>
      <c r="D13" s="1686" t="s">
        <v>3639</v>
      </c>
      <c r="E13" s="1680"/>
      <c r="F13" s="1680"/>
      <c r="G13" s="1680"/>
      <c r="H13" s="1680"/>
      <c r="I13" s="1680"/>
      <c r="J13" s="1680"/>
      <c r="K13" s="1680"/>
      <c r="L13" s="1680"/>
      <c r="M13" s="1680"/>
      <c r="N13" s="1680"/>
      <c r="O13" s="1680"/>
      <c r="P13" s="1680"/>
      <c r="Q13" s="1680"/>
      <c r="R13" s="1680"/>
      <c r="S13" s="1680"/>
      <c r="T13" s="1680"/>
      <c r="U13" s="1680"/>
      <c r="V13" s="1680"/>
      <c r="W13" s="1680"/>
      <c r="X13" s="1681"/>
      <c r="Y13" s="1681"/>
      <c r="Z13" s="1681"/>
      <c r="AA13" s="1681"/>
      <c r="AB13" s="1652"/>
      <c r="AC13" s="1652"/>
      <c r="AD13" s="1652"/>
      <c r="AE13" s="1652"/>
      <c r="AF13" s="1652"/>
      <c r="AG13" s="1652"/>
      <c r="AH13" s="1652"/>
      <c r="AI13" s="1652"/>
      <c r="AJ13" s="1652"/>
      <c r="AK13" s="1652"/>
      <c r="AL13" s="1652"/>
      <c r="AM13" s="1652"/>
      <c r="AN13" s="1652"/>
      <c r="AO13" s="1732"/>
    </row>
    <row r="14" spans="1:41" ht="15" customHeight="1">
      <c r="A14" s="366" t="s">
        <v>292</v>
      </c>
      <c r="B14" s="326"/>
      <c r="C14" s="542" t="s">
        <v>3638</v>
      </c>
      <c r="D14" s="1919"/>
      <c r="E14" s="1920"/>
      <c r="F14" s="1920"/>
      <c r="G14" s="1920"/>
      <c r="H14" s="1920"/>
      <c r="I14" s="1920"/>
      <c r="J14" s="1920"/>
      <c r="K14" s="1920"/>
      <c r="L14" s="1920"/>
      <c r="M14" s="1920"/>
      <c r="N14" s="1920"/>
      <c r="O14" s="1920"/>
      <c r="P14" s="1920"/>
      <c r="Q14" s="1920"/>
      <c r="R14" s="1920"/>
      <c r="S14" s="1920"/>
      <c r="T14" s="1920"/>
      <c r="U14" s="1920"/>
      <c r="V14" s="1920"/>
      <c r="W14" s="1920"/>
      <c r="X14" s="1920"/>
      <c r="Y14" s="1920"/>
      <c r="Z14" s="1920"/>
      <c r="AA14" s="1921"/>
      <c r="AB14" s="1737"/>
      <c r="AC14" s="1737"/>
      <c r="AD14" s="1737"/>
      <c r="AE14" s="1737"/>
      <c r="AF14" s="1737"/>
      <c r="AG14" s="1737"/>
      <c r="AH14" s="1737"/>
      <c r="AI14" s="1737"/>
      <c r="AJ14" s="1737"/>
      <c r="AK14" s="1737"/>
      <c r="AL14" s="1737"/>
      <c r="AM14" s="1737"/>
      <c r="AN14" s="1737"/>
      <c r="AO14" s="1857"/>
    </row>
    <row r="15" spans="1:81" s="137" customFormat="1" ht="9.95" customHeight="1">
      <c r="A15" s="1684"/>
      <c r="B15" s="1715"/>
      <c r="C15" s="1715"/>
      <c r="D15" s="1886" t="s">
        <v>325</v>
      </c>
      <c r="E15" s="1886"/>
      <c r="F15" s="1886"/>
      <c r="G15" s="1886"/>
      <c r="H15" s="1886"/>
      <c r="I15" s="1886"/>
      <c r="J15" s="1886"/>
      <c r="K15" s="1886"/>
      <c r="L15" s="382"/>
      <c r="M15" s="1680" t="s">
        <v>326</v>
      </c>
      <c r="N15" s="1680"/>
      <c r="O15" s="1680"/>
      <c r="P15" s="1680"/>
      <c r="Q15" s="1680"/>
      <c r="R15" s="1680"/>
      <c r="S15" s="1680"/>
      <c r="T15" s="1680"/>
      <c r="U15" s="1680"/>
      <c r="V15" s="382"/>
      <c r="W15" s="1680" t="s">
        <v>287</v>
      </c>
      <c r="X15" s="1680"/>
      <c r="Y15" s="1680"/>
      <c r="Z15" s="1680"/>
      <c r="AA15" s="382"/>
      <c r="AB15" s="382"/>
      <c r="AC15" s="1680" t="s">
        <v>368</v>
      </c>
      <c r="AD15" s="1681"/>
      <c r="AE15" s="1681"/>
      <c r="AF15" s="1681"/>
      <c r="AG15" s="1681"/>
      <c r="AH15" s="1681"/>
      <c r="AI15" s="382"/>
      <c r="AJ15" s="1680" t="s">
        <v>328</v>
      </c>
      <c r="AK15" s="1680"/>
      <c r="AL15" s="1680"/>
      <c r="AM15" s="1680"/>
      <c r="AN15" s="1681"/>
      <c r="AO15" s="1864"/>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row>
    <row r="16" spans="1:41" ht="15" customHeight="1">
      <c r="A16" s="1918"/>
      <c r="B16" s="1715"/>
      <c r="C16" s="1715"/>
      <c r="D16" s="1883" t="str">
        <f>+IF(ISERR(MID(ZAKL_DATA!B32,1,+FIND("-",ZAKL_DATA!B32)-1))," ",MID(ZAKL_DATA!B32,1,+FIND("-",ZAKL_DATA!B32)-1))</f>
        <v xml:space="preserve"> </v>
      </c>
      <c r="E16" s="1916"/>
      <c r="F16" s="1916"/>
      <c r="G16" s="1916"/>
      <c r="H16" s="1916"/>
      <c r="I16" s="1916"/>
      <c r="J16" s="1916"/>
      <c r="K16" s="1917"/>
      <c r="L16" s="323" t="s">
        <v>205</v>
      </c>
      <c r="M16" s="1692">
        <f>IF(ISERR(+MID(ZAKL_DATA!B32,+FIND("-",ZAKL_DATA!B32)+1,20)),ZAKL_DATA!B32,+MID(ZAKL_DATA!B32,+FIND("-",ZAKL_DATA!B32)+1,20))</f>
        <v>0</v>
      </c>
      <c r="N16" s="1923"/>
      <c r="O16" s="1923"/>
      <c r="P16" s="1923"/>
      <c r="Q16" s="1923"/>
      <c r="R16" s="1923"/>
      <c r="S16" s="1923"/>
      <c r="T16" s="1923"/>
      <c r="U16" s="1924"/>
      <c r="V16" s="370" t="s">
        <v>327</v>
      </c>
      <c r="W16" s="1925">
        <f>+ZAKL_DATA!B33</f>
        <v>0</v>
      </c>
      <c r="X16" s="1693"/>
      <c r="Y16" s="1693"/>
      <c r="Z16" s="1694"/>
      <c r="AA16" s="1764"/>
      <c r="AB16" s="1764"/>
      <c r="AC16" s="1922" t="str">
        <f>+N3</f>
        <v/>
      </c>
      <c r="AD16" s="1693"/>
      <c r="AE16" s="1693"/>
      <c r="AF16" s="1693"/>
      <c r="AG16" s="1693"/>
      <c r="AH16" s="1694"/>
      <c r="AI16" s="359"/>
      <c r="AJ16" s="1925"/>
      <c r="AK16" s="1926"/>
      <c r="AL16" s="1926"/>
      <c r="AM16" s="1926"/>
      <c r="AN16" s="1927"/>
      <c r="AO16" s="1928"/>
    </row>
    <row r="17" spans="1:41" ht="9.95" customHeight="1">
      <c r="A17" s="1763"/>
      <c r="B17" s="1764"/>
      <c r="C17" s="1764"/>
      <c r="D17" s="1764"/>
      <c r="E17" s="1764"/>
      <c r="F17" s="1764"/>
      <c r="G17" s="1764"/>
      <c r="H17" s="1764"/>
      <c r="I17" s="1764"/>
      <c r="J17" s="1764"/>
      <c r="K17" s="1764"/>
      <c r="L17" s="1764"/>
      <c r="M17" s="1764"/>
      <c r="N17" s="1764"/>
      <c r="O17" s="1764"/>
      <c r="P17" s="1764"/>
      <c r="Q17" s="1764"/>
      <c r="R17" s="1764"/>
      <c r="S17" s="1764"/>
      <c r="T17" s="1764"/>
      <c r="U17" s="1764"/>
      <c r="V17" s="1764"/>
      <c r="W17" s="1764"/>
      <c r="X17" s="1764"/>
      <c r="Y17" s="1764"/>
      <c r="Z17" s="1764"/>
      <c r="AA17" s="1764"/>
      <c r="AB17" s="1764"/>
      <c r="AC17" s="1764"/>
      <c r="AD17" s="1764"/>
      <c r="AE17" s="1764"/>
      <c r="AF17" s="1764"/>
      <c r="AG17" s="1764"/>
      <c r="AH17" s="1764"/>
      <c r="AI17" s="1764"/>
      <c r="AJ17" s="1764"/>
      <c r="AK17" s="1764"/>
      <c r="AL17" s="1764"/>
      <c r="AM17" s="1764"/>
      <c r="AN17" s="1764"/>
      <c r="AO17" s="1765"/>
    </row>
    <row r="18" spans="1:41" ht="9.95" customHeight="1">
      <c r="A18" s="360"/>
      <c r="B18" s="359"/>
      <c r="C18" s="359"/>
      <c r="D18" s="1680" t="s">
        <v>128</v>
      </c>
      <c r="E18" s="1680"/>
      <c r="F18" s="1680"/>
      <c r="G18" s="1680"/>
      <c r="H18" s="1680"/>
      <c r="I18" s="1680"/>
      <c r="J18" s="1680"/>
      <c r="K18" s="1680"/>
      <c r="L18" s="1680"/>
      <c r="M18" s="1680"/>
      <c r="N18" s="1680"/>
      <c r="O18" s="1680"/>
      <c r="P18" s="1680"/>
      <c r="Q18" s="1680"/>
      <c r="R18" s="1680"/>
      <c r="S18" s="1680"/>
      <c r="T18" s="1680"/>
      <c r="U18" s="1680"/>
      <c r="V18" s="1680"/>
      <c r="W18" s="1652"/>
      <c r="X18" s="1680" t="s">
        <v>127</v>
      </c>
      <c r="Y18" s="1680"/>
      <c r="Z18" s="1680"/>
      <c r="AA18" s="1680"/>
      <c r="AB18" s="1680"/>
      <c r="AC18" s="1680"/>
      <c r="AD18" s="1680"/>
      <c r="AE18" s="1652"/>
      <c r="AF18" s="1680" t="s">
        <v>148</v>
      </c>
      <c r="AG18" s="1680"/>
      <c r="AH18" s="1680"/>
      <c r="AI18" s="1680"/>
      <c r="AJ18" s="1680"/>
      <c r="AK18" s="1680"/>
      <c r="AL18" s="1680"/>
      <c r="AM18" s="1652"/>
      <c r="AN18" s="1652"/>
      <c r="AO18" s="1732"/>
    </row>
    <row r="19" spans="1:41" ht="15" customHeight="1">
      <c r="A19" s="366" t="s">
        <v>293</v>
      </c>
      <c r="B19" s="326"/>
      <c r="C19" s="1682" t="s">
        <v>3637</v>
      </c>
      <c r="D19" s="1913" t="str">
        <f>IF(EXACT("X",B19),+'SP1'!A10," ")</f>
        <v xml:space="preserve"> </v>
      </c>
      <c r="E19" s="1914"/>
      <c r="F19" s="1914"/>
      <c r="G19" s="1914"/>
      <c r="H19" s="1914"/>
      <c r="I19" s="1914"/>
      <c r="J19" s="1914"/>
      <c r="K19" s="1914"/>
      <c r="L19" s="1914"/>
      <c r="M19" s="1914"/>
      <c r="N19" s="1914"/>
      <c r="O19" s="1914"/>
      <c r="P19" s="1914"/>
      <c r="Q19" s="1914"/>
      <c r="R19" s="1914"/>
      <c r="S19" s="1914"/>
      <c r="T19" s="1914"/>
      <c r="U19" s="1914"/>
      <c r="V19" s="1915"/>
      <c r="W19" s="1737"/>
      <c r="X19" s="1913" t="str">
        <f>IF(EXACT("X",B19),+'SP1'!H10," ")</f>
        <v xml:space="preserve"> </v>
      </c>
      <c r="Y19" s="1914"/>
      <c r="Z19" s="1914"/>
      <c r="AA19" s="1914"/>
      <c r="AB19" s="1914"/>
      <c r="AC19" s="1914"/>
      <c r="AD19" s="1915"/>
      <c r="AE19" s="1737"/>
      <c r="AF19" s="1913" t="str">
        <f>IF(EXACT("X",B19),+'SP1'!O10," ")</f>
        <v xml:space="preserve"> </v>
      </c>
      <c r="AG19" s="1914"/>
      <c r="AH19" s="1914"/>
      <c r="AI19" s="1914"/>
      <c r="AJ19" s="1914"/>
      <c r="AK19" s="1914"/>
      <c r="AL19" s="1915"/>
      <c r="AM19" s="1737"/>
      <c r="AN19" s="1737"/>
      <c r="AO19" s="1857"/>
    </row>
    <row r="20" spans="1:41" ht="9.95" customHeight="1">
      <c r="A20" s="379"/>
      <c r="B20" s="367"/>
      <c r="C20" s="1683"/>
      <c r="D20" s="1680" t="s">
        <v>329</v>
      </c>
      <c r="E20" s="1680"/>
      <c r="F20" s="1680"/>
      <c r="G20" s="1680"/>
      <c r="H20" s="1680"/>
      <c r="I20" s="1680"/>
      <c r="J20" s="1680"/>
      <c r="K20" s="1680"/>
      <c r="L20" s="1680"/>
      <c r="M20" s="1680"/>
      <c r="N20" s="1680"/>
      <c r="O20" s="1680"/>
      <c r="P20" s="1680"/>
      <c r="Q20" s="1680"/>
      <c r="R20" s="1680"/>
      <c r="S20" s="1680"/>
      <c r="T20" s="1680"/>
      <c r="U20" s="1680"/>
      <c r="V20" s="1680"/>
      <c r="W20" s="1681"/>
      <c r="X20" s="1681"/>
      <c r="Y20" s="1681"/>
      <c r="Z20" s="1681"/>
      <c r="AA20" s="1681"/>
      <c r="AB20" s="1681"/>
      <c r="AC20" s="1681"/>
      <c r="AD20" s="1681"/>
      <c r="AE20" s="1652"/>
      <c r="AF20" s="1680" t="s">
        <v>50</v>
      </c>
      <c r="AG20" s="1680"/>
      <c r="AH20" s="1680"/>
      <c r="AI20" s="1680"/>
      <c r="AJ20" s="1680"/>
      <c r="AK20" s="1680"/>
      <c r="AL20" s="1680"/>
      <c r="AM20" s="1652"/>
      <c r="AN20" s="1652"/>
      <c r="AO20" s="1732"/>
    </row>
    <row r="21" spans="1:41" ht="15" customHeight="1">
      <c r="A21" s="1731"/>
      <c r="B21" s="1652"/>
      <c r="C21" s="1652"/>
      <c r="D21" s="1865" t="str">
        <f>IF(EXACT("X",B19),+'SP1'!A12," ")</f>
        <v xml:space="preserve"> </v>
      </c>
      <c r="E21" s="1866"/>
      <c r="F21" s="1866"/>
      <c r="G21" s="1866"/>
      <c r="H21" s="1866"/>
      <c r="I21" s="1866"/>
      <c r="J21" s="1866"/>
      <c r="K21" s="1866"/>
      <c r="L21" s="1866"/>
      <c r="M21" s="1866"/>
      <c r="N21" s="1866"/>
      <c r="O21" s="1866"/>
      <c r="P21" s="1866"/>
      <c r="Q21" s="1866"/>
      <c r="R21" s="1866"/>
      <c r="S21" s="1866"/>
      <c r="T21" s="1866"/>
      <c r="U21" s="1866"/>
      <c r="V21" s="1866"/>
      <c r="W21" s="1867"/>
      <c r="X21" s="1867"/>
      <c r="Y21" s="1867"/>
      <c r="Z21" s="1867"/>
      <c r="AA21" s="1867"/>
      <c r="AB21" s="1867"/>
      <c r="AC21" s="1867"/>
      <c r="AD21" s="1868"/>
      <c r="AE21" s="1652"/>
      <c r="AF21" s="1865" t="str">
        <f>IF(EXACT("X",B19),+'SP1'!O12," ")</f>
        <v xml:space="preserve"> </v>
      </c>
      <c r="AG21" s="1866"/>
      <c r="AH21" s="1866"/>
      <c r="AI21" s="1866"/>
      <c r="AJ21" s="1866"/>
      <c r="AK21" s="1866"/>
      <c r="AL21" s="1869"/>
      <c r="AM21" s="1652"/>
      <c r="AN21" s="1652"/>
      <c r="AO21" s="1732"/>
    </row>
    <row r="22" spans="1:41" ht="9.95" customHeight="1">
      <c r="A22" s="1731"/>
      <c r="B22" s="1652"/>
      <c r="C22" s="1652"/>
      <c r="D22" s="1870" t="s">
        <v>330</v>
      </c>
      <c r="E22" s="1870"/>
      <c r="F22" s="1870"/>
      <c r="G22" s="1870"/>
      <c r="H22" s="1870"/>
      <c r="I22" s="1870"/>
      <c r="J22" s="1870"/>
      <c r="K22" s="1870"/>
      <c r="L22" s="1870"/>
      <c r="M22" s="1870"/>
      <c r="N22" s="1870"/>
      <c r="O22" s="1870"/>
      <c r="P22" s="1870"/>
      <c r="Q22" s="1870"/>
      <c r="R22" s="1870"/>
      <c r="S22" s="1870"/>
      <c r="T22" s="1870"/>
      <c r="U22" s="1870"/>
      <c r="V22" s="1870"/>
      <c r="W22" s="1871"/>
      <c r="X22" s="1871"/>
      <c r="Y22" s="1871"/>
      <c r="Z22" s="1871"/>
      <c r="AA22" s="1871"/>
      <c r="AB22" s="1871"/>
      <c r="AC22" s="1871"/>
      <c r="AD22" s="1871"/>
      <c r="AE22" s="1652"/>
      <c r="AF22" s="1870" t="s">
        <v>51</v>
      </c>
      <c r="AG22" s="1870"/>
      <c r="AH22" s="1870"/>
      <c r="AI22" s="1870"/>
      <c r="AJ22" s="1870"/>
      <c r="AK22" s="1870"/>
      <c r="AL22" s="1870"/>
      <c r="AM22" s="1652"/>
      <c r="AN22" s="1652"/>
      <c r="AO22" s="1732"/>
    </row>
    <row r="23" spans="1:41" ht="15" customHeight="1">
      <c r="A23" s="1731"/>
      <c r="B23" s="1652"/>
      <c r="C23" s="1652"/>
      <c r="D23" s="1865" t="str">
        <f>IF(EXACT("X",B19),+'SP1'!A14," ")</f>
        <v xml:space="preserve"> </v>
      </c>
      <c r="E23" s="1866"/>
      <c r="F23" s="1866"/>
      <c r="G23" s="1866"/>
      <c r="H23" s="1866"/>
      <c r="I23" s="1866"/>
      <c r="J23" s="1866"/>
      <c r="K23" s="1866"/>
      <c r="L23" s="1866"/>
      <c r="M23" s="1866"/>
      <c r="N23" s="1866"/>
      <c r="O23" s="1866"/>
      <c r="P23" s="1866"/>
      <c r="Q23" s="1866"/>
      <c r="R23" s="1866"/>
      <c r="S23" s="1866"/>
      <c r="T23" s="1866"/>
      <c r="U23" s="1866"/>
      <c r="V23" s="1866"/>
      <c r="W23" s="1867"/>
      <c r="X23" s="1867"/>
      <c r="Y23" s="1867"/>
      <c r="Z23" s="1867"/>
      <c r="AA23" s="1867"/>
      <c r="AB23" s="1867"/>
      <c r="AC23" s="1867"/>
      <c r="AD23" s="1868"/>
      <c r="AE23" s="1652"/>
      <c r="AF23" s="1865" t="str">
        <f>IF(EXACT("X",B19),+'SP1'!C14," ")</f>
        <v xml:space="preserve"> </v>
      </c>
      <c r="AG23" s="1866"/>
      <c r="AH23" s="1866"/>
      <c r="AI23" s="1866"/>
      <c r="AJ23" s="1866"/>
      <c r="AK23" s="1866"/>
      <c r="AL23" s="1869"/>
      <c r="AM23" s="1652"/>
      <c r="AN23" s="1652"/>
      <c r="AO23" s="1732"/>
    </row>
    <row r="24" spans="1:41" ht="9.95" customHeight="1">
      <c r="A24" s="1731"/>
      <c r="B24" s="1652"/>
      <c r="C24" s="1652"/>
      <c r="D24" s="1680" t="s">
        <v>331</v>
      </c>
      <c r="E24" s="1680"/>
      <c r="F24" s="1680"/>
      <c r="G24" s="1680"/>
      <c r="H24" s="1680"/>
      <c r="I24" s="1680"/>
      <c r="J24" s="1680"/>
      <c r="K24" s="1680"/>
      <c r="L24" s="1680"/>
      <c r="M24" s="1680"/>
      <c r="N24" s="1680"/>
      <c r="O24" s="1680"/>
      <c r="P24" s="1680"/>
      <c r="Q24" s="1680"/>
      <c r="R24" s="1680"/>
      <c r="S24" s="1680"/>
      <c r="T24" s="1680"/>
      <c r="U24" s="1680"/>
      <c r="V24" s="1680"/>
      <c r="W24" s="1681"/>
      <c r="X24" s="1681"/>
      <c r="Y24" s="1681"/>
      <c r="Z24" s="1681"/>
      <c r="AA24" s="1681"/>
      <c r="AB24" s="1681"/>
      <c r="AC24" s="1681"/>
      <c r="AD24" s="1681"/>
      <c r="AE24" s="1681"/>
      <c r="AF24" s="1681"/>
      <c r="AG24" s="1681"/>
      <c r="AH24" s="1681"/>
      <c r="AI24" s="1681"/>
      <c r="AJ24" s="1681"/>
      <c r="AK24" s="1681"/>
      <c r="AL24" s="1681"/>
      <c r="AM24" s="1652"/>
      <c r="AN24" s="1652"/>
      <c r="AO24" s="1732"/>
    </row>
    <row r="25" spans="1:41" ht="15" customHeight="1">
      <c r="A25" s="1731"/>
      <c r="B25" s="1652"/>
      <c r="C25" s="1652"/>
      <c r="D25" s="1865" t="str">
        <f>IF(EXACT("X",B19),+'SP1'!O14," ")</f>
        <v xml:space="preserve"> </v>
      </c>
      <c r="E25" s="1866"/>
      <c r="F25" s="1866"/>
      <c r="G25" s="1866"/>
      <c r="H25" s="1866"/>
      <c r="I25" s="1866"/>
      <c r="J25" s="1866"/>
      <c r="K25" s="1866"/>
      <c r="L25" s="1866"/>
      <c r="M25" s="1866"/>
      <c r="N25" s="1866"/>
      <c r="O25" s="1866"/>
      <c r="P25" s="1866"/>
      <c r="Q25" s="1866"/>
      <c r="R25" s="1866"/>
      <c r="S25" s="1866"/>
      <c r="T25" s="1866"/>
      <c r="U25" s="1866"/>
      <c r="V25" s="1866"/>
      <c r="W25" s="1867"/>
      <c r="X25" s="1867"/>
      <c r="Y25" s="1867"/>
      <c r="Z25" s="1867"/>
      <c r="AA25" s="1867"/>
      <c r="AB25" s="1867"/>
      <c r="AC25" s="1867"/>
      <c r="AD25" s="1867"/>
      <c r="AE25" s="1867"/>
      <c r="AF25" s="1867"/>
      <c r="AG25" s="1867"/>
      <c r="AH25" s="1867"/>
      <c r="AI25" s="1867"/>
      <c r="AJ25" s="1867"/>
      <c r="AK25" s="1867"/>
      <c r="AL25" s="1868"/>
      <c r="AM25" s="1652"/>
      <c r="AN25" s="1652"/>
      <c r="AO25" s="1732"/>
    </row>
    <row r="26" spans="1:41" ht="7.5" customHeight="1">
      <c r="A26" s="1731"/>
      <c r="B26" s="1652"/>
      <c r="C26" s="1652"/>
      <c r="D26" s="1652"/>
      <c r="E26" s="1652"/>
      <c r="F26" s="1652"/>
      <c r="G26" s="1652"/>
      <c r="H26" s="1652"/>
      <c r="I26" s="1652"/>
      <c r="J26" s="1652"/>
      <c r="K26" s="1652"/>
      <c r="L26" s="1652"/>
      <c r="M26" s="1652"/>
      <c r="N26" s="1652"/>
      <c r="O26" s="1652"/>
      <c r="P26" s="1652"/>
      <c r="Q26" s="1652"/>
      <c r="R26" s="1652"/>
      <c r="S26" s="1652"/>
      <c r="T26" s="1652"/>
      <c r="U26" s="1652"/>
      <c r="V26" s="1652"/>
      <c r="W26" s="1652"/>
      <c r="X26" s="1652"/>
      <c r="Y26" s="1652"/>
      <c r="Z26" s="1652"/>
      <c r="AA26" s="1652"/>
      <c r="AB26" s="1652"/>
      <c r="AC26" s="1652"/>
      <c r="AD26" s="1652"/>
      <c r="AE26" s="1652"/>
      <c r="AF26" s="1652"/>
      <c r="AG26" s="1652"/>
      <c r="AH26" s="1652"/>
      <c r="AI26" s="1652"/>
      <c r="AJ26" s="1652"/>
      <c r="AK26" s="1652"/>
      <c r="AL26" s="1652"/>
      <c r="AM26" s="1652"/>
      <c r="AN26" s="1652"/>
      <c r="AO26" s="1732"/>
    </row>
    <row r="27" spans="1:41" ht="12.75">
      <c r="A27" s="1704" t="s">
        <v>3946</v>
      </c>
      <c r="B27" s="1705"/>
      <c r="C27" s="1705"/>
      <c r="D27" s="1705"/>
      <c r="E27" s="1705"/>
      <c r="F27" s="1705"/>
      <c r="G27" s="1705"/>
      <c r="H27" s="1705"/>
      <c r="I27" s="1705"/>
      <c r="J27" s="1705"/>
      <c r="K27" s="1705"/>
      <c r="L27" s="1705"/>
      <c r="M27" s="1705"/>
      <c r="N27" s="1705"/>
      <c r="O27" s="1705"/>
      <c r="P27" s="1705"/>
      <c r="Q27" s="1705"/>
      <c r="R27" s="1705"/>
      <c r="S27" s="1705"/>
      <c r="T27" s="1705"/>
      <c r="U27" s="1705"/>
      <c r="V27" s="1705"/>
      <c r="W27" s="1705"/>
      <c r="X27" s="1705"/>
      <c r="Y27" s="1705"/>
      <c r="Z27" s="1705"/>
      <c r="AA27" s="1705"/>
      <c r="AB27" s="1705"/>
      <c r="AC27" s="1705"/>
      <c r="AD27" s="1705"/>
      <c r="AE27" s="1705"/>
      <c r="AF27" s="1705"/>
      <c r="AG27" s="1705"/>
      <c r="AH27" s="1705"/>
      <c r="AI27" s="1705"/>
      <c r="AJ27" s="1705"/>
      <c r="AK27" s="1705"/>
      <c r="AL27" s="1705"/>
      <c r="AM27" s="1705"/>
      <c r="AN27" s="1705"/>
      <c r="AO27" s="1719"/>
    </row>
    <row r="28" spans="1:41" ht="15" customHeight="1">
      <c r="A28" s="1627"/>
      <c r="B28" s="1247"/>
      <c r="C28" s="1247"/>
      <c r="D28" s="1247"/>
      <c r="E28" s="1247"/>
      <c r="F28" s="1247"/>
      <c r="G28" s="1247"/>
      <c r="H28" s="1247"/>
      <c r="I28" s="1247"/>
      <c r="J28" s="1247"/>
      <c r="K28" s="1247"/>
      <c r="L28" s="1247"/>
      <c r="M28" s="1247"/>
      <c r="N28" s="1247"/>
      <c r="O28" s="1247"/>
      <c r="P28" s="1247"/>
      <c r="Q28" s="1247"/>
      <c r="R28" s="1247"/>
      <c r="S28" s="1247"/>
      <c r="T28" s="1247"/>
      <c r="U28" s="1247"/>
      <c r="V28" s="1247"/>
      <c r="W28" s="1247"/>
      <c r="X28" s="1809"/>
      <c r="Y28" s="1561"/>
      <c r="Z28" s="1561"/>
      <c r="AA28" s="1561"/>
      <c r="AB28" s="1636"/>
      <c r="AC28" s="1810" t="s">
        <v>3820</v>
      </c>
      <c r="AD28" s="1542"/>
      <c r="AE28" s="1542"/>
      <c r="AF28" s="1542"/>
      <c r="AG28" s="1542"/>
      <c r="AH28" s="1542"/>
      <c r="AI28" s="1542"/>
      <c r="AJ28" s="1542"/>
      <c r="AK28" s="1542"/>
      <c r="AL28" s="1542"/>
      <c r="AM28" s="1542"/>
      <c r="AN28" s="1542"/>
      <c r="AO28" s="1800"/>
    </row>
    <row r="29" spans="1:41" ht="18.75" customHeight="1">
      <c r="A29" s="1817" t="s">
        <v>3954</v>
      </c>
      <c r="B29" s="1818"/>
      <c r="C29" s="1818"/>
      <c r="D29" s="728"/>
      <c r="E29" s="728"/>
      <c r="F29" s="728"/>
      <c r="G29" s="728"/>
      <c r="H29" s="728"/>
      <c r="I29" s="728"/>
      <c r="J29" s="728"/>
      <c r="K29" s="728"/>
      <c r="L29" s="1819"/>
      <c r="M29" s="623" t="s">
        <v>316</v>
      </c>
      <c r="N29" s="1614" t="s">
        <v>206</v>
      </c>
      <c r="O29" s="1247"/>
      <c r="P29" s="1247"/>
      <c r="Q29" s="858"/>
      <c r="R29" s="623"/>
      <c r="S29" s="1614" t="s">
        <v>207</v>
      </c>
      <c r="T29" s="1247"/>
      <c r="U29" s="1247"/>
      <c r="V29" s="1247"/>
      <c r="W29" s="1247"/>
      <c r="X29" s="1809"/>
      <c r="Y29" s="1636"/>
      <c r="Z29" s="1636"/>
      <c r="AA29" s="1636"/>
      <c r="AB29" s="1637"/>
      <c r="AC29" s="638"/>
      <c r="AD29" s="1812" t="s">
        <v>206</v>
      </c>
      <c r="AE29" s="1561"/>
      <c r="AF29" s="1561"/>
      <c r="AG29" s="1637"/>
      <c r="AH29" s="625"/>
      <c r="AI29" s="1812" t="s">
        <v>207</v>
      </c>
      <c r="AJ29" s="1561"/>
      <c r="AK29" s="1561"/>
      <c r="AL29" s="1561"/>
      <c r="AM29" s="1561"/>
      <c r="AN29" s="636"/>
      <c r="AO29" s="637"/>
    </row>
    <row r="30" spans="1:41" ht="6" customHeight="1" thickBot="1">
      <c r="A30" s="1627"/>
      <c r="B30" s="1247"/>
      <c r="C30" s="1247"/>
      <c r="D30" s="1247"/>
      <c r="E30" s="1247"/>
      <c r="F30" s="1247"/>
      <c r="G30" s="1247"/>
      <c r="H30" s="1247"/>
      <c r="I30" s="1247"/>
      <c r="J30" s="1247"/>
      <c r="K30" s="1247"/>
      <c r="L30" s="1247"/>
      <c r="M30" s="1247"/>
      <c r="N30" s="1247"/>
      <c r="O30" s="1247"/>
      <c r="P30" s="1247"/>
      <c r="Q30" s="1247"/>
      <c r="R30" s="1247"/>
      <c r="S30" s="1247"/>
      <c r="T30" s="1247"/>
      <c r="U30" s="1247"/>
      <c r="V30" s="1247"/>
      <c r="W30" s="1247"/>
      <c r="X30" s="1813"/>
      <c r="Y30" s="1561"/>
      <c r="Z30" s="1561"/>
      <c r="AA30" s="1561"/>
      <c r="AB30" s="1561"/>
      <c r="AC30" s="1561"/>
      <c r="AD30" s="1561"/>
      <c r="AE30" s="1561"/>
      <c r="AF30" s="1561"/>
      <c r="AG30" s="1561"/>
      <c r="AH30" s="1561"/>
      <c r="AI30" s="1561"/>
      <c r="AJ30" s="1561"/>
      <c r="AK30" s="1561"/>
      <c r="AL30" s="1561"/>
      <c r="AM30" s="1561"/>
      <c r="AN30" s="1561"/>
      <c r="AO30" s="1637"/>
    </row>
    <row r="31" spans="1:41" ht="20.1" customHeight="1" thickBot="1">
      <c r="A31" s="1614" t="s">
        <v>3716</v>
      </c>
      <c r="B31" s="1680"/>
      <c r="C31" s="1680"/>
      <c r="D31" s="1680"/>
      <c r="E31" s="1680"/>
      <c r="F31" s="1680"/>
      <c r="G31" s="1680"/>
      <c r="H31" s="1680"/>
      <c r="I31" s="1680"/>
      <c r="J31" s="1680"/>
      <c r="K31" s="1680"/>
      <c r="L31" s="1680"/>
      <c r="M31" s="1890">
        <f>IF(('SP1'!P45+'SP1'!U45)=0,0,CEILING(IF(OR(EXACT(M29,"X"),EXACT(M29,"x")),MIN(119916,MAX(7495,'SP1'!H43*0.5/('SP1'!P45+'SP1'!U45))),MIN(119916,MAX(2998,'SP1'!H43*0.5/('SP1'!P45+'SP1'!U45)))),1))</f>
        <v>7495</v>
      </c>
      <c r="N31" s="1891"/>
      <c r="O31" s="1891"/>
      <c r="P31" s="1891"/>
      <c r="Q31" s="1891"/>
      <c r="R31" s="1891"/>
      <c r="S31" s="1892"/>
      <c r="T31" s="1892"/>
      <c r="U31" s="1893"/>
      <c r="V31" s="1811" t="s">
        <v>250</v>
      </c>
      <c r="W31" s="1247"/>
      <c r="X31" s="1809"/>
      <c r="Y31" s="1561"/>
      <c r="Z31" s="1561"/>
      <c r="AA31" s="1561"/>
      <c r="AB31" s="1562"/>
      <c r="AC31" s="1804"/>
      <c r="AD31" s="1805"/>
      <c r="AE31" s="1805"/>
      <c r="AF31" s="1805"/>
      <c r="AG31" s="1805"/>
      <c r="AH31" s="1805"/>
      <c r="AI31" s="1806"/>
      <c r="AJ31" s="1806"/>
      <c r="AK31" s="1807"/>
      <c r="AL31" s="1808"/>
      <c r="AM31" s="1561"/>
      <c r="AN31" s="1561"/>
      <c r="AO31" s="1637"/>
    </row>
    <row r="32" spans="1:41" ht="6" customHeight="1" thickBot="1">
      <c r="A32" s="1627"/>
      <c r="B32" s="1247"/>
      <c r="C32" s="1247"/>
      <c r="D32" s="1247"/>
      <c r="E32" s="1247"/>
      <c r="F32" s="1247"/>
      <c r="G32" s="1247"/>
      <c r="H32" s="1247"/>
      <c r="I32" s="1247"/>
      <c r="J32" s="1247"/>
      <c r="K32" s="1247"/>
      <c r="L32" s="1247"/>
      <c r="M32" s="1247"/>
      <c r="N32" s="1247"/>
      <c r="O32" s="1247"/>
      <c r="P32" s="1247"/>
      <c r="Q32" s="1247"/>
      <c r="R32" s="1247"/>
      <c r="S32" s="1247"/>
      <c r="T32" s="1247"/>
      <c r="U32" s="1247"/>
      <c r="V32" s="1247"/>
      <c r="W32" s="1247"/>
      <c r="X32" s="1813"/>
      <c r="Y32" s="1561"/>
      <c r="Z32" s="1561"/>
      <c r="AA32" s="1561"/>
      <c r="AB32" s="1561"/>
      <c r="AC32" s="1561"/>
      <c r="AD32" s="1561"/>
      <c r="AE32" s="1561"/>
      <c r="AF32" s="1561"/>
      <c r="AG32" s="1561"/>
      <c r="AH32" s="1561"/>
      <c r="AI32" s="1561"/>
      <c r="AJ32" s="1561"/>
      <c r="AK32" s="1561"/>
      <c r="AL32" s="1561"/>
      <c r="AM32" s="1561"/>
      <c r="AN32" s="1561"/>
      <c r="AO32" s="1637"/>
    </row>
    <row r="33" spans="1:41" ht="20.1" customHeight="1" thickBot="1">
      <c r="A33" s="1614" t="s">
        <v>3717</v>
      </c>
      <c r="B33" s="1680"/>
      <c r="C33" s="1680"/>
      <c r="D33" s="1680"/>
      <c r="E33" s="1680"/>
      <c r="F33" s="1680"/>
      <c r="G33" s="1680"/>
      <c r="H33" s="1680"/>
      <c r="I33" s="1680"/>
      <c r="J33" s="1680"/>
      <c r="K33" s="1680"/>
      <c r="L33" s="1680"/>
      <c r="M33" s="1889">
        <f>+CEILING(M31*0.292,1)</f>
        <v>2189</v>
      </c>
      <c r="N33" s="1806"/>
      <c r="O33" s="1806"/>
      <c r="P33" s="1806"/>
      <c r="Q33" s="1806"/>
      <c r="R33" s="1806"/>
      <c r="S33" s="1806"/>
      <c r="T33" s="1806"/>
      <c r="U33" s="1807"/>
      <c r="V33" s="1811" t="s">
        <v>250</v>
      </c>
      <c r="W33" s="1247"/>
      <c r="X33" s="1809"/>
      <c r="Y33" s="1561"/>
      <c r="Z33" s="1561"/>
      <c r="AA33" s="1561"/>
      <c r="AB33" s="1562"/>
      <c r="AC33" s="1804"/>
      <c r="AD33" s="1805"/>
      <c r="AE33" s="1805"/>
      <c r="AF33" s="1805"/>
      <c r="AG33" s="1805"/>
      <c r="AH33" s="1805"/>
      <c r="AI33" s="1806"/>
      <c r="AJ33" s="1806"/>
      <c r="AK33" s="1807"/>
      <c r="AL33" s="1808"/>
      <c r="AM33" s="1561"/>
      <c r="AN33" s="1561"/>
      <c r="AO33" s="1637"/>
    </row>
    <row r="34" spans="1:41" ht="5.1" customHeight="1" thickBot="1">
      <c r="A34" s="1627"/>
      <c r="B34" s="1247"/>
      <c r="C34" s="1247"/>
      <c r="D34" s="1247"/>
      <c r="E34" s="1247"/>
      <c r="F34" s="1247"/>
      <c r="G34" s="1247"/>
      <c r="H34" s="1247"/>
      <c r="I34" s="1247"/>
      <c r="J34" s="1247"/>
      <c r="K34" s="1247"/>
      <c r="L34" s="1247"/>
      <c r="M34" s="1247"/>
      <c r="N34" s="1247"/>
      <c r="O34" s="1247"/>
      <c r="P34" s="1247"/>
      <c r="Q34" s="1247"/>
      <c r="R34" s="1247"/>
      <c r="S34" s="1247"/>
      <c r="T34" s="1247"/>
      <c r="U34" s="1247"/>
      <c r="V34" s="1247"/>
      <c r="W34" s="1247"/>
      <c r="X34" s="1813"/>
      <c r="Y34" s="1561"/>
      <c r="Z34" s="1561"/>
      <c r="AA34" s="1561"/>
      <c r="AB34" s="1561"/>
      <c r="AC34" s="1561"/>
      <c r="AD34" s="1561"/>
      <c r="AE34" s="1561"/>
      <c r="AF34" s="1561"/>
      <c r="AG34" s="1561"/>
      <c r="AH34" s="1561"/>
      <c r="AI34" s="1561"/>
      <c r="AJ34" s="1561"/>
      <c r="AK34" s="1561"/>
      <c r="AL34" s="1561"/>
      <c r="AM34" s="1561"/>
      <c r="AN34" s="1561"/>
      <c r="AO34" s="1637"/>
    </row>
    <row r="35" spans="1:41" ht="19.5" customHeight="1" thickBot="1">
      <c r="A35" s="1614" t="s">
        <v>3718</v>
      </c>
      <c r="B35" s="1680"/>
      <c r="C35" s="1680"/>
      <c r="D35" s="1680"/>
      <c r="E35" s="1680"/>
      <c r="F35" s="1680"/>
      <c r="G35" s="1680"/>
      <c r="H35" s="1680"/>
      <c r="I35" s="1680"/>
      <c r="J35" s="1680"/>
      <c r="K35" s="1680"/>
      <c r="L35" s="1680"/>
      <c r="M35" s="1814">
        <f>+CEILING(MAX(115,M31*0.023),1)</f>
        <v>173</v>
      </c>
      <c r="N35" s="1815"/>
      <c r="O35" s="1815"/>
      <c r="P35" s="1815"/>
      <c r="Q35" s="1815"/>
      <c r="R35" s="1815"/>
      <c r="S35" s="1815"/>
      <c r="T35" s="1815"/>
      <c r="U35" s="1816"/>
      <c r="V35" s="1811" t="s">
        <v>250</v>
      </c>
      <c r="W35" s="1247"/>
      <c r="X35" s="1809"/>
      <c r="Y35" s="1561"/>
      <c r="Z35" s="1561"/>
      <c r="AA35" s="1561"/>
      <c r="AB35" s="1562"/>
      <c r="AC35" s="1804"/>
      <c r="AD35" s="1805"/>
      <c r="AE35" s="1805"/>
      <c r="AF35" s="1805"/>
      <c r="AG35" s="1805"/>
      <c r="AH35" s="1805"/>
      <c r="AI35" s="1806"/>
      <c r="AJ35" s="1806"/>
      <c r="AK35" s="1807"/>
      <c r="AL35" s="1808"/>
      <c r="AM35" s="1561"/>
      <c r="AN35" s="1561"/>
      <c r="AO35" s="1637"/>
    </row>
    <row r="36" spans="1:41" ht="5.1" customHeight="1">
      <c r="A36" s="1627"/>
      <c r="B36" s="1247"/>
      <c r="C36" s="1247"/>
      <c r="D36" s="1247"/>
      <c r="E36" s="1247"/>
      <c r="F36" s="1247"/>
      <c r="G36" s="1247"/>
      <c r="H36" s="1247"/>
      <c r="I36" s="1247"/>
      <c r="J36" s="1247"/>
      <c r="K36" s="1247"/>
      <c r="L36" s="1247"/>
      <c r="M36" s="1247"/>
      <c r="N36" s="1247"/>
      <c r="O36" s="1247"/>
      <c r="P36" s="1247"/>
      <c r="Q36" s="1247"/>
      <c r="R36" s="1247"/>
      <c r="S36" s="1247"/>
      <c r="T36" s="1247"/>
      <c r="U36" s="1247"/>
      <c r="V36" s="1247"/>
      <c r="W36" s="1247"/>
      <c r="X36" s="1813"/>
      <c r="Y36" s="1561"/>
      <c r="Z36" s="1561"/>
      <c r="AA36" s="1561"/>
      <c r="AB36" s="1561"/>
      <c r="AC36" s="1561"/>
      <c r="AD36" s="1561"/>
      <c r="AE36" s="1561"/>
      <c r="AF36" s="1561"/>
      <c r="AG36" s="1561"/>
      <c r="AH36" s="1561"/>
      <c r="AI36" s="1561"/>
      <c r="AJ36" s="1561"/>
      <c r="AK36" s="1561"/>
      <c r="AL36" s="1561"/>
      <c r="AM36" s="1561"/>
      <c r="AN36" s="1561"/>
      <c r="AO36" s="1637"/>
    </row>
    <row r="37" spans="1:41" ht="12.75">
      <c r="A37" s="1704" t="s">
        <v>3947</v>
      </c>
      <c r="B37" s="1705"/>
      <c r="C37" s="1705"/>
      <c r="D37" s="1705"/>
      <c r="E37" s="1705"/>
      <c r="F37" s="1705"/>
      <c r="G37" s="1705"/>
      <c r="H37" s="1705"/>
      <c r="I37" s="1705"/>
      <c r="J37" s="1705"/>
      <c r="K37" s="1705"/>
      <c r="L37" s="1705"/>
      <c r="M37" s="1705"/>
      <c r="N37" s="1705"/>
      <c r="O37" s="1705"/>
      <c r="P37" s="1705"/>
      <c r="Q37" s="1705"/>
      <c r="R37" s="1705"/>
      <c r="S37" s="1705"/>
      <c r="T37" s="1705"/>
      <c r="U37" s="1705"/>
      <c r="V37" s="1705"/>
      <c r="W37" s="1705"/>
      <c r="X37" s="1705"/>
      <c r="Y37" s="1705"/>
      <c r="Z37" s="1705"/>
      <c r="AA37" s="1705"/>
      <c r="AB37" s="1705"/>
      <c r="AC37" s="1705"/>
      <c r="AD37" s="1705"/>
      <c r="AE37" s="1705"/>
      <c r="AF37" s="1705"/>
      <c r="AG37" s="1705"/>
      <c r="AH37" s="1705"/>
      <c r="AI37" s="1730"/>
      <c r="AJ37" s="1730"/>
      <c r="AK37" s="1730"/>
      <c r="AL37" s="1730"/>
      <c r="AM37" s="1730"/>
      <c r="AN37" s="1730"/>
      <c r="AO37" s="950"/>
    </row>
    <row r="38" spans="1:41" ht="5.1" customHeight="1">
      <c r="A38" s="1627"/>
      <c r="B38" s="1894"/>
      <c r="C38" s="1894"/>
      <c r="D38" s="1894"/>
      <c r="E38" s="1894"/>
      <c r="F38" s="1894"/>
      <c r="G38" s="1894"/>
      <c r="H38" s="1894"/>
      <c r="I38" s="1894"/>
      <c r="J38" s="1894"/>
      <c r="K38" s="1894"/>
      <c r="L38" s="1894"/>
      <c r="M38" s="1894"/>
      <c r="N38" s="1894"/>
      <c r="O38" s="1894"/>
      <c r="P38" s="1894"/>
      <c r="Q38" s="1894"/>
      <c r="R38" s="1894"/>
      <c r="S38" s="1894"/>
      <c r="T38" s="1894"/>
      <c r="U38" s="1894"/>
      <c r="V38" s="1894"/>
      <c r="W38" s="1894"/>
      <c r="X38" s="1894"/>
      <c r="Y38" s="1894"/>
      <c r="Z38" s="1894"/>
      <c r="AA38" s="1894"/>
      <c r="AB38" s="1894"/>
      <c r="AC38" s="1894"/>
      <c r="AD38" s="1894"/>
      <c r="AE38" s="1894"/>
      <c r="AF38" s="1894"/>
      <c r="AG38" s="1894"/>
      <c r="AH38" s="1894"/>
      <c r="AI38" s="1856"/>
      <c r="AJ38" s="1856"/>
      <c r="AK38" s="1856"/>
      <c r="AL38" s="1856"/>
      <c r="AM38" s="1856"/>
      <c r="AN38" s="1856"/>
      <c r="AO38" s="1895"/>
    </row>
    <row r="39" spans="1:41" ht="9.95" customHeight="1">
      <c r="A39" s="1880" t="s">
        <v>128</v>
      </c>
      <c r="B39" s="1881"/>
      <c r="C39" s="1881"/>
      <c r="D39" s="1881"/>
      <c r="E39" s="1725"/>
      <c r="F39" s="1725"/>
      <c r="G39" s="1725"/>
      <c r="H39" s="1725"/>
      <c r="I39" s="1725"/>
      <c r="J39" s="1725"/>
      <c r="K39" s="1725"/>
      <c r="L39" s="1676"/>
      <c r="M39" s="1680" t="s">
        <v>127</v>
      </c>
      <c r="N39" s="1680"/>
      <c r="O39" s="1680"/>
      <c r="P39" s="1680"/>
      <c r="Q39" s="1680"/>
      <c r="R39" s="1680"/>
      <c r="S39" s="1681"/>
      <c r="T39" s="1681"/>
      <c r="U39" s="1681"/>
      <c r="V39" s="363"/>
      <c r="W39" s="1680" t="s">
        <v>148</v>
      </c>
      <c r="X39" s="1680"/>
      <c r="Y39" s="1680"/>
      <c r="Z39" s="1680"/>
      <c r="AA39" s="363"/>
      <c r="AB39" s="1680" t="s">
        <v>333</v>
      </c>
      <c r="AC39" s="1680"/>
      <c r="AD39" s="1680"/>
      <c r="AE39" s="1680"/>
      <c r="AF39" s="1681"/>
      <c r="AG39" s="1681"/>
      <c r="AH39" s="363"/>
      <c r="AI39" s="1751" t="s">
        <v>185</v>
      </c>
      <c r="AJ39" s="1751"/>
      <c r="AK39" s="1751"/>
      <c r="AL39" s="1751"/>
      <c r="AM39" s="1751"/>
      <c r="AN39" s="1751"/>
      <c r="AO39" s="1752"/>
    </row>
    <row r="40" spans="1:41" ht="18" customHeight="1">
      <c r="A40" s="1858">
        <f>+'1Př2'!D44</f>
        <v>0</v>
      </c>
      <c r="B40" s="1860"/>
      <c r="C40" s="1860"/>
      <c r="D40" s="1860"/>
      <c r="E40" s="1860"/>
      <c r="F40" s="1860"/>
      <c r="G40" s="1860"/>
      <c r="H40" s="1860"/>
      <c r="I40" s="1860"/>
      <c r="J40" s="1860"/>
      <c r="K40" s="1861"/>
      <c r="L40" s="1652"/>
      <c r="M40" s="1900">
        <f>+'1Př2'!B44</f>
        <v>0</v>
      </c>
      <c r="N40" s="1901"/>
      <c r="O40" s="1901"/>
      <c r="P40" s="1901"/>
      <c r="Q40" s="1901"/>
      <c r="R40" s="1901"/>
      <c r="S40" s="1901"/>
      <c r="T40" s="1901"/>
      <c r="U40" s="1902"/>
      <c r="V40" s="363"/>
      <c r="W40" s="1883"/>
      <c r="X40" s="1843"/>
      <c r="Y40" s="1843"/>
      <c r="Z40" s="1844"/>
      <c r="AA40" s="363"/>
      <c r="AB40" s="1842"/>
      <c r="AC40" s="1843"/>
      <c r="AD40" s="1843"/>
      <c r="AE40" s="1843"/>
      <c r="AF40" s="1898"/>
      <c r="AG40" s="1899"/>
      <c r="AH40" s="363"/>
      <c r="AI40" s="1883" t="str">
        <f>+MID('1Př2'!F44,3,10)</f>
        <v/>
      </c>
      <c r="AJ40" s="1843"/>
      <c r="AK40" s="1843"/>
      <c r="AL40" s="1843"/>
      <c r="AM40" s="1898"/>
      <c r="AN40" s="1898"/>
      <c r="AO40" s="1899"/>
    </row>
    <row r="41" spans="1:41" ht="9.95" customHeight="1">
      <c r="A41" s="1880" t="s">
        <v>329</v>
      </c>
      <c r="B41" s="1881"/>
      <c r="C41" s="1881"/>
      <c r="D41" s="1881"/>
      <c r="E41" s="1881"/>
      <c r="F41" s="1881"/>
      <c r="G41" s="1881"/>
      <c r="H41" s="1881"/>
      <c r="I41" s="1881"/>
      <c r="J41" s="1881"/>
      <c r="K41" s="1881"/>
      <c r="L41" s="1881"/>
      <c r="M41" s="1881"/>
      <c r="N41" s="1881"/>
      <c r="O41" s="1881"/>
      <c r="P41" s="1881"/>
      <c r="Q41" s="1881"/>
      <c r="R41" s="1881"/>
      <c r="S41" s="1881"/>
      <c r="T41" s="1882"/>
      <c r="U41" s="1882"/>
      <c r="V41" s="363"/>
      <c r="W41" s="1680" t="s">
        <v>50</v>
      </c>
      <c r="X41" s="1680"/>
      <c r="Y41" s="1680"/>
      <c r="Z41" s="1680"/>
      <c r="AA41" s="1681"/>
      <c r="AB41" s="1681"/>
      <c r="AC41" s="1681"/>
      <c r="AD41" s="1681"/>
      <c r="AE41" s="1681"/>
      <c r="AF41" s="1681"/>
      <c r="AG41" s="1681"/>
      <c r="AH41" s="1652"/>
      <c r="AI41" s="1652"/>
      <c r="AJ41" s="1652"/>
      <c r="AK41" s="1652"/>
      <c r="AL41" s="1652"/>
      <c r="AM41" s="1652"/>
      <c r="AN41" s="1652"/>
      <c r="AO41" s="1732"/>
    </row>
    <row r="42" spans="1:41" ht="18" customHeight="1">
      <c r="A42" s="1858">
        <f>+ZAKL_DATA!B16</f>
        <v>0</v>
      </c>
      <c r="B42" s="1859"/>
      <c r="C42" s="1859"/>
      <c r="D42" s="1859"/>
      <c r="E42" s="1859"/>
      <c r="F42" s="1859"/>
      <c r="G42" s="1859"/>
      <c r="H42" s="1859"/>
      <c r="I42" s="1859"/>
      <c r="J42" s="1859"/>
      <c r="K42" s="1859"/>
      <c r="L42" s="1859"/>
      <c r="M42" s="1859"/>
      <c r="N42" s="1859"/>
      <c r="O42" s="1859"/>
      <c r="P42" s="1859"/>
      <c r="Q42" s="1859"/>
      <c r="R42" s="1859"/>
      <c r="S42" s="1859"/>
      <c r="T42" s="1860"/>
      <c r="U42" s="1861"/>
      <c r="V42" s="380"/>
      <c r="W42" s="1858">
        <f>+ZAKL_DATA!B17</f>
        <v>0</v>
      </c>
      <c r="X42" s="1859"/>
      <c r="Y42" s="1859"/>
      <c r="Z42" s="1863"/>
      <c r="AA42" s="1652"/>
      <c r="AB42" s="1652"/>
      <c r="AC42" s="1652"/>
      <c r="AD42" s="1652"/>
      <c r="AE42" s="1652"/>
      <c r="AF42" s="1652"/>
      <c r="AG42" s="1652"/>
      <c r="AH42" s="1652"/>
      <c r="AI42" s="1652"/>
      <c r="AJ42" s="1652"/>
      <c r="AK42" s="1652"/>
      <c r="AL42" s="1652"/>
      <c r="AM42" s="1652"/>
      <c r="AN42" s="1652"/>
      <c r="AO42" s="1732"/>
    </row>
    <row r="43" spans="1:41" ht="9.95" customHeight="1">
      <c r="A43" s="1896" t="s">
        <v>330</v>
      </c>
      <c r="B43" s="1886"/>
      <c r="C43" s="1886"/>
      <c r="D43" s="1886"/>
      <c r="E43" s="1886"/>
      <c r="F43" s="1886"/>
      <c r="G43" s="1886"/>
      <c r="H43" s="1886"/>
      <c r="I43" s="1886"/>
      <c r="J43" s="1886"/>
      <c r="K43" s="1886"/>
      <c r="L43" s="1886"/>
      <c r="M43" s="1886"/>
      <c r="N43" s="1886"/>
      <c r="O43" s="1886"/>
      <c r="P43" s="1886"/>
      <c r="Q43" s="1886"/>
      <c r="R43" s="1886"/>
      <c r="S43" s="1886"/>
      <c r="T43" s="1897"/>
      <c r="U43" s="1897"/>
      <c r="V43" s="363"/>
      <c r="W43" s="1680" t="s">
        <v>51</v>
      </c>
      <c r="X43" s="1681"/>
      <c r="Y43" s="1681"/>
      <c r="Z43" s="1681"/>
      <c r="AA43" s="1681"/>
      <c r="AB43" s="1680" t="s">
        <v>331</v>
      </c>
      <c r="AC43" s="1681"/>
      <c r="AD43" s="1681"/>
      <c r="AE43" s="1681"/>
      <c r="AF43" s="1681"/>
      <c r="AG43" s="1681"/>
      <c r="AH43" s="1681"/>
      <c r="AI43" s="1681"/>
      <c r="AJ43" s="1681"/>
      <c r="AK43" s="1681"/>
      <c r="AL43" s="1681"/>
      <c r="AM43" s="1681"/>
      <c r="AN43" s="1681"/>
      <c r="AO43" s="1864"/>
    </row>
    <row r="44" spans="1:41" ht="18" customHeight="1">
      <c r="A44" s="1858">
        <f>+ZAKL_DATA!B18</f>
        <v>0</v>
      </c>
      <c r="B44" s="1859"/>
      <c r="C44" s="1859"/>
      <c r="D44" s="1859"/>
      <c r="E44" s="1859"/>
      <c r="F44" s="1859"/>
      <c r="G44" s="1859"/>
      <c r="H44" s="1859"/>
      <c r="I44" s="1859"/>
      <c r="J44" s="1859"/>
      <c r="K44" s="1859"/>
      <c r="L44" s="1859"/>
      <c r="M44" s="1859"/>
      <c r="N44" s="1859"/>
      <c r="O44" s="1859"/>
      <c r="P44" s="1859"/>
      <c r="Q44" s="1859"/>
      <c r="R44" s="1859"/>
      <c r="S44" s="1859"/>
      <c r="T44" s="1860"/>
      <c r="U44" s="1861"/>
      <c r="V44" s="380"/>
      <c r="W44" s="1862">
        <f>+ZAKL_DATA!B19</f>
        <v>0</v>
      </c>
      <c r="X44" s="1859"/>
      <c r="Y44" s="1859"/>
      <c r="Z44" s="1863"/>
      <c r="AA44" s="380"/>
      <c r="AB44" s="1858">
        <f>+ZAKL_DATA!B20</f>
        <v>0</v>
      </c>
      <c r="AC44" s="1859"/>
      <c r="AD44" s="1859"/>
      <c r="AE44" s="1859"/>
      <c r="AF44" s="1860"/>
      <c r="AG44" s="1860"/>
      <c r="AH44" s="1860"/>
      <c r="AI44" s="1860"/>
      <c r="AJ44" s="1860"/>
      <c r="AK44" s="1860"/>
      <c r="AL44" s="1860"/>
      <c r="AM44" s="1860"/>
      <c r="AN44" s="1860"/>
      <c r="AO44" s="1861"/>
    </row>
    <row r="45" spans="1:41" ht="5.1" customHeight="1">
      <c r="A45" s="1731"/>
      <c r="B45" s="1652"/>
      <c r="C45" s="1652"/>
      <c r="D45" s="1652"/>
      <c r="E45" s="1652"/>
      <c r="F45" s="1652"/>
      <c r="G45" s="1652"/>
      <c r="H45" s="1652"/>
      <c r="I45" s="1652"/>
      <c r="J45" s="1652"/>
      <c r="K45" s="1652"/>
      <c r="L45" s="1652"/>
      <c r="M45" s="1652"/>
      <c r="N45" s="1652"/>
      <c r="O45" s="1652"/>
      <c r="P45" s="1652"/>
      <c r="Q45" s="1652"/>
      <c r="R45" s="1652"/>
      <c r="S45" s="1652"/>
      <c r="T45" s="1652"/>
      <c r="U45" s="1652"/>
      <c r="V45" s="1652"/>
      <c r="W45" s="1652"/>
      <c r="X45" s="1652"/>
      <c r="Y45" s="1652"/>
      <c r="Z45" s="1652"/>
      <c r="AA45" s="1652"/>
      <c r="AB45" s="1652"/>
      <c r="AC45" s="1652"/>
      <c r="AD45" s="1652"/>
      <c r="AE45" s="1652"/>
      <c r="AF45" s="1652"/>
      <c r="AG45" s="1652"/>
      <c r="AH45" s="1652"/>
      <c r="AI45" s="1652"/>
      <c r="AJ45" s="1652"/>
      <c r="AK45" s="1652"/>
      <c r="AL45" s="1652"/>
      <c r="AM45" s="1652"/>
      <c r="AN45" s="1652"/>
      <c r="AO45" s="1732"/>
    </row>
    <row r="46" spans="1:41" ht="12.75">
      <c r="A46" s="1704" t="s">
        <v>3948</v>
      </c>
      <c r="B46" s="1705"/>
      <c r="C46" s="1705"/>
      <c r="D46" s="1705"/>
      <c r="E46" s="1705"/>
      <c r="F46" s="1705"/>
      <c r="G46" s="1705"/>
      <c r="H46" s="1705"/>
      <c r="I46" s="1705"/>
      <c r="J46" s="1705"/>
      <c r="K46" s="1705"/>
      <c r="L46" s="1705"/>
      <c r="M46" s="1705"/>
      <c r="N46" s="1705"/>
      <c r="O46" s="1705"/>
      <c r="P46" s="1705"/>
      <c r="Q46" s="1705"/>
      <c r="R46" s="1705"/>
      <c r="S46" s="1705"/>
      <c r="T46" s="1705"/>
      <c r="U46" s="1705"/>
      <c r="V46" s="1705"/>
      <c r="W46" s="1705"/>
      <c r="X46" s="1705"/>
      <c r="Y46" s="1705"/>
      <c r="Z46" s="1705"/>
      <c r="AA46" s="1705"/>
      <c r="AB46" s="1705"/>
      <c r="AC46" s="1705"/>
      <c r="AD46" s="1705"/>
      <c r="AE46" s="1705"/>
      <c r="AF46" s="1705"/>
      <c r="AG46" s="1705"/>
      <c r="AH46" s="1705"/>
      <c r="AI46" s="1705"/>
      <c r="AJ46" s="1705"/>
      <c r="AK46" s="1705"/>
      <c r="AL46" s="1705"/>
      <c r="AM46" s="1705"/>
      <c r="AN46" s="1705"/>
      <c r="AO46" s="1719"/>
    </row>
    <row r="47" spans="1:41" ht="9.95" customHeight="1">
      <c r="A47" s="1830" t="s">
        <v>3949</v>
      </c>
      <c r="B47" s="1831"/>
      <c r="C47" s="1831"/>
      <c r="D47" s="1831"/>
      <c r="E47" s="1831"/>
      <c r="F47" s="1831"/>
      <c r="G47" s="1831"/>
      <c r="H47" s="1831"/>
      <c r="I47" s="1831"/>
      <c r="J47" s="1831"/>
      <c r="K47" s="1831"/>
      <c r="L47" s="1831"/>
      <c r="M47" s="1831"/>
      <c r="N47" s="1831"/>
      <c r="O47" s="1831"/>
      <c r="P47" s="1831"/>
      <c r="Q47" s="1831"/>
      <c r="R47" s="1831"/>
      <c r="S47" s="1831"/>
      <c r="T47" s="1831"/>
      <c r="U47" s="1831"/>
      <c r="V47" s="1831"/>
      <c r="W47" s="1831"/>
      <c r="X47" s="1831"/>
      <c r="Y47" s="1831"/>
      <c r="Z47" s="1831"/>
      <c r="AA47" s="1831"/>
      <c r="AB47" s="1831"/>
      <c r="AC47" s="1831"/>
      <c r="AD47" s="1831"/>
      <c r="AE47" s="1831"/>
      <c r="AF47" s="1831"/>
      <c r="AG47" s="1831"/>
      <c r="AH47" s="1831"/>
      <c r="AI47" s="1831"/>
      <c r="AJ47" s="1831"/>
      <c r="AK47" s="1766" t="s">
        <v>294</v>
      </c>
      <c r="AL47" s="1905"/>
      <c r="AM47" s="359"/>
      <c r="AN47" s="1766" t="s">
        <v>178</v>
      </c>
      <c r="AO47" s="1826"/>
    </row>
    <row r="48" spans="1:41" ht="18" customHeight="1">
      <c r="A48" s="1832"/>
      <c r="B48" s="1833"/>
      <c r="C48" s="1833"/>
      <c r="D48" s="1833"/>
      <c r="E48" s="1833"/>
      <c r="F48" s="1833"/>
      <c r="G48" s="1833"/>
      <c r="H48" s="1833"/>
      <c r="I48" s="1833"/>
      <c r="J48" s="1833"/>
      <c r="K48" s="1833"/>
      <c r="L48" s="1833"/>
      <c r="M48" s="1833"/>
      <c r="N48" s="1833"/>
      <c r="O48" s="1833"/>
      <c r="P48" s="1833"/>
      <c r="Q48" s="1833"/>
      <c r="R48" s="1833"/>
      <c r="S48" s="1833"/>
      <c r="T48" s="1833"/>
      <c r="U48" s="1833"/>
      <c r="V48" s="1833"/>
      <c r="W48" s="1833"/>
      <c r="X48" s="1833"/>
      <c r="Y48" s="1833"/>
      <c r="Z48" s="1833"/>
      <c r="AA48" s="1833"/>
      <c r="AB48" s="1833"/>
      <c r="AC48" s="1833"/>
      <c r="AD48" s="1833"/>
      <c r="AE48" s="1833"/>
      <c r="AF48" s="1833"/>
      <c r="AG48" s="1833"/>
      <c r="AH48" s="1833"/>
      <c r="AI48" s="1833"/>
      <c r="AJ48" s="1833"/>
      <c r="AK48" s="1824"/>
      <c r="AL48" s="1825"/>
      <c r="AM48" s="368"/>
      <c r="AN48" s="1903" t="s">
        <v>316</v>
      </c>
      <c r="AO48" s="1904"/>
    </row>
    <row r="49" spans="1:41" ht="4.5" customHeight="1">
      <c r="A49" s="1763"/>
      <c r="B49" s="1764"/>
      <c r="C49" s="1764"/>
      <c r="D49" s="1764"/>
      <c r="E49" s="1764"/>
      <c r="F49" s="1764"/>
      <c r="G49" s="1764"/>
      <c r="H49" s="1764"/>
      <c r="I49" s="1764"/>
      <c r="J49" s="1764"/>
      <c r="K49" s="1764"/>
      <c r="L49" s="1764"/>
      <c r="M49" s="1764"/>
      <c r="N49" s="1764"/>
      <c r="O49" s="1764"/>
      <c r="P49" s="1764"/>
      <c r="Q49" s="1764"/>
      <c r="R49" s="1764"/>
      <c r="S49" s="1764"/>
      <c r="T49" s="1764"/>
      <c r="U49" s="1764"/>
      <c r="V49" s="1764"/>
      <c r="W49" s="1764"/>
      <c r="X49" s="1764"/>
      <c r="Y49" s="1764"/>
      <c r="Z49" s="1764"/>
      <c r="AA49" s="1764"/>
      <c r="AB49" s="1764"/>
      <c r="AC49" s="1764"/>
      <c r="AD49" s="1764"/>
      <c r="AE49" s="1764"/>
      <c r="AF49" s="1764"/>
      <c r="AG49" s="1764"/>
      <c r="AH49" s="1764"/>
      <c r="AI49" s="1764"/>
      <c r="AJ49" s="1764"/>
      <c r="AK49" s="359"/>
      <c r="AL49" s="359"/>
      <c r="AM49" s="359"/>
      <c r="AN49" s="359"/>
      <c r="AO49" s="361"/>
    </row>
    <row r="50" spans="1:41" ht="15" customHeight="1">
      <c r="A50" s="1704" t="s">
        <v>3950</v>
      </c>
      <c r="B50" s="1705"/>
      <c r="C50" s="1705"/>
      <c r="D50" s="1705"/>
      <c r="E50" s="1705"/>
      <c r="F50" s="1705"/>
      <c r="G50" s="1705"/>
      <c r="H50" s="1705"/>
      <c r="I50" s="1705"/>
      <c r="J50" s="1705"/>
      <c r="K50" s="1705"/>
      <c r="L50" s="1705"/>
      <c r="M50" s="1705"/>
      <c r="N50" s="1705"/>
      <c r="O50" s="1705"/>
      <c r="P50" s="1705"/>
      <c r="Q50" s="1705"/>
      <c r="R50" s="1705"/>
      <c r="S50" s="1705"/>
      <c r="T50" s="1705"/>
      <c r="U50" s="1705"/>
      <c r="V50" s="1705"/>
      <c r="W50" s="1705"/>
      <c r="X50" s="1705"/>
      <c r="Y50" s="1705"/>
      <c r="Z50" s="1705"/>
      <c r="AA50" s="1705"/>
      <c r="AB50" s="1705"/>
      <c r="AC50" s="1705"/>
      <c r="AD50" s="1705"/>
      <c r="AE50" s="1705"/>
      <c r="AF50" s="1705"/>
      <c r="AG50" s="1705"/>
      <c r="AH50" s="1705"/>
      <c r="AI50" s="1705"/>
      <c r="AJ50" s="1705"/>
      <c r="AK50" s="1705"/>
      <c r="AL50" s="1705"/>
      <c r="AM50" s="1705"/>
      <c r="AN50" s="1705"/>
      <c r="AO50" s="1719"/>
    </row>
    <row r="51" spans="1:41" ht="12" customHeight="1">
      <c r="A51" s="1854" t="s">
        <v>307</v>
      </c>
      <c r="B51" s="1740"/>
      <c r="C51" s="1740"/>
      <c r="D51" s="1740"/>
      <c r="E51" s="1740"/>
      <c r="F51" s="1740"/>
      <c r="G51" s="1740"/>
      <c r="H51" s="1740"/>
      <c r="I51" s="1740"/>
      <c r="J51" s="1740"/>
      <c r="K51" s="1740"/>
      <c r="L51" s="1740"/>
      <c r="M51" s="1740"/>
      <c r="N51" s="1740"/>
      <c r="O51" s="1740"/>
      <c r="P51" s="1740"/>
      <c r="Q51" s="1740"/>
      <c r="R51" s="1740"/>
      <c r="S51" s="1740"/>
      <c r="T51" s="1740"/>
      <c r="U51" s="1740"/>
      <c r="V51" s="1740"/>
      <c r="W51" s="1740"/>
      <c r="X51" s="1740"/>
      <c r="Y51" s="1740"/>
      <c r="Z51" s="1740"/>
      <c r="AA51" s="1740"/>
      <c r="AB51" s="1740"/>
      <c r="AC51" s="1740"/>
      <c r="AD51" s="1740"/>
      <c r="AE51" s="1740"/>
      <c r="AF51" s="1740"/>
      <c r="AG51" s="1740"/>
      <c r="AH51" s="1740"/>
      <c r="AI51" s="1740"/>
      <c r="AJ51" s="1740"/>
      <c r="AK51" s="1740"/>
      <c r="AL51" s="1740"/>
      <c r="AM51" s="1740"/>
      <c r="AN51" s="1740"/>
      <c r="AO51" s="1855"/>
    </row>
    <row r="52" spans="1:41" ht="15" customHeight="1">
      <c r="A52" s="1827"/>
      <c r="B52" s="1075"/>
      <c r="C52" s="1075"/>
      <c r="D52" s="1075"/>
      <c r="E52" s="1828"/>
      <c r="F52" s="1829"/>
      <c r="G52" s="1636"/>
      <c r="H52" s="1636"/>
      <c r="I52" s="1636"/>
      <c r="J52" s="1636"/>
      <c r="K52" s="1636"/>
      <c r="L52" s="1636"/>
      <c r="M52" s="1636"/>
      <c r="N52" s="1636"/>
      <c r="O52" s="1636"/>
      <c r="P52" s="1636"/>
      <c r="Q52" s="1636"/>
      <c r="R52" s="1636"/>
      <c r="S52" s="1636"/>
      <c r="T52" s="1636"/>
      <c r="U52" s="1636"/>
      <c r="V52" s="1636"/>
      <c r="W52" s="1636"/>
      <c r="X52" s="1636"/>
      <c r="Y52" s="1636"/>
      <c r="Z52" s="1636"/>
      <c r="AA52" s="1636"/>
      <c r="AB52" s="1636"/>
      <c r="AC52" s="1636"/>
      <c r="AD52" s="1636"/>
      <c r="AE52" s="1636"/>
      <c r="AF52" s="1636"/>
      <c r="AG52" s="1636"/>
      <c r="AH52" s="1636"/>
      <c r="AI52" s="1636"/>
      <c r="AJ52" s="1636"/>
      <c r="AK52" s="1636"/>
      <c r="AL52" s="1636"/>
      <c r="AM52" s="1636"/>
      <c r="AN52" s="1636"/>
      <c r="AO52" s="1637"/>
    </row>
    <row r="53" spans="1:41" ht="12" customHeight="1">
      <c r="A53" s="1837" t="s">
        <v>399</v>
      </c>
      <c r="B53" s="1750"/>
      <c r="C53" s="1750"/>
      <c r="D53" s="1750"/>
      <c r="E53" s="1750"/>
      <c r="F53" s="1750"/>
      <c r="G53" s="1750"/>
      <c r="H53" s="1750"/>
      <c r="I53" s="1750"/>
      <c r="J53" s="1750"/>
      <c r="K53" s="1750"/>
      <c r="L53" s="1750"/>
      <c r="M53" s="1750"/>
      <c r="N53" s="1750"/>
      <c r="O53" s="1750"/>
      <c r="P53" s="1750"/>
      <c r="Q53" s="1750"/>
      <c r="R53" s="1750"/>
      <c r="S53" s="1750"/>
      <c r="T53" s="1750"/>
      <c r="U53" s="1750"/>
      <c r="V53" s="1750"/>
      <c r="W53" s="1750"/>
      <c r="X53" s="1750"/>
      <c r="Y53" s="1750"/>
      <c r="Z53" s="1750"/>
      <c r="AA53" s="1750"/>
      <c r="AB53" s="1750"/>
      <c r="AC53" s="1750"/>
      <c r="AD53" s="1750"/>
      <c r="AE53" s="1750"/>
      <c r="AF53" s="1750"/>
      <c r="AG53" s="1750"/>
      <c r="AH53" s="1750"/>
      <c r="AI53" s="1750"/>
      <c r="AJ53" s="1750"/>
      <c r="AK53" s="1750"/>
      <c r="AL53" s="1750"/>
      <c r="AM53" s="1750"/>
      <c r="AN53" s="1750"/>
      <c r="AO53" s="1838"/>
    </row>
    <row r="54" spans="1:41" ht="15" customHeight="1">
      <c r="A54" s="1820"/>
      <c r="B54" s="1821"/>
      <c r="C54" s="1821"/>
      <c r="D54" s="1821"/>
      <c r="E54" s="1821"/>
      <c r="F54" s="1821"/>
      <c r="G54" s="1821"/>
      <c r="H54" s="1821"/>
      <c r="I54" s="1821"/>
      <c r="J54" s="1821"/>
      <c r="K54" s="1821"/>
      <c r="L54" s="1821"/>
      <c r="M54" s="1821"/>
      <c r="N54" s="1821"/>
      <c r="O54" s="1821"/>
      <c r="P54" s="1821"/>
      <c r="Q54" s="1821"/>
      <c r="R54" s="1821"/>
      <c r="S54" s="1821"/>
      <c r="T54" s="1822"/>
      <c r="U54" s="1822"/>
      <c r="V54" s="1822"/>
      <c r="W54" s="1822"/>
      <c r="X54" s="1822"/>
      <c r="Y54" s="1822"/>
      <c r="Z54" s="1822"/>
      <c r="AA54" s="1822"/>
      <c r="AB54" s="1822"/>
      <c r="AC54" s="1822"/>
      <c r="AD54" s="1822"/>
      <c r="AE54" s="1822"/>
      <c r="AF54" s="1822"/>
      <c r="AG54" s="1822"/>
      <c r="AH54" s="1822"/>
      <c r="AI54" s="1822"/>
      <c r="AJ54" s="1822"/>
      <c r="AK54" s="1822"/>
      <c r="AL54" s="1822"/>
      <c r="AM54" s="1822"/>
      <c r="AN54" s="1822"/>
      <c r="AO54" s="1823"/>
    </row>
    <row r="55" spans="1:41" ht="4.5" customHeight="1">
      <c r="A55" s="1763"/>
      <c r="B55" s="1764"/>
      <c r="C55" s="1764"/>
      <c r="D55" s="1764"/>
      <c r="E55" s="1764"/>
      <c r="F55" s="1764"/>
      <c r="G55" s="1764"/>
      <c r="H55" s="1764"/>
      <c r="I55" s="1764"/>
      <c r="J55" s="1764"/>
      <c r="K55" s="1764"/>
      <c r="L55" s="1764"/>
      <c r="M55" s="1764"/>
      <c r="N55" s="1764"/>
      <c r="O55" s="1764"/>
      <c r="P55" s="1764"/>
      <c r="Q55" s="1764"/>
      <c r="R55" s="1764"/>
      <c r="S55" s="1764"/>
      <c r="T55" s="1764"/>
      <c r="U55" s="1764"/>
      <c r="V55" s="1764"/>
      <c r="W55" s="1764"/>
      <c r="X55" s="1764"/>
      <c r="Y55" s="1764"/>
      <c r="Z55" s="1764"/>
      <c r="AA55" s="1764"/>
      <c r="AB55" s="1764"/>
      <c r="AC55" s="1764"/>
      <c r="AD55" s="1764"/>
      <c r="AE55" s="1764"/>
      <c r="AF55" s="1764"/>
      <c r="AG55" s="1764"/>
      <c r="AH55" s="1764"/>
      <c r="AI55" s="1764"/>
      <c r="AJ55" s="1764"/>
      <c r="AK55" s="1764"/>
      <c r="AL55" s="1764"/>
      <c r="AM55" s="1764"/>
      <c r="AN55" s="1764"/>
      <c r="AO55" s="1765"/>
    </row>
    <row r="56" spans="1:41" ht="12.75">
      <c r="A56" s="1704" t="s">
        <v>3951</v>
      </c>
      <c r="B56" s="1705"/>
      <c r="C56" s="1705"/>
      <c r="D56" s="1705"/>
      <c r="E56" s="1705"/>
      <c r="F56" s="1705"/>
      <c r="G56" s="1705"/>
      <c r="H56" s="1705"/>
      <c r="I56" s="1705"/>
      <c r="J56" s="1705"/>
      <c r="K56" s="1705"/>
      <c r="L56" s="1705"/>
      <c r="M56" s="1705"/>
      <c r="N56" s="1705"/>
      <c r="O56" s="1705"/>
      <c r="P56" s="1705"/>
      <c r="Q56" s="1705"/>
      <c r="R56" s="1705"/>
      <c r="S56" s="1705"/>
      <c r="T56" s="1705"/>
      <c r="U56" s="1705"/>
      <c r="V56" s="1705"/>
      <c r="W56" s="1705"/>
      <c r="X56" s="1705"/>
      <c r="Y56" s="1705"/>
      <c r="Z56" s="1705"/>
      <c r="AA56" s="1705"/>
      <c r="AB56" s="1705"/>
      <c r="AC56" s="1705"/>
      <c r="AD56" s="1705"/>
      <c r="AE56" s="1705"/>
      <c r="AF56" s="1705"/>
      <c r="AG56" s="1705"/>
      <c r="AH56" s="1705"/>
      <c r="AI56" s="1705"/>
      <c r="AJ56" s="1705"/>
      <c r="AK56" s="1705"/>
      <c r="AL56" s="1705"/>
      <c r="AM56" s="1705"/>
      <c r="AN56" s="1705"/>
      <c r="AO56" s="1719"/>
    </row>
    <row r="57" spans="1:81" s="139" customFormat="1" ht="30" customHeight="1">
      <c r="A57" s="1839" t="s">
        <v>3952</v>
      </c>
      <c r="B57" s="1664"/>
      <c r="C57" s="1664"/>
      <c r="D57" s="1664"/>
      <c r="E57" s="1664"/>
      <c r="F57" s="1664"/>
      <c r="G57" s="1664"/>
      <c r="H57" s="1664"/>
      <c r="I57" s="1664"/>
      <c r="J57" s="1664"/>
      <c r="K57" s="1664"/>
      <c r="L57" s="1664"/>
      <c r="M57" s="1664"/>
      <c r="N57" s="1664"/>
      <c r="O57" s="1664"/>
      <c r="P57" s="1664"/>
      <c r="Q57" s="1664"/>
      <c r="R57" s="1664"/>
      <c r="S57" s="1664"/>
      <c r="T57" s="1664"/>
      <c r="U57" s="1664"/>
      <c r="V57" s="1664"/>
      <c r="W57" s="1664"/>
      <c r="X57" s="1664"/>
      <c r="Y57" s="1664"/>
      <c r="Z57" s="1664"/>
      <c r="AA57" s="1664"/>
      <c r="AB57" s="1664"/>
      <c r="AC57" s="1664"/>
      <c r="AD57" s="1664"/>
      <c r="AE57" s="1664"/>
      <c r="AF57" s="1664"/>
      <c r="AG57" s="1664"/>
      <c r="AH57" s="1664"/>
      <c r="AI57" s="1664"/>
      <c r="AJ57" s="1664"/>
      <c r="AK57" s="1840"/>
      <c r="AL57" s="1840"/>
      <c r="AM57" s="1840"/>
      <c r="AN57" s="1840"/>
      <c r="AO57" s="1841"/>
      <c r="AP57" s="122"/>
      <c r="AQ57" s="122"/>
      <c r="AR57" s="122"/>
      <c r="AS57" s="122"/>
      <c r="AT57" s="122"/>
      <c r="AU57" s="122"/>
      <c r="AV57" s="122"/>
      <c r="AW57" s="122"/>
      <c r="AX57" s="122"/>
      <c r="AY57" s="122"/>
      <c r="AZ57" s="122"/>
      <c r="BA57" s="122"/>
      <c r="BB57" s="122"/>
      <c r="BC57" s="122"/>
      <c r="BD57" s="122"/>
      <c r="BE57" s="122"/>
      <c r="BF57" s="122"/>
      <c r="BG57" s="122"/>
      <c r="BH57" s="122"/>
      <c r="BI57" s="122"/>
      <c r="BJ57" s="122"/>
      <c r="BK57" s="122"/>
      <c r="BL57" s="122"/>
      <c r="BM57" s="122"/>
      <c r="BN57" s="122"/>
      <c r="BO57" s="122"/>
      <c r="BP57" s="122"/>
      <c r="BQ57" s="122"/>
      <c r="BR57" s="122"/>
      <c r="BS57" s="122"/>
      <c r="BT57" s="122"/>
      <c r="BU57" s="122"/>
      <c r="BV57" s="122"/>
      <c r="BW57" s="122"/>
      <c r="BX57" s="122"/>
      <c r="BY57" s="122"/>
      <c r="BZ57" s="122"/>
      <c r="CA57" s="122"/>
      <c r="CB57" s="122"/>
      <c r="CC57" s="122"/>
    </row>
    <row r="58" spans="1:41" ht="12.75">
      <c r="A58" s="1634" t="s">
        <v>53</v>
      </c>
      <c r="B58" s="1680"/>
      <c r="C58" s="1680"/>
      <c r="D58" s="1652"/>
      <c r="E58" s="1652"/>
      <c r="F58" s="1652"/>
      <c r="G58" s="1652"/>
      <c r="H58" s="1652"/>
      <c r="I58" s="1652"/>
      <c r="J58" s="1652"/>
      <c r="K58" s="1652"/>
      <c r="L58" s="1652"/>
      <c r="M58" s="1652"/>
      <c r="N58" s="1652"/>
      <c r="O58" s="1652"/>
      <c r="P58" s="1652"/>
      <c r="Q58" s="1652"/>
      <c r="R58" s="1652"/>
      <c r="S58" s="1652"/>
      <c r="T58" s="1652"/>
      <c r="U58" s="1652"/>
      <c r="V58" s="1652"/>
      <c r="W58" s="1652"/>
      <c r="X58" s="1652"/>
      <c r="Y58" s="1652"/>
      <c r="Z58" s="1652"/>
      <c r="AA58" s="1652"/>
      <c r="AB58" s="1652"/>
      <c r="AC58" s="1652"/>
      <c r="AD58" s="1652"/>
      <c r="AE58" s="1652"/>
      <c r="AF58" s="1652"/>
      <c r="AG58" s="613"/>
      <c r="AH58" s="616"/>
      <c r="AI58" s="1872" t="s">
        <v>381</v>
      </c>
      <c r="AJ58" s="1872"/>
      <c r="AK58" s="1872"/>
      <c r="AL58" s="1872"/>
      <c r="AM58" s="1872"/>
      <c r="AN58" s="1872"/>
      <c r="AO58" s="1873"/>
    </row>
    <row r="59" spans="1:41" ht="18" customHeight="1">
      <c r="A59" s="1842">
        <f ca="1">+TODAY()</f>
        <v>43231</v>
      </c>
      <c r="B59" s="1843"/>
      <c r="C59" s="1844"/>
      <c r="D59" s="363"/>
      <c r="E59" s="1652"/>
      <c r="F59" s="1652"/>
      <c r="G59" s="1715"/>
      <c r="H59" s="1715"/>
      <c r="I59" s="1715"/>
      <c r="J59" s="1715"/>
      <c r="K59" s="1715"/>
      <c r="L59" s="1845" t="s">
        <v>335</v>
      </c>
      <c r="M59" s="1846"/>
      <c r="N59" s="1846"/>
      <c r="O59" s="1846"/>
      <c r="P59" s="1846"/>
      <c r="Q59" s="1846"/>
      <c r="R59" s="1846"/>
      <c r="S59" s="1846"/>
      <c r="T59" s="1846"/>
      <c r="U59" s="1847"/>
      <c r="V59" s="352"/>
      <c r="W59" s="1845" t="s">
        <v>336</v>
      </c>
      <c r="X59" s="1846"/>
      <c r="Y59" s="1846"/>
      <c r="Z59" s="1846"/>
      <c r="AA59" s="1846"/>
      <c r="AB59" s="1846"/>
      <c r="AC59" s="1846"/>
      <c r="AD59" s="1847"/>
      <c r="AE59" s="1764"/>
      <c r="AF59" s="1764"/>
      <c r="AG59" s="1764"/>
      <c r="AH59" s="1764"/>
      <c r="AI59" s="1827"/>
      <c r="AJ59" s="1836"/>
      <c r="AK59" s="1836"/>
      <c r="AL59" s="1836"/>
      <c r="AM59" s="1836"/>
      <c r="AN59" s="1836"/>
      <c r="AO59" s="1835"/>
    </row>
    <row r="60" spans="1:41" ht="12.75">
      <c r="A60" s="1634" t="s">
        <v>334</v>
      </c>
      <c r="B60" s="1681"/>
      <c r="C60" s="1681"/>
      <c r="D60" s="363"/>
      <c r="E60" s="1715"/>
      <c r="F60" s="1715"/>
      <c r="G60" s="1715"/>
      <c r="H60" s="1715"/>
      <c r="I60" s="1715"/>
      <c r="J60" s="1715"/>
      <c r="K60" s="1715"/>
      <c r="L60" s="1848"/>
      <c r="M60" s="1849"/>
      <c r="N60" s="1849"/>
      <c r="O60" s="1849"/>
      <c r="P60" s="1849"/>
      <c r="Q60" s="1849"/>
      <c r="R60" s="1849"/>
      <c r="S60" s="1849"/>
      <c r="T60" s="1849"/>
      <c r="U60" s="1850"/>
      <c r="V60" s="352"/>
      <c r="W60" s="1848"/>
      <c r="X60" s="1849"/>
      <c r="Y60" s="1849"/>
      <c r="Z60" s="1849"/>
      <c r="AA60" s="1849"/>
      <c r="AB60" s="1849"/>
      <c r="AC60" s="1849"/>
      <c r="AD60" s="1850"/>
      <c r="AE60" s="614"/>
      <c r="AF60" s="614"/>
      <c r="AG60" s="614"/>
      <c r="AH60" s="614"/>
      <c r="AI60" s="1740" t="s">
        <v>3776</v>
      </c>
      <c r="AJ60" s="1740"/>
      <c r="AK60" s="1740"/>
      <c r="AL60" s="1740"/>
      <c r="AM60" s="1740"/>
      <c r="AN60" s="1740"/>
      <c r="AO60" s="1855"/>
    </row>
    <row r="61" spans="1:41" ht="18" customHeight="1">
      <c r="A61" s="1834">
        <v>0</v>
      </c>
      <c r="B61" s="1835"/>
      <c r="C61" s="359"/>
      <c r="D61" s="359"/>
      <c r="E61" s="1691"/>
      <c r="F61" s="1691"/>
      <c r="G61" s="1691"/>
      <c r="H61" s="1691"/>
      <c r="I61" s="1691"/>
      <c r="J61" s="1691"/>
      <c r="K61" s="1691"/>
      <c r="L61" s="1848"/>
      <c r="M61" s="1849"/>
      <c r="N61" s="1849"/>
      <c r="O61" s="1849"/>
      <c r="P61" s="1849"/>
      <c r="Q61" s="1849"/>
      <c r="R61" s="1849"/>
      <c r="S61" s="1849"/>
      <c r="T61" s="1849"/>
      <c r="U61" s="1850"/>
      <c r="V61" s="352"/>
      <c r="W61" s="1848"/>
      <c r="X61" s="1849"/>
      <c r="Y61" s="1849"/>
      <c r="Z61" s="1849"/>
      <c r="AA61" s="1849"/>
      <c r="AB61" s="1849"/>
      <c r="AC61" s="1849"/>
      <c r="AD61" s="1850"/>
      <c r="AE61" s="614"/>
      <c r="AF61" s="614"/>
      <c r="AG61" s="614"/>
      <c r="AH61" s="614"/>
      <c r="AI61" s="1930"/>
      <c r="AJ61" s="1931"/>
      <c r="AK61" s="1931"/>
      <c r="AL61" s="1931"/>
      <c r="AM61" s="1931"/>
      <c r="AN61" s="1931"/>
      <c r="AO61" s="1932"/>
    </row>
    <row r="62" spans="1:41" ht="38.1" customHeight="1">
      <c r="A62" s="360"/>
      <c r="B62" s="1764"/>
      <c r="C62" s="1764"/>
      <c r="D62" s="1764"/>
      <c r="E62" s="1691"/>
      <c r="F62" s="1691"/>
      <c r="G62" s="1691"/>
      <c r="H62" s="1691"/>
      <c r="I62" s="1691"/>
      <c r="J62" s="1691"/>
      <c r="K62" s="1691"/>
      <c r="L62" s="1848"/>
      <c r="M62" s="1849"/>
      <c r="N62" s="1849"/>
      <c r="O62" s="1849"/>
      <c r="P62" s="1849"/>
      <c r="Q62" s="1849"/>
      <c r="R62" s="1849"/>
      <c r="S62" s="1849"/>
      <c r="T62" s="1849"/>
      <c r="U62" s="1850"/>
      <c r="V62" s="352"/>
      <c r="W62" s="1848"/>
      <c r="X62" s="1849"/>
      <c r="Y62" s="1849"/>
      <c r="Z62" s="1849"/>
      <c r="AA62" s="1849"/>
      <c r="AB62" s="1849"/>
      <c r="AC62" s="1849"/>
      <c r="AD62" s="1850"/>
      <c r="AE62" s="614"/>
      <c r="AF62" s="614"/>
      <c r="AG62" s="614"/>
      <c r="AH62" s="614"/>
      <c r="AI62" s="614"/>
      <c r="AJ62" s="614"/>
      <c r="AK62" s="614"/>
      <c r="AL62" s="614"/>
      <c r="AM62" s="614"/>
      <c r="AN62" s="614"/>
      <c r="AO62" s="615"/>
    </row>
    <row r="63" spans="1:41" ht="12.75">
      <c r="A63" s="360"/>
      <c r="B63" s="1764"/>
      <c r="C63" s="1764"/>
      <c r="D63" s="1764"/>
      <c r="E63" s="1691"/>
      <c r="F63" s="1691"/>
      <c r="G63" s="1691"/>
      <c r="H63" s="1691"/>
      <c r="I63" s="1691"/>
      <c r="J63" s="1691"/>
      <c r="K63" s="1691"/>
      <c r="L63" s="1851"/>
      <c r="M63" s="1852"/>
      <c r="N63" s="1852"/>
      <c r="O63" s="1852"/>
      <c r="P63" s="1852"/>
      <c r="Q63" s="1852"/>
      <c r="R63" s="1852"/>
      <c r="S63" s="1852"/>
      <c r="T63" s="1852"/>
      <c r="U63" s="1853"/>
      <c r="V63" s="352"/>
      <c r="W63" s="1851"/>
      <c r="X63" s="1852"/>
      <c r="Y63" s="1852"/>
      <c r="Z63" s="1852"/>
      <c r="AA63" s="1852"/>
      <c r="AB63" s="1852"/>
      <c r="AC63" s="1852"/>
      <c r="AD63" s="1853"/>
      <c r="AE63" s="1764"/>
      <c r="AF63" s="1764"/>
      <c r="AG63" s="1764"/>
      <c r="AH63" s="1764"/>
      <c r="AI63" s="1856" t="s">
        <v>337</v>
      </c>
      <c r="AJ63" s="1856"/>
      <c r="AK63" s="1856"/>
      <c r="AL63" s="1856"/>
      <c r="AM63" s="1856"/>
      <c r="AN63" s="1856"/>
      <c r="AO63" s="364"/>
    </row>
    <row r="64" spans="1:41" ht="35.1" customHeight="1">
      <c r="A64" s="1940" t="str">
        <f>+'DAP1'!A46</f>
        <v>Formulář zpracovala ASPEKT HM, daňová, účetní a auditorská kancelář, www.danovapriznani.cz, business.center.cz</v>
      </c>
      <c r="B64" s="1941"/>
      <c r="C64" s="1941"/>
      <c r="D64" s="1941"/>
      <c r="E64" s="1941"/>
      <c r="F64" s="1941"/>
      <c r="G64" s="1941"/>
      <c r="H64" s="1941"/>
      <c r="I64" s="1941"/>
      <c r="J64" s="1941"/>
      <c r="K64" s="1941"/>
      <c r="L64" s="1941"/>
      <c r="M64" s="1941"/>
      <c r="N64" s="1941"/>
      <c r="O64" s="1941"/>
      <c r="P64" s="1941"/>
      <c r="Q64" s="1941"/>
      <c r="R64" s="1941"/>
      <c r="S64" s="1941"/>
      <c r="T64" s="1941"/>
      <c r="U64" s="1941"/>
      <c r="V64" s="1941"/>
      <c r="W64" s="1941"/>
      <c r="X64" s="1941"/>
      <c r="Y64" s="1941"/>
      <c r="Z64" s="1941"/>
      <c r="AA64" s="1941"/>
      <c r="AB64" s="1941"/>
      <c r="AC64" s="1941"/>
      <c r="AD64" s="1941"/>
      <c r="AE64" s="1941"/>
      <c r="AF64" s="1941"/>
      <c r="AG64" s="1941"/>
      <c r="AH64" s="1941"/>
      <c r="AI64" s="1941"/>
      <c r="AJ64" s="1937" t="s">
        <v>3931</v>
      </c>
      <c r="AK64" s="1938"/>
      <c r="AL64" s="1938"/>
      <c r="AM64" s="1938"/>
      <c r="AN64" s="1938"/>
      <c r="AO64" s="1939"/>
    </row>
    <row r="65" spans="1:41"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row>
    <row r="66" spans="1:41"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row>
    <row r="67" spans="1:41"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row>
    <row r="68" spans="1:41"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row>
    <row r="69" spans="1:41"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row>
    <row r="70" spans="1:41"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row>
    <row r="71" spans="1:41"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row>
    <row r="72" spans="1:41"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row>
    <row r="73" spans="1:41"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row>
    <row r="74" spans="1:41"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row>
    <row r="75" spans="1:41"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row>
    <row r="76" spans="1:41"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row>
    <row r="77" spans="1:41"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row>
    <row r="78" spans="1:41"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row>
    <row r="79" spans="1:41"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row>
    <row r="80" spans="1:41"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row>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row r="218" s="29" customFormat="1" ht="12.75"/>
    <row r="219" s="29" customFormat="1" ht="12.75"/>
    <row r="220" s="29" customFormat="1" ht="12.75"/>
    <row r="221" s="29" customFormat="1" ht="12.75"/>
    <row r="222" s="29" customFormat="1" ht="12.75"/>
    <row r="223" s="29" customFormat="1" ht="12.75"/>
    <row r="224" s="29" customFormat="1" ht="12.75"/>
    <row r="225" s="29" customFormat="1" ht="12.75"/>
    <row r="226" s="29" customFormat="1" ht="12.75"/>
    <row r="227" s="29" customFormat="1" ht="12.75"/>
    <row r="228" s="29" customFormat="1" ht="12.75"/>
    <row r="229" s="29" customFormat="1" ht="12.75"/>
    <row r="230" s="29" customFormat="1" ht="12.75"/>
    <row r="231" s="29" customFormat="1" ht="12.75"/>
    <row r="232" s="29" customFormat="1" ht="12.75"/>
    <row r="233" s="29" customFormat="1" ht="12.75"/>
    <row r="234" s="29" customFormat="1" ht="12.75"/>
    <row r="235" s="29" customFormat="1" ht="12.75"/>
    <row r="236" s="29" customFormat="1" ht="12.75"/>
    <row r="237" s="29" customFormat="1" ht="12.75"/>
    <row r="238" s="29" customFormat="1" ht="12.75"/>
    <row r="239" s="29" customFormat="1" ht="12.75"/>
    <row r="240" s="29" customFormat="1" ht="12.75"/>
    <row r="241" s="29" customFormat="1" ht="12.75"/>
    <row r="242" s="29" customFormat="1" ht="12.75"/>
    <row r="243" s="29" customFormat="1" ht="12.75"/>
    <row r="244" s="29" customFormat="1" ht="12.75"/>
    <row r="245" s="29" customFormat="1" ht="12.75"/>
    <row r="246" s="29" customFormat="1" ht="12.75"/>
    <row r="247" s="29" customFormat="1" ht="12.75"/>
    <row r="248" s="29" customFormat="1" ht="12.75"/>
    <row r="249" s="29" customFormat="1" ht="12.75"/>
    <row r="250" s="29" customFormat="1" ht="12.75"/>
    <row r="251" s="29" customFormat="1" ht="12.75"/>
    <row r="252" s="29" customFormat="1" ht="12.75"/>
    <row r="253" s="29" customFormat="1" ht="12.75"/>
    <row r="254" s="29" customFormat="1" ht="12.75"/>
    <row r="255" s="29" customFormat="1" ht="12.75"/>
    <row r="256" s="29" customFormat="1" ht="12.75"/>
    <row r="257" s="29" customFormat="1" ht="12.75"/>
    <row r="258" s="29" customFormat="1" ht="12.75"/>
    <row r="259" s="29" customFormat="1" ht="12.75"/>
    <row r="260" s="29" customFormat="1" ht="12.75"/>
    <row r="261" s="29" customFormat="1" ht="12.75"/>
    <row r="262" s="29" customFormat="1" ht="12.75"/>
    <row r="263" s="29" customFormat="1" ht="12.75"/>
    <row r="264" s="29" customFormat="1" ht="12.75"/>
    <row r="265" s="29" customFormat="1" ht="12.75"/>
    <row r="266" s="29" customFormat="1" ht="12.75"/>
    <row r="267" s="29" customFormat="1" ht="12.75"/>
    <row r="268" s="29" customFormat="1" ht="12.75"/>
    <row r="269" s="29" customFormat="1" ht="12.75"/>
    <row r="270" s="29" customFormat="1" ht="12.75"/>
    <row r="271" s="29" customFormat="1" ht="12.75"/>
    <row r="272" s="29" customFormat="1" ht="12.75"/>
    <row r="273" s="29" customFormat="1" ht="12.75"/>
    <row r="274" s="29" customFormat="1" ht="12.75"/>
    <row r="275" s="29" customFormat="1" ht="12.75"/>
    <row r="276" s="29" customFormat="1" ht="12.75"/>
    <row r="277" s="29" customFormat="1" ht="12.75"/>
    <row r="278" s="29" customFormat="1" ht="12.75"/>
    <row r="279" s="29" customFormat="1" ht="12.75"/>
    <row r="280" s="29" customFormat="1" ht="12.75"/>
    <row r="281" s="29" customFormat="1" ht="12.75"/>
    <row r="282" s="29" customFormat="1" ht="12.75"/>
    <row r="283" s="29" customFormat="1" ht="12.75"/>
    <row r="284" s="29" customFormat="1" ht="12.75"/>
    <row r="285" s="29" customFormat="1" ht="12.75"/>
    <row r="286" s="29" customFormat="1" ht="12.75"/>
    <row r="287" s="29" customFormat="1" ht="12.75"/>
    <row r="288" s="29" customFormat="1" ht="12.75"/>
    <row r="289" s="29" customFormat="1" ht="12.75"/>
    <row r="290" s="29" customFormat="1" ht="12.75"/>
    <row r="291" s="29" customFormat="1" ht="12.75"/>
    <row r="292" s="29" customFormat="1" ht="12.75"/>
    <row r="293" s="29" customFormat="1" ht="12.75"/>
    <row r="294" s="29" customFormat="1" ht="12.75"/>
    <row r="295" s="29" customFormat="1" ht="12.75"/>
    <row r="296" s="29" customFormat="1" ht="12.75"/>
    <row r="297" s="29" customFormat="1" ht="12.75"/>
    <row r="298" s="29" customFormat="1" ht="12.75"/>
    <row r="299" s="29" customFormat="1" ht="12.75"/>
    <row r="300" s="29" customFormat="1" ht="12.75"/>
    <row r="301" s="29" customFormat="1" ht="12.75"/>
    <row r="302" s="29" customFormat="1" ht="12.75"/>
    <row r="303" s="29" customFormat="1" ht="12.75"/>
    <row r="304" s="29" customFormat="1" ht="12.75"/>
    <row r="305" s="29" customFormat="1" ht="12.75"/>
    <row r="306" s="29" customFormat="1" ht="12.75"/>
    <row r="307" s="29" customFormat="1" ht="12.75"/>
    <row r="308" s="29" customFormat="1" ht="12.75"/>
    <row r="309" s="29" customFormat="1" ht="12.75"/>
    <row r="310" s="29" customFormat="1" ht="12.75"/>
    <row r="311" s="29" customFormat="1" ht="12.75"/>
    <row r="312" s="29" customFormat="1" ht="12.75"/>
    <row r="313" s="29" customFormat="1" ht="12.75"/>
    <row r="314" s="29" customFormat="1" ht="12.75"/>
    <row r="315" s="29" customFormat="1" ht="12.75"/>
    <row r="316" s="29" customFormat="1" ht="12.75"/>
    <row r="317" s="29" customFormat="1" ht="12.75"/>
    <row r="318" s="29" customFormat="1" ht="12.75"/>
    <row r="319" s="29" customFormat="1" ht="12.75"/>
    <row r="320" s="29" customFormat="1" ht="12.75"/>
    <row r="321" s="29" customFormat="1" ht="12.75"/>
    <row r="322" s="29" customFormat="1" ht="12.75"/>
    <row r="323" s="29" customFormat="1" ht="12.75"/>
    <row r="324" s="29" customFormat="1" ht="12.75"/>
    <row r="325" s="29" customFormat="1" ht="12.75"/>
    <row r="326" s="29" customFormat="1" ht="12.75"/>
    <row r="327" s="29" customFormat="1" ht="12.75"/>
    <row r="328" s="29" customFormat="1" ht="12.75"/>
    <row r="329" s="29" customFormat="1" ht="12.75"/>
    <row r="330" s="29" customFormat="1" ht="12.75"/>
    <row r="331" s="29" customFormat="1" ht="12.75"/>
    <row r="332" s="29" customFormat="1" ht="12.75"/>
    <row r="333" s="29" customFormat="1" ht="12.75"/>
    <row r="334" s="29" customFormat="1" ht="12.75"/>
    <row r="335" s="29" customFormat="1" ht="12.75"/>
    <row r="336" s="29" customFormat="1" ht="12.75"/>
    <row r="337" s="29" customFormat="1" ht="12.75"/>
    <row r="338" s="29" customFormat="1" ht="12.75"/>
    <row r="339" s="29" customFormat="1" ht="12.75"/>
    <row r="340" s="29" customFormat="1" ht="12.75"/>
    <row r="341" s="29" customFormat="1" ht="12.75"/>
    <row r="342" s="29" customFormat="1" ht="12.75"/>
    <row r="343" s="29" customFormat="1" ht="12.75"/>
    <row r="344" s="29" customFormat="1" ht="12.75"/>
    <row r="345" s="29" customFormat="1" ht="12.75"/>
    <row r="346" s="29" customFormat="1" ht="12.75"/>
    <row r="347" s="29" customFormat="1" ht="12.75"/>
    <row r="348" s="29" customFormat="1" ht="12.75"/>
    <row r="349" s="29" customFormat="1" ht="12.75"/>
    <row r="350" s="29" customFormat="1" ht="12.75"/>
    <row r="351" s="29" customFormat="1" ht="12.75"/>
    <row r="352" s="29" customFormat="1" ht="12.75"/>
    <row r="353" s="29" customFormat="1" ht="12.75"/>
    <row r="354" s="29" customFormat="1" ht="12.75"/>
    <row r="355" s="29" customFormat="1" ht="12.75"/>
    <row r="356" s="29" customFormat="1" ht="12.75"/>
    <row r="357" s="29" customFormat="1" ht="12.75"/>
    <row r="358" s="29" customFormat="1" ht="12.75"/>
    <row r="359" s="29" customFormat="1" ht="12.75"/>
    <row r="360" s="29" customFormat="1" ht="12.75"/>
    <row r="361" s="29" customFormat="1" ht="12.75"/>
    <row r="362" s="29" customFormat="1" ht="12.75"/>
    <row r="363" s="29" customFormat="1" ht="12.75"/>
    <row r="364" s="29" customFormat="1" ht="12.75"/>
    <row r="365" s="29" customFormat="1" ht="12.75"/>
    <row r="366" s="29" customFormat="1" ht="12.75"/>
    <row r="367" s="29" customFormat="1" ht="12.75"/>
    <row r="368" s="29" customFormat="1" ht="12.75"/>
    <row r="369" s="29" customFormat="1" ht="12.75"/>
    <row r="370" s="29" customFormat="1" ht="12.75"/>
    <row r="371" s="29" customFormat="1" ht="12.75"/>
    <row r="372" s="29" customFormat="1" ht="12.75"/>
    <row r="373" s="29" customFormat="1" ht="12.75"/>
    <row r="374" s="29" customFormat="1" ht="12.75"/>
    <row r="375" s="29" customFormat="1" ht="12.75"/>
    <row r="376" s="29" customFormat="1" ht="12.75"/>
    <row r="377" s="29" customFormat="1" ht="12.75"/>
    <row r="378" s="29" customFormat="1" ht="12.75"/>
    <row r="379" s="29" customFormat="1" ht="12.75"/>
    <row r="380" s="29" customFormat="1" ht="12.75"/>
    <row r="381" s="29" customFormat="1" ht="12.75"/>
    <row r="382" s="29" customFormat="1" ht="12.75"/>
    <row r="383" s="29" customFormat="1" ht="12.75"/>
    <row r="384" s="29" customFormat="1" ht="12.75"/>
    <row r="385" s="29" customFormat="1" ht="12.75"/>
    <row r="386" s="29" customFormat="1" ht="12.75"/>
    <row r="387" s="29" customFormat="1" ht="12.75"/>
    <row r="388" s="29" customFormat="1" ht="12.75"/>
    <row r="389" s="29" customFormat="1" ht="12.75"/>
    <row r="390" s="29" customFormat="1" ht="12.75"/>
    <row r="391" s="29" customFormat="1" ht="12.75"/>
    <row r="392" s="29" customFormat="1" ht="12.75"/>
    <row r="393" s="29" customFormat="1" ht="12.75"/>
    <row r="394" s="29" customFormat="1" ht="12.75"/>
    <row r="395" s="29" customFormat="1" ht="12.75"/>
    <row r="396" s="29" customFormat="1" ht="12.75"/>
    <row r="397" s="29" customFormat="1" ht="12.75"/>
    <row r="398" s="29" customFormat="1" ht="12.75"/>
    <row r="399" s="29" customFormat="1" ht="12.75"/>
    <row r="400" s="29" customFormat="1" ht="12.75"/>
    <row r="401" s="29" customFormat="1" ht="12.75"/>
    <row r="402" s="29" customFormat="1" ht="12.75"/>
    <row r="403" s="29" customFormat="1" ht="12.75"/>
    <row r="404" s="29" customFormat="1" ht="12.75"/>
    <row r="405" s="29" customFormat="1" ht="12.75"/>
    <row r="406" s="29" customFormat="1" ht="12.75"/>
    <row r="407" s="29" customFormat="1" ht="12.75"/>
    <row r="408" s="29" customFormat="1" ht="12.75"/>
    <row r="409" s="29" customFormat="1" ht="12.75"/>
    <row r="410" s="29" customFormat="1" ht="12.75"/>
    <row r="411" s="29" customFormat="1" ht="12.75"/>
    <row r="412" s="29" customFormat="1" ht="12.75"/>
    <row r="413" s="29" customFormat="1" ht="12.75"/>
    <row r="414" s="29" customFormat="1" ht="12.75"/>
    <row r="415" s="29" customFormat="1" ht="12.75"/>
    <row r="416" s="29" customFormat="1" ht="12.75"/>
    <row r="417" s="29" customFormat="1" ht="12.75"/>
    <row r="418" s="29" customFormat="1" ht="12.75"/>
    <row r="419" s="29" customFormat="1" ht="12.75"/>
    <row r="420" s="29" customFormat="1" ht="12.75"/>
    <row r="421" s="29" customFormat="1" ht="12.75"/>
    <row r="422" s="29" customFormat="1" ht="12.75"/>
    <row r="423" s="29" customFormat="1" ht="12.75"/>
    <row r="424" s="29" customFormat="1" ht="12.75"/>
    <row r="425" s="29" customFormat="1" ht="12.75"/>
    <row r="426" s="29" customFormat="1" ht="12.75"/>
    <row r="427" s="29" customFormat="1" ht="12.75"/>
    <row r="428" s="29" customFormat="1" ht="12.75"/>
    <row r="429" s="29" customFormat="1" ht="12.75"/>
    <row r="430" s="29" customFormat="1" ht="12.75"/>
    <row r="431" s="29" customFormat="1" ht="12.75"/>
    <row r="432" s="29" customFormat="1" ht="12.75"/>
    <row r="433" s="29" customFormat="1" ht="12.75"/>
    <row r="434" s="29" customFormat="1" ht="12.75"/>
    <row r="435" s="29" customFormat="1" ht="12.75"/>
    <row r="436" s="29" customFormat="1" ht="12.75"/>
    <row r="437" s="29" customFormat="1" ht="12.75"/>
    <row r="438" s="29" customFormat="1" ht="12.75"/>
    <row r="439" s="29" customFormat="1" ht="12.75"/>
    <row r="440" s="29" customFormat="1" ht="12.75"/>
    <row r="441" s="29" customFormat="1" ht="12.75"/>
    <row r="442" s="29" customFormat="1" ht="12.75"/>
    <row r="443" s="29" customFormat="1" ht="12.75"/>
    <row r="444" s="29" customFormat="1" ht="12.75"/>
    <row r="445" s="29" customFormat="1" ht="12.75"/>
    <row r="446" s="29" customFormat="1" ht="12.75"/>
    <row r="447" s="29" customFormat="1" ht="12.75"/>
    <row r="448" s="29" customFormat="1" ht="12.75"/>
    <row r="449" s="29" customFormat="1" ht="12.75"/>
    <row r="450" s="29" customFormat="1" ht="12.75"/>
    <row r="451" s="29" customFormat="1" ht="12.75"/>
    <row r="452" s="29" customFormat="1" ht="12.75"/>
    <row r="453" s="29" customFormat="1" ht="12.75"/>
    <row r="454" s="29" customFormat="1" ht="12.75"/>
    <row r="455" s="29" customFormat="1" ht="12.75"/>
    <row r="456" s="29" customFormat="1" ht="12.75"/>
    <row r="457" s="29" customFormat="1" ht="12.75"/>
    <row r="458" s="29" customFormat="1" ht="12.75"/>
    <row r="459" s="29" customFormat="1" ht="12.75"/>
    <row r="460" s="29" customFormat="1" ht="12.75"/>
    <row r="461" s="29" customFormat="1" ht="12.75"/>
    <row r="462" s="29" customFormat="1" ht="12.75"/>
    <row r="463" s="29" customFormat="1" ht="12.75"/>
    <row r="464" s="29" customFormat="1" ht="12.75"/>
    <row r="465" s="29" customFormat="1" ht="12.75"/>
    <row r="466" s="29" customFormat="1" ht="12.75"/>
    <row r="467" s="29" customFormat="1" ht="12.75"/>
    <row r="468" s="29" customFormat="1" ht="12.75"/>
    <row r="469" s="29" customFormat="1" ht="12.75"/>
    <row r="470" s="29" customFormat="1" ht="12.75"/>
    <row r="471" s="29" customFormat="1" ht="12.75"/>
    <row r="472" s="29" customFormat="1" ht="12.75"/>
    <row r="473" s="29" customFormat="1" ht="12.75"/>
    <row r="474" s="29" customFormat="1" ht="12.75"/>
    <row r="475" s="29" customFormat="1" ht="12.75"/>
    <row r="476" s="29" customFormat="1" ht="12.75"/>
    <row r="477" s="29" customFormat="1" ht="12.75"/>
    <row r="478" s="29" customFormat="1" ht="12.75"/>
    <row r="479" s="29" customFormat="1" ht="12.75"/>
    <row r="480" s="29" customFormat="1" ht="12.75"/>
    <row r="481" s="29" customFormat="1" ht="12.75"/>
    <row r="482" s="29" customFormat="1" ht="12.75"/>
    <row r="483" s="29" customFormat="1" ht="12.75"/>
    <row r="484" s="29" customFormat="1" ht="12.75"/>
    <row r="485" s="29" customFormat="1" ht="12.75"/>
    <row r="486" s="29" customFormat="1" ht="12.75"/>
    <row r="487" s="29" customFormat="1" ht="12.75"/>
    <row r="488" s="29" customFormat="1" ht="12.75"/>
    <row r="489" s="29" customFormat="1" ht="12.75"/>
    <row r="490" s="29" customFormat="1" ht="12.75"/>
    <row r="491" s="29" customFormat="1" ht="12.75"/>
    <row r="492" s="29" customFormat="1" ht="12.75"/>
    <row r="493" s="29" customFormat="1" ht="12.75"/>
    <row r="494" s="29" customFormat="1" ht="12.75"/>
    <row r="495" s="29" customFormat="1" ht="12.75"/>
    <row r="496" s="29" customFormat="1" ht="12.75"/>
    <row r="497" s="29" customFormat="1" ht="12.75"/>
    <row r="498" s="29" customFormat="1" ht="12.75"/>
    <row r="499" s="29" customFormat="1" ht="12.75"/>
    <row r="500" s="29" customFormat="1" ht="12.75"/>
    <row r="501" s="29" customFormat="1" ht="12.75"/>
    <row r="502" s="29" customFormat="1" ht="12.75"/>
    <row r="503" s="29" customFormat="1" ht="12.75"/>
    <row r="504" s="29" customFormat="1" ht="12.75"/>
    <row r="505" s="29" customFormat="1" ht="12.75"/>
    <row r="506" s="29" customFormat="1" ht="12.75"/>
    <row r="507" s="29" customFormat="1" ht="12.75"/>
    <row r="508" s="29" customFormat="1" ht="12.75"/>
    <row r="509" s="29" customFormat="1" ht="12.75"/>
    <row r="510" s="29" customFormat="1" ht="12.75"/>
    <row r="511" s="29" customFormat="1" ht="12.75"/>
    <row r="512" s="29" customFormat="1" ht="12.75"/>
    <row r="513" s="29" customFormat="1" ht="12.75"/>
    <row r="514" s="29" customFormat="1" ht="12.75"/>
    <row r="515" s="29" customFormat="1" ht="12.75"/>
    <row r="516" s="29" customFormat="1" ht="12.75"/>
    <row r="517" s="29" customFormat="1" ht="12.75"/>
    <row r="518" s="29" customFormat="1" ht="12.75"/>
    <row r="519" s="29" customFormat="1" ht="12.75"/>
    <row r="520" s="29" customFormat="1" ht="12.75"/>
    <row r="521" s="29" customFormat="1" ht="12.75"/>
    <row r="522" s="29" customFormat="1" ht="12.75"/>
    <row r="523" s="29" customFormat="1" ht="12.75"/>
    <row r="524" s="29" customFormat="1" ht="12.75"/>
    <row r="525" s="29" customFormat="1" ht="12.75"/>
    <row r="526" s="29" customFormat="1" ht="12.75"/>
    <row r="527" s="29" customFormat="1" ht="12.75"/>
    <row r="528" s="29" customFormat="1" ht="12.75"/>
    <row r="529" s="29" customFormat="1" ht="12.75"/>
    <row r="530" s="29" customFormat="1" ht="12.75"/>
    <row r="531" s="29" customFormat="1" ht="12.75"/>
    <row r="532" s="29" customFormat="1" ht="12.75"/>
    <row r="533" s="29" customFormat="1" ht="12.75"/>
    <row r="534" s="29" customFormat="1" ht="12.75"/>
    <row r="535" s="29" customFormat="1" ht="12.75"/>
    <row r="536" s="29" customFormat="1" ht="12.75"/>
    <row r="537" s="29" customFormat="1" ht="12.75"/>
    <row r="538" s="29" customFormat="1" ht="12.75"/>
    <row r="539" s="29" customFormat="1" ht="12.75"/>
    <row r="540" s="29" customFormat="1" ht="12.75"/>
    <row r="541" s="29" customFormat="1" ht="12.75"/>
    <row r="542" s="29" customFormat="1" ht="12.75"/>
    <row r="543" s="29" customFormat="1" ht="12.75"/>
    <row r="544" s="29" customFormat="1" ht="12.75"/>
    <row r="545" s="29" customFormat="1" ht="12.75"/>
    <row r="546" s="29" customFormat="1" ht="12.75"/>
    <row r="547" s="29" customFormat="1" ht="12.75"/>
    <row r="548" s="29" customFormat="1" ht="12.75"/>
    <row r="549" s="29" customFormat="1" ht="12.75"/>
    <row r="550" s="29" customFormat="1" ht="12.75"/>
    <row r="551" s="29" customFormat="1" ht="12.75"/>
    <row r="552" s="29" customFormat="1" ht="12.75"/>
    <row r="553" s="29" customFormat="1" ht="12.75"/>
    <row r="554" s="29" customFormat="1" ht="12.75"/>
    <row r="555" s="29" customFormat="1" ht="12.75"/>
    <row r="556" s="29" customFormat="1" ht="12.75"/>
    <row r="557" s="29" customFormat="1" ht="12.75"/>
    <row r="558" s="29" customFormat="1" ht="12.75"/>
    <row r="559" s="29" customFormat="1" ht="12.75"/>
    <row r="560" s="29" customFormat="1" ht="12.75"/>
    <row r="561" s="29" customFormat="1" ht="12.75"/>
    <row r="562" s="29" customFormat="1" ht="12.75"/>
    <row r="563" s="29" customFormat="1" ht="12.75"/>
    <row r="564" s="29" customFormat="1" ht="12.75"/>
    <row r="565" s="29" customFormat="1" ht="12.75"/>
    <row r="566" s="29" customFormat="1" ht="12.75"/>
    <row r="567" s="29" customFormat="1" ht="12.75"/>
    <row r="568" s="29" customFormat="1" ht="12.75"/>
    <row r="569" s="29" customFormat="1" ht="12.75"/>
    <row r="570" s="29" customFormat="1" ht="12.75"/>
    <row r="571" s="29" customFormat="1" ht="12.75"/>
    <row r="572" s="29" customFormat="1" ht="12.75"/>
    <row r="573" s="29" customFormat="1" ht="12.75"/>
    <row r="574" s="29" customFormat="1" ht="12.75"/>
    <row r="575" s="29" customFormat="1" ht="12.75"/>
    <row r="576" s="29" customFormat="1" ht="12.75"/>
    <row r="577" s="29" customFormat="1" ht="12.75"/>
    <row r="578" s="29" customFormat="1" ht="12.75"/>
    <row r="579" s="29" customFormat="1" ht="12.75"/>
    <row r="580" s="29" customFormat="1" ht="12.75"/>
    <row r="581" s="29" customFormat="1" ht="12.75"/>
    <row r="582" s="29" customFormat="1" ht="12.75"/>
    <row r="583" s="29" customFormat="1" ht="12.75"/>
    <row r="584" s="29" customFormat="1" ht="12.75"/>
    <row r="585" s="29" customFormat="1" ht="12.75"/>
    <row r="586" s="29" customFormat="1" ht="12.75"/>
    <row r="587" s="29" customFormat="1" ht="12.75"/>
    <row r="588" s="29" customFormat="1" ht="12.75"/>
    <row r="589" s="29" customFormat="1" ht="12.75"/>
    <row r="590" s="29" customFormat="1" ht="12.75"/>
    <row r="591" s="29" customFormat="1" ht="12.75"/>
    <row r="592" s="29" customFormat="1" ht="12.75"/>
    <row r="593" s="29" customFormat="1" ht="12.75"/>
    <row r="594" s="29" customFormat="1" ht="12.75"/>
    <row r="595" s="29" customFormat="1" ht="12.75"/>
    <row r="596" s="29" customFormat="1" ht="12.75"/>
    <row r="597" s="29" customFormat="1" ht="12.75"/>
    <row r="598" s="29" customFormat="1" ht="12.75"/>
    <row r="599" s="29" customFormat="1" ht="12.75"/>
    <row r="600" s="29" customFormat="1" ht="12.75"/>
    <row r="601" s="29" customFormat="1" ht="12.75"/>
    <row r="602" s="29" customFormat="1" ht="12.75"/>
    <row r="603" s="29" customFormat="1" ht="12.75"/>
    <row r="604" s="29" customFormat="1" ht="12.75"/>
    <row r="605" s="29" customFormat="1" ht="12.75"/>
    <row r="606" s="29" customFormat="1" ht="12.75"/>
    <row r="607" s="29" customFormat="1" ht="12.75"/>
    <row r="608" s="29" customFormat="1" ht="12.75"/>
    <row r="609" s="29" customFormat="1" ht="12.75"/>
    <row r="610" s="29" customFormat="1" ht="12.75"/>
    <row r="611" s="29" customFormat="1" ht="12.75"/>
    <row r="612" s="29" customFormat="1" ht="12.75"/>
    <row r="613" s="29" customFormat="1" ht="12.75"/>
    <row r="614" s="29" customFormat="1" ht="12.75"/>
    <row r="615" s="29" customFormat="1" ht="12.75"/>
    <row r="616" s="29" customFormat="1" ht="12.75"/>
    <row r="617" s="29" customFormat="1" ht="12.75"/>
    <row r="618" s="29" customFormat="1" ht="12.75"/>
    <row r="619" s="29" customFormat="1" ht="12.75"/>
    <row r="620" s="29" customFormat="1" ht="12.75"/>
    <row r="621" s="29" customFormat="1" ht="12.75"/>
    <row r="622" s="29" customFormat="1" ht="12.75"/>
    <row r="623" s="29" customFormat="1" ht="12.75"/>
    <row r="624" s="29" customFormat="1" ht="12.75"/>
    <row r="625" s="29" customFormat="1" ht="12.75"/>
    <row r="626" s="29" customFormat="1" ht="12.75"/>
    <row r="627" s="29" customFormat="1" ht="12.75"/>
    <row r="628" s="29" customFormat="1" ht="12.75"/>
    <row r="629" s="29" customFormat="1" ht="12.75"/>
    <row r="630" s="29" customFormat="1" ht="12.75"/>
    <row r="631" s="29" customFormat="1" ht="12.75"/>
    <row r="632" s="29" customFormat="1" ht="12.75"/>
    <row r="633" s="29" customFormat="1" ht="12.75"/>
    <row r="634" s="29" customFormat="1" ht="12.75"/>
    <row r="635" s="29" customFormat="1" ht="12.75"/>
    <row r="636" s="29" customFormat="1" ht="12.75"/>
    <row r="637" s="29" customFormat="1" ht="12.75"/>
    <row r="638" s="29" customFormat="1" ht="12.75"/>
    <row r="639" s="29" customFormat="1" ht="12.75"/>
    <row r="640" s="29" customFormat="1" ht="12.75"/>
    <row r="641" s="29" customFormat="1" ht="12.75"/>
    <row r="642" s="29" customFormat="1" ht="12.75"/>
    <row r="643" s="29" customFormat="1" ht="12.75"/>
    <row r="644" s="29" customFormat="1" ht="12.75"/>
    <row r="645" s="29" customFormat="1" ht="12.75"/>
    <row r="646" s="29" customFormat="1" ht="12.75"/>
    <row r="647" s="29" customFormat="1" ht="12.75"/>
    <row r="648" s="29" customFormat="1" ht="12.75"/>
    <row r="649" s="29" customFormat="1" ht="12.75"/>
    <row r="650" s="29" customFormat="1" ht="12.75"/>
    <row r="651" s="29" customFormat="1" ht="12.75"/>
    <row r="652" s="29" customFormat="1" ht="12.75"/>
    <row r="653" s="29" customFormat="1" ht="12.75"/>
    <row r="654" s="29" customFormat="1" ht="12.75"/>
    <row r="655" s="29" customFormat="1" ht="12.75"/>
    <row r="656" s="29" customFormat="1" ht="12.75"/>
    <row r="657" s="29" customFormat="1" ht="12.75"/>
    <row r="658" s="29" customFormat="1" ht="12.75"/>
    <row r="659" s="29" customFormat="1" ht="12.75"/>
    <row r="660" s="29" customFormat="1" ht="12.75"/>
    <row r="661" s="29" customFormat="1" ht="12.75"/>
    <row r="662" s="29" customFormat="1" ht="12.75"/>
    <row r="663" s="29" customFormat="1" ht="12.75"/>
    <row r="664" s="29" customFormat="1" ht="12.75"/>
    <row r="665" s="29" customFormat="1" ht="12.75"/>
    <row r="666" s="29" customFormat="1" ht="12.75"/>
    <row r="667" s="29" customFormat="1" ht="12.75"/>
    <row r="668" s="29" customFormat="1" ht="12.75"/>
    <row r="669" s="29" customFormat="1" ht="12.75"/>
    <row r="670" s="29" customFormat="1" ht="12.75"/>
    <row r="671" s="29" customFormat="1" ht="12.75"/>
    <row r="672" s="29" customFormat="1" ht="12.75"/>
    <row r="673" s="29" customFormat="1" ht="12.75"/>
    <row r="674" s="29" customFormat="1" ht="12.75"/>
    <row r="675" s="29" customFormat="1" ht="12.75"/>
    <row r="676" s="29" customFormat="1" ht="12.75"/>
    <row r="677" s="29" customFormat="1" ht="12.75"/>
    <row r="678" s="29" customFormat="1" ht="12.75"/>
    <row r="679" s="29" customFormat="1" ht="12.75"/>
    <row r="680" s="29" customFormat="1" ht="12.75"/>
    <row r="681" s="29" customFormat="1" ht="12.75"/>
    <row r="682" s="29" customFormat="1" ht="12.75"/>
    <row r="683" s="29" customFormat="1" ht="12.75"/>
    <row r="684" s="29" customFormat="1" ht="12.75"/>
    <row r="685" s="29" customFormat="1" ht="12.75"/>
    <row r="686" s="29" customFormat="1" ht="12.75"/>
    <row r="687" s="29" customFormat="1" ht="12.75"/>
    <row r="688" s="29" customFormat="1" ht="12.75"/>
    <row r="689" s="29" customFormat="1" ht="12.75"/>
    <row r="690" s="29" customFormat="1" ht="12.75"/>
    <row r="691" s="29" customFormat="1" ht="12.75"/>
    <row r="692" s="29" customFormat="1" ht="12.75"/>
    <row r="693" s="29" customFormat="1" ht="12.75"/>
    <row r="694" s="29" customFormat="1" ht="12.75"/>
    <row r="695" s="29" customFormat="1" ht="12.75"/>
    <row r="696" s="29" customFormat="1" ht="12.75"/>
    <row r="697" s="29" customFormat="1" ht="12.75"/>
    <row r="698" s="29" customFormat="1" ht="12.75"/>
    <row r="699" s="29" customFormat="1" ht="12.75"/>
    <row r="700" s="29" customFormat="1" ht="12.75"/>
    <row r="701" s="29" customFormat="1" ht="12.75"/>
    <row r="702" s="29" customFormat="1" ht="12.75"/>
    <row r="703" s="29" customFormat="1" ht="12.75"/>
    <row r="704" s="29" customFormat="1" ht="12.75"/>
    <row r="705" s="29" customFormat="1" ht="12.75"/>
    <row r="706" s="29" customFormat="1" ht="12.75"/>
    <row r="707" s="29" customFormat="1" ht="12.75"/>
    <row r="708" s="29" customFormat="1" ht="12.75"/>
    <row r="709" s="29" customFormat="1" ht="12.75"/>
    <row r="710" s="29" customFormat="1" ht="12.75"/>
    <row r="711" s="29" customFormat="1" ht="12.75"/>
    <row r="712" s="29" customFormat="1" ht="12.75"/>
    <row r="713" s="29" customFormat="1" ht="12.75"/>
    <row r="714" s="29" customFormat="1" ht="12.75"/>
    <row r="715" s="29" customFormat="1" ht="12.75"/>
    <row r="716" s="29" customFormat="1" ht="12.75"/>
    <row r="717" s="29" customFormat="1" ht="12.75"/>
    <row r="718" s="29" customFormat="1" ht="12.75"/>
    <row r="719" s="29" customFormat="1" ht="12.75"/>
    <row r="720" s="29" customFormat="1" ht="12.75"/>
    <row r="721" s="29" customFormat="1" ht="12.75"/>
    <row r="722" s="29" customFormat="1" ht="12.75"/>
    <row r="723" s="29" customFormat="1" ht="12.75"/>
    <row r="724" s="29" customFormat="1" ht="12.75"/>
    <row r="725" s="29" customFormat="1" ht="12.75"/>
    <row r="726" s="29" customFormat="1" ht="12.75"/>
    <row r="727" s="29" customFormat="1" ht="12.75"/>
    <row r="728" s="29" customFormat="1" ht="12.75"/>
    <row r="729" s="29" customFormat="1" ht="12.75"/>
    <row r="730" s="29" customFormat="1" ht="12.75"/>
    <row r="731" s="29" customFormat="1" ht="12.75"/>
    <row r="732" s="29" customFormat="1" ht="12.75"/>
    <row r="733" s="29" customFormat="1" ht="12.75"/>
    <row r="734" s="29" customFormat="1" ht="12.75"/>
    <row r="735" s="29" customFormat="1" ht="12.75"/>
    <row r="736" s="29" customFormat="1" ht="12.75"/>
    <row r="737" s="29" customFormat="1" ht="12.75"/>
    <row r="738" s="29" customFormat="1" ht="12.75"/>
    <row r="739" s="29" customFormat="1" ht="12.75"/>
    <row r="740" s="29" customFormat="1" ht="12.75"/>
    <row r="741" s="29" customFormat="1" ht="12.75"/>
    <row r="742" s="29" customFormat="1" ht="12.75"/>
    <row r="743" s="29" customFormat="1" ht="12.75"/>
    <row r="744" s="29" customFormat="1" ht="12.75"/>
    <row r="745" s="29" customFormat="1" ht="12.75"/>
    <row r="746" s="29" customFormat="1" ht="12.75"/>
    <row r="747" s="29" customFormat="1" ht="12.75"/>
    <row r="748" s="29" customFormat="1" ht="12.75"/>
    <row r="749" s="29" customFormat="1" ht="12.75"/>
    <row r="750" s="29" customFormat="1" ht="12.75"/>
    <row r="751" s="29" customFormat="1" ht="12.75"/>
    <row r="752" s="29" customFormat="1" ht="12.75"/>
    <row r="753" s="29" customFormat="1" ht="12.75"/>
    <row r="754" s="29" customFormat="1" ht="12.75"/>
    <row r="755" s="29" customFormat="1" ht="12.75"/>
    <row r="756" s="29" customFormat="1" ht="12.75"/>
    <row r="757" s="29" customFormat="1" ht="12.75"/>
    <row r="758" s="29" customFormat="1" ht="12.75"/>
    <row r="759" s="29" customFormat="1" ht="12.75"/>
    <row r="760" s="29" customFormat="1" ht="12.75"/>
    <row r="761" s="29" customFormat="1" ht="12.75"/>
    <row r="762" s="29" customFormat="1" ht="12.75"/>
    <row r="763" s="29" customFormat="1" ht="12.75"/>
    <row r="764" s="29" customFormat="1" ht="12.75"/>
    <row r="765" s="29" customFormat="1" ht="12.75"/>
    <row r="766" s="29" customFormat="1" ht="12.75"/>
    <row r="767" s="29" customFormat="1" ht="12.75"/>
    <row r="768" s="29" customFormat="1" ht="12.75"/>
    <row r="769" s="29" customFormat="1" ht="12.75"/>
    <row r="770" s="29" customFormat="1" ht="12.75"/>
    <row r="771" s="29" customFormat="1" ht="12.75"/>
    <row r="772" s="29" customFormat="1" ht="12.75"/>
    <row r="773" s="29" customFormat="1" ht="12.75"/>
    <row r="774" s="29" customFormat="1" ht="12.75"/>
    <row r="775" s="29" customFormat="1" ht="12.75"/>
    <row r="776" s="29" customFormat="1" ht="12.75"/>
    <row r="777" s="29" customFormat="1" ht="12.75"/>
    <row r="778" s="29" customFormat="1" ht="12.75"/>
    <row r="779" s="29" customFormat="1" ht="12.75"/>
    <row r="780" s="29" customFormat="1" ht="12.75"/>
    <row r="781" s="29" customFormat="1" ht="12.75"/>
    <row r="782" s="29" customFormat="1" ht="12.75"/>
    <row r="783" s="29" customFormat="1" ht="12.75"/>
    <row r="784" s="29" customFormat="1" ht="12.75"/>
    <row r="785" s="29" customFormat="1" ht="12.75"/>
    <row r="786" s="29" customFormat="1" ht="12.75"/>
    <row r="787" s="29" customFormat="1" ht="12.75"/>
    <row r="788" s="29" customFormat="1" ht="12.75"/>
    <row r="789" s="29" customFormat="1" ht="12.75"/>
    <row r="790" s="29" customFormat="1" ht="12.75"/>
    <row r="791" s="29" customFormat="1" ht="12.75"/>
    <row r="792" s="29" customFormat="1" ht="12.75"/>
    <row r="793" s="29" customFormat="1" ht="12.75"/>
    <row r="794" s="29" customFormat="1" ht="12.75"/>
    <row r="795" s="29" customFormat="1" ht="12.75"/>
    <row r="796" s="29" customFormat="1" ht="12.75"/>
    <row r="797" s="29" customFormat="1" ht="12.75"/>
    <row r="798" s="29" customFormat="1" ht="12.75"/>
    <row r="799" s="29" customFormat="1" ht="12.75"/>
    <row r="800" s="29" customFormat="1" ht="12.75"/>
    <row r="801" s="29" customFormat="1" ht="12.75"/>
    <row r="802" s="29" customFormat="1" ht="12.75"/>
    <row r="803" s="29" customFormat="1" ht="12.75"/>
    <row r="804" s="29" customFormat="1" ht="12.75"/>
    <row r="805" s="29" customFormat="1" ht="12.75"/>
    <row r="806" s="29" customFormat="1" ht="12.75"/>
    <row r="807" s="29" customFormat="1" ht="12.75"/>
    <row r="808" s="29" customFormat="1" ht="12.75"/>
    <row r="809" s="29" customFormat="1" ht="12.75"/>
    <row r="810" s="29" customFormat="1" ht="12.75"/>
    <row r="811" s="29" customFormat="1" ht="12.75"/>
    <row r="812" s="29" customFormat="1" ht="12.75"/>
    <row r="813" s="29" customFormat="1" ht="12.75"/>
    <row r="814" s="29" customFormat="1" ht="12.75"/>
    <row r="815" s="29" customFormat="1" ht="12.75"/>
    <row r="816" s="29" customFormat="1" ht="12.75"/>
    <row r="817" s="29" customFormat="1" ht="12.75"/>
    <row r="818" s="29" customFormat="1" ht="12.75"/>
    <row r="819" s="29" customFormat="1" ht="12.75"/>
    <row r="820" s="29" customFormat="1" ht="12.75"/>
    <row r="821" s="29" customFormat="1" ht="12.75"/>
    <row r="822" s="29" customFormat="1" ht="12.75"/>
    <row r="823" s="29" customFormat="1" ht="12.75"/>
    <row r="824" s="29" customFormat="1" ht="12.75"/>
    <row r="825" s="29" customFormat="1" ht="12.75"/>
    <row r="826" s="29" customFormat="1" ht="12.75"/>
    <row r="827" s="29" customFormat="1" ht="12.75"/>
    <row r="828" s="29" customFormat="1" ht="12.75"/>
    <row r="829" s="29" customFormat="1" ht="12.75"/>
    <row r="830" s="29" customFormat="1" ht="12.75"/>
    <row r="831" s="29" customFormat="1" ht="12.75"/>
    <row r="832" s="29" customFormat="1" ht="12.75"/>
    <row r="833" s="29" customFormat="1" ht="12.75"/>
    <row r="834" s="29" customFormat="1" ht="12.75"/>
    <row r="835" s="29" customFormat="1" ht="12.75"/>
    <row r="836" s="29" customFormat="1" ht="12.75"/>
    <row r="837" s="29" customFormat="1" ht="12.75"/>
    <row r="838" s="29" customFormat="1" ht="12.75"/>
    <row r="839" s="29" customFormat="1" ht="12.75"/>
    <row r="840" s="29" customFormat="1" ht="12.75"/>
    <row r="841" s="29" customFormat="1" ht="12.75"/>
    <row r="842" s="29" customFormat="1" ht="12.75"/>
    <row r="843" s="29" customFormat="1" ht="12.75"/>
    <row r="844" s="29" customFormat="1" ht="12.75"/>
    <row r="845" s="29" customFormat="1" ht="12.75"/>
    <row r="846" s="29" customFormat="1" ht="12.75"/>
    <row r="847" s="29" customFormat="1" ht="12.75"/>
    <row r="848" s="29" customFormat="1" ht="12.75"/>
    <row r="849" s="29" customFormat="1" ht="12.75"/>
    <row r="850" s="29" customFormat="1" ht="12.75"/>
    <row r="851" s="29" customFormat="1" ht="12.75"/>
    <row r="852" s="29" customFormat="1" ht="12.75"/>
    <row r="853" s="29" customFormat="1" ht="12.75"/>
    <row r="854" s="29" customFormat="1" ht="12.75"/>
    <row r="855" s="29" customFormat="1" ht="12.75"/>
    <row r="856" s="29" customFormat="1" ht="12.75"/>
    <row r="857" s="29" customFormat="1" ht="12.75"/>
    <row r="858" s="29" customFormat="1" ht="12.75"/>
    <row r="859" s="29" customFormat="1" ht="12.75"/>
    <row r="860" s="29" customFormat="1" ht="12.75"/>
    <row r="861" s="29" customFormat="1" ht="12.75"/>
    <row r="862" s="29" customFormat="1" ht="12.75"/>
    <row r="863" s="29" customFormat="1" ht="12.75"/>
    <row r="864" s="29" customFormat="1" ht="12.75"/>
    <row r="865" s="29" customFormat="1" ht="12.75"/>
    <row r="866" s="29" customFormat="1" ht="12.75"/>
    <row r="867" s="29" customFormat="1" ht="12.75"/>
    <row r="868" s="29" customFormat="1" ht="12.75"/>
    <row r="869" s="29" customFormat="1" ht="12.75"/>
    <row r="870" s="29" customFormat="1" ht="12.75"/>
    <row r="871" s="29" customFormat="1" ht="12.75"/>
    <row r="872" s="29" customFormat="1" ht="12.75"/>
    <row r="873" s="29" customFormat="1" ht="12.75"/>
    <row r="874" s="29" customFormat="1" ht="12.75"/>
    <row r="875" s="29" customFormat="1" ht="12.75"/>
    <row r="876" s="29" customFormat="1" ht="12.75"/>
    <row r="877" s="29" customFormat="1" ht="12.75"/>
    <row r="878" s="29" customFormat="1" ht="12.75"/>
    <row r="879" s="29" customFormat="1" ht="12.75"/>
    <row r="880" s="29" customFormat="1" ht="12.75"/>
    <row r="881" s="29" customFormat="1" ht="12.75"/>
    <row r="882" s="29" customFormat="1" ht="12.75"/>
    <row r="883" s="29" customFormat="1" ht="12.75"/>
    <row r="884" s="29" customFormat="1" ht="12.75"/>
    <row r="885" s="29" customFormat="1" ht="12.75"/>
    <row r="886" s="29" customFormat="1" ht="12.75"/>
    <row r="887" s="29" customFormat="1" ht="12.75"/>
    <row r="888" s="29" customFormat="1" ht="12.75"/>
    <row r="889" s="29" customFormat="1" ht="12.75"/>
    <row r="890" s="29" customFormat="1" ht="12.75"/>
    <row r="891" s="29" customFormat="1" ht="12.75"/>
    <row r="892" s="29" customFormat="1" ht="12.75"/>
    <row r="893" s="29" customFormat="1" ht="12.75"/>
    <row r="894" s="29" customFormat="1" ht="12.75"/>
    <row r="895" s="29" customFormat="1" ht="12.75"/>
    <row r="896" s="29" customFormat="1" ht="12.75"/>
    <row r="897" s="29" customFormat="1" ht="12.75"/>
    <row r="898" s="29" customFormat="1" ht="12.75"/>
    <row r="899" s="29" customFormat="1" ht="12.75"/>
    <row r="900" s="29" customFormat="1" ht="12.75"/>
    <row r="901" s="29" customFormat="1" ht="12.75"/>
    <row r="902" s="29" customFormat="1" ht="12.75"/>
    <row r="903" s="29" customFormat="1" ht="12.75"/>
    <row r="904" s="29" customFormat="1" ht="12.75"/>
    <row r="905" s="29" customFormat="1" ht="12.75"/>
    <row r="906" s="29" customFormat="1" ht="12.75"/>
    <row r="907" s="29" customFormat="1" ht="12.75"/>
    <row r="908" s="29" customFormat="1" ht="12.75"/>
    <row r="909" s="29" customFormat="1" ht="12.75"/>
    <row r="910" s="29" customFormat="1" ht="12.75"/>
    <row r="911" s="29" customFormat="1" ht="12.75"/>
    <row r="912" s="29" customFormat="1" ht="12.75"/>
    <row r="913" s="29" customFormat="1" ht="12.75"/>
    <row r="914" s="29" customFormat="1" ht="12.75"/>
    <row r="915" s="29" customFormat="1" ht="12.75"/>
    <row r="916" s="29" customFormat="1" ht="12.75"/>
    <row r="917" s="29" customFormat="1" ht="12.75"/>
    <row r="918" s="29" customFormat="1" ht="12.75"/>
    <row r="919" s="29" customFormat="1" ht="12.75"/>
    <row r="920" s="29" customFormat="1" ht="12.75"/>
    <row r="921" s="29" customFormat="1" ht="12.75"/>
    <row r="922" s="29" customFormat="1" ht="12.75"/>
    <row r="923" s="29" customFormat="1" ht="12.75"/>
    <row r="924" s="29" customFormat="1" ht="12.75"/>
    <row r="925" s="29" customFormat="1" ht="12.75"/>
    <row r="926" s="29" customFormat="1" ht="12.75"/>
    <row r="927" s="29" customFormat="1" ht="12.75"/>
    <row r="928" s="29" customFormat="1" ht="12.75"/>
    <row r="929" s="29" customFormat="1" ht="12.75"/>
    <row r="930" s="29" customFormat="1" ht="12.75"/>
    <row r="931" s="29" customFormat="1" ht="12.75"/>
    <row r="932" s="29" customFormat="1" ht="12.75"/>
    <row r="933" s="29" customFormat="1" ht="12.75"/>
    <row r="934" s="29" customFormat="1" ht="12.75"/>
    <row r="935" s="29" customFormat="1" ht="12.75"/>
    <row r="936" s="29" customFormat="1" ht="12.75"/>
    <row r="937" s="29" customFormat="1" ht="12.75"/>
    <row r="938" s="29" customFormat="1" ht="12.75"/>
    <row r="939" s="29" customFormat="1" ht="12.75"/>
    <row r="940" s="29" customFormat="1" ht="12.75"/>
    <row r="941" s="29" customFormat="1" ht="12.75"/>
    <row r="942" s="29" customFormat="1" ht="12.75"/>
    <row r="943" s="29" customFormat="1" ht="12.75"/>
    <row r="944" s="29" customFormat="1" ht="12.75"/>
    <row r="945" s="29" customFormat="1" ht="12.75"/>
    <row r="946" s="29" customFormat="1" ht="12.75"/>
    <row r="947" s="29" customFormat="1" ht="12.75"/>
    <row r="948" s="29" customFormat="1" ht="12.75"/>
    <row r="949" s="29" customFormat="1" ht="12.75"/>
    <row r="950" s="29" customFormat="1" ht="12.75"/>
    <row r="951" s="29" customFormat="1" ht="12.75"/>
    <row r="952" s="29" customFormat="1" ht="12.75"/>
    <row r="953" s="29" customFormat="1" ht="12.75"/>
    <row r="954" s="29" customFormat="1" ht="12.75"/>
    <row r="955" s="29" customFormat="1" ht="12.75"/>
    <row r="956" s="29" customFormat="1" ht="12.75"/>
    <row r="957" s="29" customFormat="1" ht="12.75"/>
    <row r="958" s="29" customFormat="1" ht="12.75"/>
    <row r="959" s="29" customFormat="1" ht="12.75"/>
    <row r="960" s="29" customFormat="1" ht="12.75"/>
    <row r="961" s="29" customFormat="1" ht="12.75"/>
    <row r="962" s="29" customFormat="1" ht="12.75"/>
    <row r="963" s="29" customFormat="1" ht="12.75"/>
    <row r="964" s="29" customFormat="1" ht="12.75"/>
    <row r="965" s="29" customFormat="1" ht="12.75"/>
    <row r="966" s="29" customFormat="1" ht="12.75"/>
    <row r="967" s="29" customFormat="1" ht="12.75"/>
    <row r="968" s="29" customFormat="1" ht="12.75"/>
    <row r="969" s="29" customFormat="1" ht="12.75"/>
    <row r="970" s="29" customFormat="1" ht="12.75"/>
    <row r="971" s="29" customFormat="1" ht="12.75"/>
    <row r="972" s="29" customFormat="1" ht="12.75"/>
    <row r="973" s="29" customFormat="1" ht="12.75"/>
    <row r="974" s="29" customFormat="1" ht="12.75"/>
    <row r="975" s="29" customFormat="1" ht="12.75"/>
    <row r="976" s="29" customFormat="1" ht="12.75"/>
    <row r="977" s="29" customFormat="1" ht="12.75"/>
    <row r="978" s="29" customFormat="1" ht="12.75"/>
    <row r="979" s="29" customFormat="1" ht="12.75"/>
    <row r="980" s="29" customFormat="1" ht="12.75"/>
    <row r="981" s="29" customFormat="1" ht="12.75"/>
    <row r="982" s="29" customFormat="1" ht="12.75"/>
    <row r="983" s="29" customFormat="1" ht="12.75"/>
    <row r="984" s="29" customFormat="1" ht="12.75"/>
    <row r="985" s="29" customFormat="1" ht="12.75"/>
    <row r="986" s="29" customFormat="1" ht="12.75"/>
    <row r="987" s="29" customFormat="1" ht="12.75"/>
    <row r="988" s="29" customFormat="1" ht="12.75"/>
    <row r="989" s="29" customFormat="1" ht="12.75"/>
    <row r="990" s="29" customFormat="1" ht="12.75"/>
    <row r="991" s="29" customFormat="1" ht="12.75"/>
    <row r="992" s="29" customFormat="1" ht="12.75"/>
    <row r="993" s="29" customFormat="1" ht="12.75"/>
    <row r="994" s="29" customFormat="1" ht="12.75"/>
    <row r="995" s="29" customFormat="1" ht="12.75"/>
    <row r="996" s="29" customFormat="1" ht="12.75"/>
    <row r="997" s="29" customFormat="1" ht="12.75"/>
    <row r="998" s="29" customFormat="1" ht="12.75"/>
    <row r="999" s="29" customFormat="1" ht="12.75"/>
    <row r="1000" s="29" customFormat="1" ht="12.75"/>
    <row r="1001" s="29" customFormat="1" ht="12.75"/>
    <row r="1002" s="29" customFormat="1" ht="12.75"/>
    <row r="1003" s="29" customFormat="1" ht="12.75"/>
    <row r="1004" s="29" customFormat="1" ht="12.75"/>
    <row r="1005" s="29" customFormat="1" ht="12.75"/>
    <row r="1006" s="29" customFormat="1" ht="12.75"/>
    <row r="1007" s="29" customFormat="1" ht="12.75"/>
    <row r="1008" s="29" customFormat="1" ht="12.75"/>
    <row r="1009" s="29" customFormat="1" ht="12.75"/>
    <row r="1010" s="29" customFormat="1" ht="12.75"/>
    <row r="1011" s="29" customFormat="1" ht="12.75"/>
    <row r="1012" s="29" customFormat="1" ht="12.75"/>
    <row r="1013" s="29" customFormat="1" ht="12.75"/>
    <row r="1014" s="29" customFormat="1" ht="12.75"/>
    <row r="1015" s="29" customFormat="1" ht="12.75"/>
    <row r="1016" s="29" customFormat="1" ht="12.75"/>
    <row r="1017" s="29" customFormat="1" ht="12.75"/>
    <row r="1018" s="29" customFormat="1" ht="12.75"/>
    <row r="1019" s="29" customFormat="1" ht="12.75"/>
    <row r="1020" s="29" customFormat="1" ht="12.75"/>
    <row r="1021" s="29" customFormat="1" ht="12.75"/>
    <row r="1022" s="29" customFormat="1" ht="12.75"/>
    <row r="1023" s="29" customFormat="1" ht="12.75"/>
    <row r="1024" s="29" customFormat="1" ht="12.75"/>
    <row r="1025" s="29" customFormat="1" ht="12.75"/>
    <row r="1026" s="29" customFormat="1" ht="12.75"/>
    <row r="1027" s="29" customFormat="1" ht="12.75"/>
    <row r="1028" s="29" customFormat="1" ht="12.75"/>
    <row r="1029" s="29" customFormat="1" ht="12.75"/>
    <row r="1030" s="29" customFormat="1" ht="12.75"/>
    <row r="1031" s="29" customFormat="1" ht="12.75"/>
    <row r="1032" s="29" customFormat="1" ht="12.75"/>
    <row r="1033" s="29" customFormat="1" ht="12.75"/>
    <row r="1034" s="29" customFormat="1" ht="12.75"/>
    <row r="1035" s="29" customFormat="1" ht="12.75"/>
    <row r="1036" s="29" customFormat="1" ht="12.75"/>
    <row r="1037" s="29" customFormat="1" ht="12.75"/>
    <row r="1038" s="29" customFormat="1" ht="12.75"/>
    <row r="1039" s="29" customFormat="1" ht="12.75"/>
    <row r="1040" s="29" customFormat="1" ht="12.75"/>
    <row r="1041" s="29" customFormat="1" ht="12.75"/>
    <row r="1042" s="29" customFormat="1" ht="12.75"/>
    <row r="1043" s="29" customFormat="1" ht="12.75"/>
    <row r="1044" s="29" customFormat="1" ht="12.75"/>
    <row r="1045" s="29" customFormat="1" ht="12.75"/>
    <row r="1046" s="29" customFormat="1" ht="12.75"/>
    <row r="1047" s="29" customFormat="1" ht="12.75"/>
    <row r="1048" s="29" customFormat="1" ht="12.75"/>
    <row r="1049" s="29" customFormat="1" ht="12.75"/>
    <row r="1050" s="29" customFormat="1" ht="12.75"/>
    <row r="1051" s="29" customFormat="1" ht="12.75"/>
    <row r="1052" s="29" customFormat="1" ht="12.75"/>
    <row r="1053" s="29" customFormat="1" ht="12.75"/>
    <row r="1054" s="29" customFormat="1" ht="12.75"/>
    <row r="1055" s="29" customFormat="1" ht="12.75"/>
    <row r="1056" s="29" customFormat="1" ht="12.75"/>
    <row r="1057" s="29" customFormat="1" ht="12.75"/>
    <row r="1058" s="29" customFormat="1" ht="12.75"/>
    <row r="1059" s="29" customFormat="1" ht="12.75"/>
    <row r="1060" s="29" customFormat="1" ht="12.75"/>
    <row r="1061" s="29" customFormat="1" ht="12.75"/>
    <row r="1062" s="29" customFormat="1" ht="12.75"/>
    <row r="1063" s="29" customFormat="1" ht="12.75"/>
    <row r="1064" s="29" customFormat="1" ht="12.75"/>
  </sheetData>
  <sheetProtection password="EF65" sheet="1" objects="1" scenarios="1"/>
  <mergeCells count="194">
    <mergeCell ref="AI61:AO61"/>
    <mergeCell ref="A7:M7"/>
    <mergeCell ref="A8:AO8"/>
    <mergeCell ref="AJ64:AO64"/>
    <mergeCell ref="A64:AI64"/>
    <mergeCell ref="AK10:AL10"/>
    <mergeCell ref="S9:T9"/>
    <mergeCell ref="U9:U10"/>
    <mergeCell ref="S10:T10"/>
    <mergeCell ref="V9:W9"/>
    <mergeCell ref="N7:Y7"/>
    <mergeCell ref="G10:H10"/>
    <mergeCell ref="D9:E9"/>
    <mergeCell ref="F9:F10"/>
    <mergeCell ref="J9:K9"/>
    <mergeCell ref="G9:H9"/>
    <mergeCell ref="V10:W10"/>
    <mergeCell ref="D10:E10"/>
    <mergeCell ref="D13:AA13"/>
    <mergeCell ref="R9:R10"/>
    <mergeCell ref="Z7:AO7"/>
    <mergeCell ref="A9:C10"/>
    <mergeCell ref="A12:AO12"/>
    <mergeCell ref="AF18:AL18"/>
    <mergeCell ref="AP9:AP10"/>
    <mergeCell ref="AN10:AO10"/>
    <mergeCell ref="AA9:AA10"/>
    <mergeCell ref="Y10:Z10"/>
    <mergeCell ref="AB9:AC9"/>
    <mergeCell ref="AB10:AC10"/>
    <mergeCell ref="AE9:AF9"/>
    <mergeCell ref="AK9:AL9"/>
    <mergeCell ref="AH10:AI10"/>
    <mergeCell ref="AH9:AI9"/>
    <mergeCell ref="AD9:AD10"/>
    <mergeCell ref="Y9:Z9"/>
    <mergeCell ref="AJ9:AJ10"/>
    <mergeCell ref="D19:V19"/>
    <mergeCell ref="AB13:AO14"/>
    <mergeCell ref="A15:C16"/>
    <mergeCell ref="D14:AA14"/>
    <mergeCell ref="AC16:AH16"/>
    <mergeCell ref="M16:U16"/>
    <mergeCell ref="W16:Z16"/>
    <mergeCell ref="M15:U15"/>
    <mergeCell ref="AC15:AH15"/>
    <mergeCell ref="AJ15:AO15"/>
    <mergeCell ref="AJ16:AO16"/>
    <mergeCell ref="W15:Z15"/>
    <mergeCell ref="AF19:AL19"/>
    <mergeCell ref="A42:U42"/>
    <mergeCell ref="AI60:AO60"/>
    <mergeCell ref="A11:AO11"/>
    <mergeCell ref="AG9:AG10"/>
    <mergeCell ref="AE10:AF10"/>
    <mergeCell ref="L9:L10"/>
    <mergeCell ref="I9:I10"/>
    <mergeCell ref="J10:K10"/>
    <mergeCell ref="M9:N9"/>
    <mergeCell ref="AM9:AO9"/>
    <mergeCell ref="X9:X10"/>
    <mergeCell ref="M10:N10"/>
    <mergeCell ref="P9:Q9"/>
    <mergeCell ref="P10:Q10"/>
    <mergeCell ref="O9:O10"/>
    <mergeCell ref="W18:W19"/>
    <mergeCell ref="D18:V18"/>
    <mergeCell ref="X18:AD18"/>
    <mergeCell ref="A13:C13"/>
    <mergeCell ref="X19:AD19"/>
    <mergeCell ref="C19:C20"/>
    <mergeCell ref="AA16:AB16"/>
    <mergeCell ref="D16:K16"/>
    <mergeCell ref="AE20:AE21"/>
    <mergeCell ref="AF20:AL20"/>
    <mergeCell ref="AE18:AE19"/>
    <mergeCell ref="AE63:AH63"/>
    <mergeCell ref="A49:AJ49"/>
    <mergeCell ref="A38:AH38"/>
    <mergeCell ref="AI38:AO38"/>
    <mergeCell ref="A37:AO37"/>
    <mergeCell ref="A43:U43"/>
    <mergeCell ref="A40:K40"/>
    <mergeCell ref="M39:U39"/>
    <mergeCell ref="AI39:AO39"/>
    <mergeCell ref="AI40:AO40"/>
    <mergeCell ref="L39:L40"/>
    <mergeCell ref="M40:U40"/>
    <mergeCell ref="W42:Z42"/>
    <mergeCell ref="AH41:AO42"/>
    <mergeCell ref="AA42:AG42"/>
    <mergeCell ref="A45:AO45"/>
    <mergeCell ref="A46:AO46"/>
    <mergeCell ref="AN48:AO48"/>
    <mergeCell ref="AK47:AL47"/>
    <mergeCell ref="AB39:AG39"/>
    <mergeCell ref="AB40:AG40"/>
    <mergeCell ref="A39:K39"/>
    <mergeCell ref="W59:AD63"/>
    <mergeCell ref="A58:C58"/>
    <mergeCell ref="D1:AI1"/>
    <mergeCell ref="N2:V2"/>
    <mergeCell ref="N3:V3"/>
    <mergeCell ref="A41:U41"/>
    <mergeCell ref="A5:AO5"/>
    <mergeCell ref="W41:AG41"/>
    <mergeCell ref="W39:Z39"/>
    <mergeCell ref="W40:Z40"/>
    <mergeCell ref="A27:AO27"/>
    <mergeCell ref="A4:AO4"/>
    <mergeCell ref="W2:AH2"/>
    <mergeCell ref="W3:AO3"/>
    <mergeCell ref="D15:K15"/>
    <mergeCell ref="A1:C3"/>
    <mergeCell ref="A33:L33"/>
    <mergeCell ref="M33:U33"/>
    <mergeCell ref="M31:U31"/>
    <mergeCell ref="A31:L31"/>
    <mergeCell ref="AF22:AL22"/>
    <mergeCell ref="AF21:AL21"/>
    <mergeCell ref="D20:AD20"/>
    <mergeCell ref="A17:AO17"/>
    <mergeCell ref="A60:C60"/>
    <mergeCell ref="AI63:AN63"/>
    <mergeCell ref="AE59:AH59"/>
    <mergeCell ref="AM18:AO19"/>
    <mergeCell ref="A44:U44"/>
    <mergeCell ref="W44:Z44"/>
    <mergeCell ref="W43:AA43"/>
    <mergeCell ref="AB43:AO43"/>
    <mergeCell ref="AB44:AO44"/>
    <mergeCell ref="D21:AD21"/>
    <mergeCell ref="AI29:AM29"/>
    <mergeCell ref="AM22:AO23"/>
    <mergeCell ref="D23:AD23"/>
    <mergeCell ref="AF23:AL23"/>
    <mergeCell ref="AM24:AO25"/>
    <mergeCell ref="D24:AL24"/>
    <mergeCell ref="D25:AL25"/>
    <mergeCell ref="A21:C25"/>
    <mergeCell ref="A26:AO26"/>
    <mergeCell ref="D22:AD22"/>
    <mergeCell ref="AE22:AE23"/>
    <mergeCell ref="AM20:AO21"/>
    <mergeCell ref="AI58:AO58"/>
    <mergeCell ref="A28:W28"/>
    <mergeCell ref="AC31:AK31"/>
    <mergeCell ref="X31:AB31"/>
    <mergeCell ref="AL31:AO31"/>
    <mergeCell ref="X32:AO32"/>
    <mergeCell ref="X33:AB33"/>
    <mergeCell ref="A54:AO54"/>
    <mergeCell ref="A55:AO55"/>
    <mergeCell ref="D58:AF58"/>
    <mergeCell ref="E59:K63"/>
    <mergeCell ref="AK48:AL48"/>
    <mergeCell ref="AN47:AO47"/>
    <mergeCell ref="A52:E52"/>
    <mergeCell ref="F52:AO52"/>
    <mergeCell ref="A47:AJ48"/>
    <mergeCell ref="A61:B61"/>
    <mergeCell ref="AI59:AO59"/>
    <mergeCell ref="A53:AO53"/>
    <mergeCell ref="A57:AO57"/>
    <mergeCell ref="A59:C59"/>
    <mergeCell ref="L59:U63"/>
    <mergeCell ref="A50:AO50"/>
    <mergeCell ref="A51:AO51"/>
    <mergeCell ref="B62:D63"/>
    <mergeCell ref="A56:AO56"/>
    <mergeCell ref="AC33:AK33"/>
    <mergeCell ref="AL33:AO33"/>
    <mergeCell ref="X29:AB29"/>
    <mergeCell ref="X28:AB28"/>
    <mergeCell ref="AC28:AO28"/>
    <mergeCell ref="A36:W36"/>
    <mergeCell ref="V31:W31"/>
    <mergeCell ref="V33:W33"/>
    <mergeCell ref="V35:W35"/>
    <mergeCell ref="AD29:AG29"/>
    <mergeCell ref="X30:AO30"/>
    <mergeCell ref="X34:AO34"/>
    <mergeCell ref="X35:AB35"/>
    <mergeCell ref="AC35:AK35"/>
    <mergeCell ref="AL35:AO35"/>
    <mergeCell ref="X36:AO36"/>
    <mergeCell ref="A35:L35"/>
    <mergeCell ref="M35:U35"/>
    <mergeCell ref="A29:L29"/>
    <mergeCell ref="N29:Q29"/>
    <mergeCell ref="S29:W29"/>
    <mergeCell ref="A30:W30"/>
    <mergeCell ref="A32:W32"/>
    <mergeCell ref="A34:W34"/>
  </mergeCells>
  <printOptions horizontalCentered="1" verticalCentered="1"/>
  <pageMargins left="0.196850393700787" right="0.196850393700787" top="0.393700787401575" bottom="0.393700787401575" header="0.511811023622047" footer="0.511811023622047"/>
  <pageSetup horizontalDpi="300" verticalDpi="300" orientation="portrait" paperSize="9" scale="86" r:id="rId4"/>
  <headerFooter alignWithMargins="0"/>
  <drawing r:id="rId2"/>
  <legacyDrawing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F99"/>
    <pageSetUpPr fitToPage="1"/>
  </sheetPr>
  <dimension ref="A1:BS102"/>
  <sheetViews>
    <sheetView workbookViewId="0" topLeftCell="A1">
      <selection pane="topLeft" activeCell="B14" sqref="B14"/>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658"/>
  </cols>
  <sheetData>
    <row r="1" spans="1:31" ht="45.75" customHeight="1">
      <c r="A1" s="1952" t="s">
        <v>3858</v>
      </c>
      <c r="B1" s="1953"/>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row>
    <row r="2" spans="1:31" ht="12.75">
      <c r="A2" s="1658"/>
      <c r="B2" s="1247"/>
      <c r="C2" s="1247"/>
      <c r="D2" s="1247"/>
      <c r="E2" s="1247"/>
      <c r="F2" s="1247"/>
      <c r="G2" s="1247"/>
      <c r="H2" s="1247"/>
      <c r="I2" s="1247"/>
      <c r="J2" s="1247"/>
      <c r="K2" s="1247"/>
      <c r="L2" s="1247"/>
      <c r="M2" s="1247"/>
      <c r="N2" s="1247"/>
      <c r="O2" s="1247"/>
      <c r="P2" s="1247"/>
      <c r="Q2" s="1247"/>
      <c r="R2" s="1247"/>
      <c r="S2" s="1247"/>
      <c r="T2" s="1247"/>
      <c r="U2" s="1247"/>
      <c r="V2" s="1247"/>
      <c r="W2" s="1247"/>
      <c r="X2" s="1247"/>
      <c r="Y2" s="1247"/>
      <c r="Z2" s="1247"/>
      <c r="AA2" s="1247"/>
      <c r="AB2" s="1247"/>
      <c r="AC2" s="1247"/>
      <c r="AD2" s="1247"/>
      <c r="AE2" s="1247"/>
    </row>
    <row r="3" spans="1:31" ht="18">
      <c r="A3" s="1954" t="s">
        <v>3821</v>
      </c>
      <c r="B3" s="1955"/>
      <c r="C3" s="1955"/>
      <c r="D3" s="1955"/>
      <c r="E3" s="1955"/>
      <c r="F3" s="1955"/>
      <c r="G3" s="1955"/>
      <c r="H3" s="1955"/>
      <c r="I3" s="1955"/>
      <c r="J3" s="1955"/>
      <c r="K3" s="1955"/>
      <c r="L3" s="1955"/>
      <c r="M3" s="1955"/>
      <c r="N3" s="1955"/>
      <c r="O3" s="1955"/>
      <c r="P3" s="1955"/>
      <c r="Q3" s="1955"/>
      <c r="R3" s="1955"/>
      <c r="S3" s="1955"/>
      <c r="T3" s="1955"/>
      <c r="U3" s="1955"/>
      <c r="V3" s="1955"/>
      <c r="W3" s="1955"/>
      <c r="X3" s="1955"/>
      <c r="Y3" s="1955"/>
      <c r="Z3" s="1955"/>
      <c r="AA3" s="1955"/>
      <c r="AB3" s="1955"/>
      <c r="AC3" s="1955"/>
      <c r="AD3" s="1955"/>
      <c r="AE3" s="1955"/>
    </row>
    <row r="4" spans="1:31" ht="18">
      <c r="A4" s="1954" t="s">
        <v>3822</v>
      </c>
      <c r="B4" s="1955"/>
      <c r="C4" s="1955"/>
      <c r="D4" s="1955"/>
      <c r="E4" s="1955"/>
      <c r="F4" s="1955"/>
      <c r="G4" s="1955"/>
      <c r="H4" s="1955"/>
      <c r="I4" s="1955"/>
      <c r="J4" s="1955"/>
      <c r="K4" s="1955"/>
      <c r="L4" s="1955"/>
      <c r="M4" s="1955"/>
      <c r="N4" s="1955"/>
      <c r="O4" s="1955"/>
      <c r="P4" s="1955"/>
      <c r="Q4" s="1955"/>
      <c r="R4" s="1955"/>
      <c r="S4" s="1955"/>
      <c r="T4" s="1955"/>
      <c r="U4" s="1955"/>
      <c r="V4" s="1955"/>
      <c r="W4" s="1955"/>
      <c r="X4" s="1955"/>
      <c r="Y4" s="1955"/>
      <c r="Z4" s="1955"/>
      <c r="AA4" s="1955"/>
      <c r="AB4" s="1955"/>
      <c r="AC4" s="1955"/>
      <c r="AD4" s="1955"/>
      <c r="AE4" s="1955"/>
    </row>
    <row r="5" spans="1:31" ht="15.75">
      <c r="A5" s="1956" t="s">
        <v>3823</v>
      </c>
      <c r="B5" s="1957"/>
      <c r="C5" s="1957"/>
      <c r="D5" s="1957"/>
      <c r="E5" s="1957"/>
      <c r="F5" s="1957"/>
      <c r="G5" s="1957"/>
      <c r="H5" s="1957"/>
      <c r="I5" s="1957"/>
      <c r="J5" s="1957"/>
      <c r="K5" s="1957"/>
      <c r="L5" s="1957"/>
      <c r="M5" s="1957"/>
      <c r="N5" s="1957"/>
      <c r="O5" s="1957"/>
      <c r="P5" s="1957"/>
      <c r="Q5" s="1957"/>
      <c r="R5" s="1957"/>
      <c r="S5" s="1957"/>
      <c r="T5" s="1957"/>
      <c r="U5" s="1957"/>
      <c r="V5" s="1957"/>
      <c r="W5" s="1957"/>
      <c r="X5" s="1957"/>
      <c r="Y5" s="1957"/>
      <c r="Z5" s="1957"/>
      <c r="AA5" s="1957"/>
      <c r="AB5" s="1957"/>
      <c r="AC5" s="1957"/>
      <c r="AD5" s="1957"/>
      <c r="AE5" s="1957"/>
    </row>
    <row r="6" spans="1:31" ht="12.75">
      <c r="A6" s="1658"/>
      <c r="B6" s="1247"/>
      <c r="C6" s="1247"/>
      <c r="D6" s="1247"/>
      <c r="E6" s="1247"/>
      <c r="F6" s="1247"/>
      <c r="G6" s="1247"/>
      <c r="H6" s="1247"/>
      <c r="I6" s="1247"/>
      <c r="J6" s="1247"/>
      <c r="K6" s="1247"/>
      <c r="L6" s="1247"/>
      <c r="M6" s="1247"/>
      <c r="N6" s="1247"/>
      <c r="O6" s="1247"/>
      <c r="P6" s="1247"/>
      <c r="Q6" s="1247"/>
      <c r="R6" s="1247"/>
      <c r="S6" s="1247"/>
      <c r="T6" s="1247"/>
      <c r="U6" s="1247"/>
      <c r="V6" s="1247"/>
      <c r="W6" s="1247"/>
      <c r="X6" s="1247"/>
      <c r="Y6" s="1247"/>
      <c r="Z6" s="1247"/>
      <c r="AA6" s="1247"/>
      <c r="AB6" s="1247"/>
      <c r="AC6" s="1247"/>
      <c r="AD6" s="1247"/>
      <c r="AE6" s="1247"/>
    </row>
    <row r="7" spans="1:31" ht="27" customHeight="1">
      <c r="A7" s="1958" t="s">
        <v>3824</v>
      </c>
      <c r="B7" s="1959"/>
      <c r="C7" s="644"/>
      <c r="D7" s="1968" t="s">
        <v>3825</v>
      </c>
      <c r="E7" s="1969"/>
      <c r="F7" s="1969"/>
      <c r="G7" s="1969"/>
      <c r="H7" s="1969"/>
      <c r="I7" s="1969"/>
      <c r="J7" s="1969"/>
      <c r="K7" s="1969"/>
      <c r="L7" s="1969"/>
      <c r="M7" s="1969"/>
      <c r="N7" s="1969"/>
      <c r="O7" s="1969"/>
      <c r="P7" s="1969"/>
      <c r="Q7" s="644"/>
      <c r="R7" s="1971" t="s">
        <v>3826</v>
      </c>
      <c r="S7" s="1972"/>
      <c r="T7" s="1972"/>
      <c r="U7" s="1972"/>
      <c r="V7" s="1972"/>
      <c r="W7" s="1972"/>
      <c r="X7" s="1972"/>
      <c r="Y7" s="1972"/>
      <c r="Z7" s="1972"/>
      <c r="AA7" s="1972"/>
      <c r="AB7" s="1972"/>
      <c r="AC7" s="1972"/>
      <c r="AD7" s="1972"/>
      <c r="AE7" s="1972"/>
    </row>
    <row r="8" spans="1:31" ht="18" customHeight="1">
      <c r="A8" s="1960" t="str">
        <f>+'SP1'!$A$6:$F$6</f>
        <v/>
      </c>
      <c r="B8" s="1961"/>
      <c r="C8" s="622"/>
      <c r="D8" s="1962"/>
      <c r="E8" s="1542"/>
      <c r="F8" s="1542"/>
      <c r="G8" s="1542"/>
      <c r="H8" s="1542"/>
      <c r="I8" s="1542"/>
      <c r="J8" s="1542"/>
      <c r="K8" s="1542"/>
      <c r="L8" s="1542"/>
      <c r="M8" s="1542"/>
      <c r="N8" s="1542"/>
      <c r="O8" s="1542"/>
      <c r="P8" s="1800"/>
      <c r="Q8" s="622"/>
      <c r="R8" s="1970" t="str">
        <f>+'SP1'!$U$6</f>
        <v/>
      </c>
      <c r="S8" s="1655"/>
      <c r="T8" s="1655"/>
      <c r="U8" s="1655"/>
      <c r="V8" s="1655"/>
      <c r="W8" s="1655"/>
      <c r="X8" s="1655"/>
      <c r="Y8" s="1655"/>
      <c r="Z8" s="1655"/>
      <c r="AA8" s="1655"/>
      <c r="AB8" s="1655"/>
      <c r="AC8" s="1655"/>
      <c r="AD8" s="1655"/>
      <c r="AE8" s="1054"/>
    </row>
    <row r="9" spans="1:31" ht="15" customHeight="1">
      <c r="A9" s="622"/>
      <c r="B9" s="622"/>
      <c r="C9" s="622"/>
      <c r="D9" s="1963"/>
      <c r="E9" s="1156"/>
      <c r="F9" s="1156"/>
      <c r="G9" s="1156"/>
      <c r="H9" s="1156"/>
      <c r="I9" s="1156"/>
      <c r="J9" s="1156"/>
      <c r="K9" s="1156"/>
      <c r="L9" s="1156"/>
      <c r="M9" s="1156"/>
      <c r="N9" s="1156"/>
      <c r="O9" s="1156"/>
      <c r="P9" s="1964"/>
      <c r="Q9" s="622"/>
      <c r="R9" s="622"/>
      <c r="S9" s="622"/>
      <c r="T9" s="622"/>
      <c r="U9" s="622"/>
      <c r="V9" s="622"/>
      <c r="W9" s="622"/>
      <c r="X9" s="622"/>
      <c r="Y9" s="622"/>
      <c r="Z9" s="622"/>
      <c r="AA9" s="622"/>
      <c r="AB9" s="622"/>
      <c r="AC9" s="622"/>
      <c r="AD9" s="622"/>
      <c r="AE9" s="622"/>
    </row>
    <row r="10" spans="1:31" ht="15" customHeight="1">
      <c r="A10" s="622"/>
      <c r="B10" s="622"/>
      <c r="C10" s="622"/>
      <c r="D10" s="1965"/>
      <c r="E10" s="1966"/>
      <c r="F10" s="1966"/>
      <c r="G10" s="1966"/>
      <c r="H10" s="1966"/>
      <c r="I10" s="1966"/>
      <c r="J10" s="1966"/>
      <c r="K10" s="1966"/>
      <c r="L10" s="1966"/>
      <c r="M10" s="1966"/>
      <c r="N10" s="1966"/>
      <c r="O10" s="1966"/>
      <c r="P10" s="1967"/>
      <c r="Q10" s="622"/>
      <c r="R10" s="622"/>
      <c r="S10" s="622"/>
      <c r="T10" s="622"/>
      <c r="U10" s="622"/>
      <c r="V10" s="622"/>
      <c r="W10" s="622"/>
      <c r="X10" s="622"/>
      <c r="Y10" s="622"/>
      <c r="Z10" s="622"/>
      <c r="AA10" s="622"/>
      <c r="AB10" s="622"/>
      <c r="AC10" s="622"/>
      <c r="AD10" s="622"/>
      <c r="AE10" s="622"/>
    </row>
    <row r="11" spans="1:31" ht="12.75">
      <c r="A11" s="1658"/>
      <c r="B11" s="1247"/>
      <c r="C11" s="1247"/>
      <c r="D11" s="1247"/>
      <c r="E11" s="1247"/>
      <c r="F11" s="1247"/>
      <c r="G11" s="1247"/>
      <c r="H11" s="1247"/>
      <c r="I11" s="1247"/>
      <c r="J11" s="1247"/>
      <c r="K11" s="1247"/>
      <c r="L11" s="1247"/>
      <c r="M11" s="1247"/>
      <c r="N11" s="1247"/>
      <c r="O11" s="1247"/>
      <c r="P11" s="1247"/>
      <c r="Q11" s="1247"/>
      <c r="R11" s="1247"/>
      <c r="S11" s="1247"/>
      <c r="T11" s="1247"/>
      <c r="U11" s="1247"/>
      <c r="V11" s="1247"/>
      <c r="W11" s="1247"/>
      <c r="X11" s="1247"/>
      <c r="Y11" s="1247"/>
      <c r="Z11" s="1247"/>
      <c r="AA11" s="1247"/>
      <c r="AB11" s="1247"/>
      <c r="AC11" s="1247"/>
      <c r="AD11" s="1247"/>
      <c r="AE11" s="1247"/>
    </row>
    <row r="12" spans="1:71" s="447" customFormat="1" ht="18" customHeight="1">
      <c r="A12" s="1973" t="s">
        <v>3827</v>
      </c>
      <c r="B12" s="1974"/>
      <c r="C12" s="1974"/>
      <c r="D12" s="1974"/>
      <c r="E12" s="1974"/>
      <c r="F12" s="1974"/>
      <c r="G12" s="1974"/>
      <c r="H12" s="1974"/>
      <c r="I12" s="1974"/>
      <c r="J12" s="1974"/>
      <c r="K12" s="1974"/>
      <c r="L12" s="1974"/>
      <c r="M12" s="1974"/>
      <c r="N12" s="1974"/>
      <c r="O12" s="1974"/>
      <c r="P12" s="1974"/>
      <c r="Q12" s="1974"/>
      <c r="R12" s="1974"/>
      <c r="S12" s="1974"/>
      <c r="T12" s="1974"/>
      <c r="U12" s="1974"/>
      <c r="V12" s="1974"/>
      <c r="W12" s="1974"/>
      <c r="X12" s="1974"/>
      <c r="Y12" s="1974"/>
      <c r="Z12" s="1974"/>
      <c r="AA12" s="1974"/>
      <c r="AB12" s="1974"/>
      <c r="AC12" s="1974"/>
      <c r="AD12" s="1974"/>
      <c r="AE12" s="1975"/>
      <c r="AF12" s="659"/>
      <c r="AG12" s="659"/>
      <c r="AH12" s="659"/>
      <c r="AI12" s="659"/>
      <c r="AJ12" s="659"/>
      <c r="AK12" s="659"/>
      <c r="AL12" s="659"/>
      <c r="AM12" s="659"/>
      <c r="AN12" s="659"/>
      <c r="AO12" s="659"/>
      <c r="AP12" s="659"/>
      <c r="AQ12" s="659"/>
      <c r="AR12" s="659"/>
      <c r="AS12" s="659"/>
      <c r="AT12" s="659"/>
      <c r="AU12" s="659"/>
      <c r="AV12" s="659"/>
      <c r="AW12" s="659"/>
      <c r="AX12" s="659"/>
      <c r="AY12" s="659"/>
      <c r="AZ12" s="659"/>
      <c r="BA12" s="659"/>
      <c r="BB12" s="659"/>
      <c r="BC12" s="659"/>
      <c r="BD12" s="659"/>
      <c r="BE12" s="659"/>
      <c r="BF12" s="659"/>
      <c r="BG12" s="659"/>
      <c r="BH12" s="659"/>
      <c r="BI12" s="659"/>
      <c r="BJ12" s="659"/>
      <c r="BK12" s="659"/>
      <c r="BL12" s="659"/>
      <c r="BM12" s="659"/>
      <c r="BN12" s="659"/>
      <c r="BO12" s="659"/>
      <c r="BP12" s="659"/>
      <c r="BQ12" s="659"/>
      <c r="BR12" s="659"/>
      <c r="BS12" s="659"/>
    </row>
    <row r="13" spans="1:31" ht="12.75">
      <c r="A13" s="645"/>
      <c r="B13" s="646" t="s">
        <v>128</v>
      </c>
      <c r="C13" s="646"/>
      <c r="D13" s="1981" t="s">
        <v>127</v>
      </c>
      <c r="E13" s="1982"/>
      <c r="F13" s="1982"/>
      <c r="G13" s="1982"/>
      <c r="H13" s="1982"/>
      <c r="I13" s="1982"/>
      <c r="J13" s="646"/>
      <c r="K13" s="1981" t="s">
        <v>148</v>
      </c>
      <c r="L13" s="1982"/>
      <c r="M13" s="1982"/>
      <c r="N13" s="1982"/>
      <c r="O13" s="1982"/>
      <c r="P13" s="1982"/>
      <c r="Q13" s="646"/>
      <c r="R13" s="1981" t="s">
        <v>333</v>
      </c>
      <c r="S13" s="1982"/>
      <c r="T13" s="1982"/>
      <c r="U13" s="1982"/>
      <c r="V13" s="1982"/>
      <c r="W13" s="1982"/>
      <c r="X13" s="646"/>
      <c r="Y13" s="1981" t="s">
        <v>185</v>
      </c>
      <c r="Z13" s="1982"/>
      <c r="AA13" s="1982"/>
      <c r="AB13" s="1982"/>
      <c r="AC13" s="1982"/>
      <c r="AD13" s="1982"/>
      <c r="AE13" s="647"/>
    </row>
    <row r="14" spans="1:31" ht="18" customHeight="1">
      <c r="A14" s="645"/>
      <c r="B14" s="661" t="str">
        <f>+CONCATENATE('SP1'!$A$10)</f>
        <v>0</v>
      </c>
      <c r="C14" s="630"/>
      <c r="D14" s="1978" t="str">
        <f>+CONCATENATE('SP1'!$H$10)</f>
        <v>0</v>
      </c>
      <c r="E14" s="1979"/>
      <c r="F14" s="1979"/>
      <c r="G14" s="1979"/>
      <c r="H14" s="1979"/>
      <c r="I14" s="1980"/>
      <c r="J14" s="648"/>
      <c r="K14" s="1983" t="str">
        <f>+CONCATENATE('SP1'!$O$10)</f>
        <v/>
      </c>
      <c r="L14" s="1632"/>
      <c r="M14" s="1632"/>
      <c r="N14" s="1632"/>
      <c r="O14" s="1632"/>
      <c r="P14" s="1633"/>
      <c r="Q14" s="648"/>
      <c r="R14" s="1984">
        <f>+'SP1'!$U$10</f>
        <v>0</v>
      </c>
      <c r="S14" s="1985"/>
      <c r="T14" s="1985"/>
      <c r="U14" s="1985"/>
      <c r="V14" s="1985"/>
      <c r="W14" s="1986"/>
      <c r="X14" s="648"/>
      <c r="Y14" s="1987" t="str">
        <f>+'SP1'!$AA$10</f>
        <v/>
      </c>
      <c r="Z14" s="1988"/>
      <c r="AA14" s="1988"/>
      <c r="AB14" s="1988"/>
      <c r="AC14" s="1988"/>
      <c r="AD14" s="1989"/>
      <c r="AE14" s="649"/>
    </row>
    <row r="15" spans="1:31" ht="5.1" customHeight="1">
      <c r="A15" s="650"/>
      <c r="B15" s="651"/>
      <c r="C15" s="651"/>
      <c r="D15" s="651"/>
      <c r="E15" s="651"/>
      <c r="F15" s="651"/>
      <c r="G15" s="651"/>
      <c r="H15" s="651"/>
      <c r="I15" s="651"/>
      <c r="J15" s="651"/>
      <c r="K15" s="651"/>
      <c r="L15" s="651"/>
      <c r="M15" s="651"/>
      <c r="N15" s="651"/>
      <c r="O15" s="651"/>
      <c r="P15" s="651"/>
      <c r="Q15" s="651"/>
      <c r="R15" s="651"/>
      <c r="S15" s="651"/>
      <c r="T15" s="651"/>
      <c r="U15" s="651"/>
      <c r="V15" s="651"/>
      <c r="W15" s="651"/>
      <c r="X15" s="651"/>
      <c r="Y15" s="651"/>
      <c r="Z15" s="651"/>
      <c r="AA15" s="651"/>
      <c r="AB15" s="651"/>
      <c r="AC15" s="651"/>
      <c r="AD15" s="651"/>
      <c r="AE15" s="652"/>
    </row>
    <row r="16" spans="1:31" ht="18" customHeight="1">
      <c r="A16" s="1973" t="s">
        <v>3830</v>
      </c>
      <c r="B16" s="1974"/>
      <c r="C16" s="1974"/>
      <c r="D16" s="1974"/>
      <c r="E16" s="1974"/>
      <c r="F16" s="1974"/>
      <c r="G16" s="1974"/>
      <c r="H16" s="1974"/>
      <c r="I16" s="1974"/>
      <c r="J16" s="1974"/>
      <c r="K16" s="1974"/>
      <c r="L16" s="1974"/>
      <c r="M16" s="1974"/>
      <c r="N16" s="1974"/>
      <c r="O16" s="1974"/>
      <c r="P16" s="1974"/>
      <c r="Q16" s="1974"/>
      <c r="R16" s="1974"/>
      <c r="S16" s="1974"/>
      <c r="T16" s="1974"/>
      <c r="U16" s="1974"/>
      <c r="V16" s="1974"/>
      <c r="W16" s="1974"/>
      <c r="X16" s="1974"/>
      <c r="Y16" s="1974"/>
      <c r="Z16" s="1974"/>
      <c r="AA16" s="1974"/>
      <c r="AB16" s="1974"/>
      <c r="AC16" s="1974"/>
      <c r="AD16" s="1974"/>
      <c r="AE16" s="1975"/>
    </row>
    <row r="17" spans="1:31" ht="12.75">
      <c r="A17" s="645"/>
      <c r="B17" s="1990" t="s">
        <v>3831</v>
      </c>
      <c r="C17" s="1156"/>
      <c r="D17" s="1156"/>
      <c r="E17" s="1156"/>
      <c r="F17" s="1156"/>
      <c r="G17" s="1156"/>
      <c r="H17" s="1156"/>
      <c r="I17" s="1156"/>
      <c r="J17" s="1156"/>
      <c r="K17" s="1156"/>
      <c r="L17" s="1156"/>
      <c r="M17" s="1156"/>
      <c r="N17" s="1156"/>
      <c r="O17" s="1156"/>
      <c r="P17" s="1156"/>
      <c r="Q17" s="1156"/>
      <c r="R17" s="1156"/>
      <c r="S17" s="1156"/>
      <c r="T17" s="1156"/>
      <c r="U17" s="1156"/>
      <c r="V17" s="1156"/>
      <c r="W17" s="1156"/>
      <c r="X17" s="1156"/>
      <c r="Y17" s="1156"/>
      <c r="Z17" s="1156"/>
      <c r="AA17" s="1156"/>
      <c r="AB17" s="1156"/>
      <c r="AC17" s="1156"/>
      <c r="AD17" s="1156"/>
      <c r="AE17" s="649"/>
    </row>
    <row r="18" spans="1:31" ht="18" customHeight="1">
      <c r="A18" s="645"/>
      <c r="B18" s="1983"/>
      <c r="C18" s="1632"/>
      <c r="D18" s="1632"/>
      <c r="E18" s="1632"/>
      <c r="F18" s="1632"/>
      <c r="G18" s="1632"/>
      <c r="H18" s="1632"/>
      <c r="I18" s="1632"/>
      <c r="J18" s="1632"/>
      <c r="K18" s="1632"/>
      <c r="L18" s="1632"/>
      <c r="M18" s="1632"/>
      <c r="N18" s="1632"/>
      <c r="O18" s="1632"/>
      <c r="P18" s="1632"/>
      <c r="Q18" s="1632"/>
      <c r="R18" s="1632"/>
      <c r="S18" s="1632"/>
      <c r="T18" s="1632"/>
      <c r="U18" s="1632"/>
      <c r="V18" s="1632"/>
      <c r="W18" s="1632"/>
      <c r="X18" s="1632"/>
      <c r="Y18" s="1632"/>
      <c r="Z18" s="1632"/>
      <c r="AA18" s="1632"/>
      <c r="AB18" s="1632"/>
      <c r="AC18" s="1632"/>
      <c r="AD18" s="1633"/>
      <c r="AE18" s="649"/>
    </row>
    <row r="19" spans="1:31" ht="5.1" customHeight="1">
      <c r="A19" s="645"/>
      <c r="B19" s="1990"/>
      <c r="C19" s="1156"/>
      <c r="D19" s="1156"/>
      <c r="E19" s="1156"/>
      <c r="F19" s="1156"/>
      <c r="G19" s="1156"/>
      <c r="H19" s="1156"/>
      <c r="I19" s="1156"/>
      <c r="J19" s="1156"/>
      <c r="K19" s="1156"/>
      <c r="L19" s="1156"/>
      <c r="M19" s="1156"/>
      <c r="N19" s="1156"/>
      <c r="O19" s="1156"/>
      <c r="P19" s="1156"/>
      <c r="Q19" s="1156"/>
      <c r="R19" s="1156"/>
      <c r="S19" s="1156"/>
      <c r="T19" s="1156"/>
      <c r="U19" s="1156"/>
      <c r="V19" s="1156"/>
      <c r="W19" s="1156"/>
      <c r="X19" s="1156"/>
      <c r="Y19" s="1156"/>
      <c r="Z19" s="1156"/>
      <c r="AA19" s="1156"/>
      <c r="AB19" s="1156"/>
      <c r="AC19" s="1156"/>
      <c r="AD19" s="1156"/>
      <c r="AE19" s="649"/>
    </row>
    <row r="20" spans="1:31" ht="18" customHeight="1">
      <c r="A20" s="645"/>
      <c r="B20" s="1997" t="s">
        <v>3832</v>
      </c>
      <c r="C20" s="1561"/>
      <c r="D20" s="1561"/>
      <c r="E20" s="1561"/>
      <c r="F20" s="1998"/>
      <c r="G20" s="2008">
        <f>+'DAP1'!F24</f>
        <v>2017</v>
      </c>
      <c r="H20" s="2009"/>
      <c r="I20" s="2009"/>
      <c r="J20" s="2010"/>
      <c r="K20" s="2011"/>
      <c r="L20" s="1636"/>
      <c r="M20" s="1636"/>
      <c r="N20" s="1636"/>
      <c r="O20" s="1636"/>
      <c r="P20" s="1636"/>
      <c r="Q20" s="1636"/>
      <c r="R20" s="1636"/>
      <c r="S20" s="1636"/>
      <c r="T20" s="1636"/>
      <c r="U20" s="1636"/>
      <c r="V20" s="1636"/>
      <c r="W20" s="1636"/>
      <c r="X20" s="1636"/>
      <c r="Y20" s="1636"/>
      <c r="Z20" s="1636"/>
      <c r="AA20" s="1636"/>
      <c r="AB20" s="1636"/>
      <c r="AC20" s="1636"/>
      <c r="AD20" s="1636"/>
      <c r="AE20" s="1998"/>
    </row>
    <row r="21" spans="1:31" ht="12.75">
      <c r="A21" s="645"/>
      <c r="B21" s="648"/>
      <c r="C21" s="648"/>
      <c r="D21" s="648"/>
      <c r="E21" s="653">
        <v>1</v>
      </c>
      <c r="F21" s="648"/>
      <c r="G21" s="653">
        <v>2</v>
      </c>
      <c r="H21" s="648"/>
      <c r="I21" s="653">
        <v>3</v>
      </c>
      <c r="J21" s="648"/>
      <c r="K21" s="653">
        <v>4</v>
      </c>
      <c r="L21" s="648"/>
      <c r="M21" s="653">
        <v>5</v>
      </c>
      <c r="N21" s="648"/>
      <c r="O21" s="653">
        <v>6</v>
      </c>
      <c r="P21" s="648"/>
      <c r="Q21" s="653">
        <v>7</v>
      </c>
      <c r="R21" s="648"/>
      <c r="S21" s="653">
        <v>8</v>
      </c>
      <c r="T21" s="648"/>
      <c r="U21" s="653">
        <v>9</v>
      </c>
      <c r="V21" s="648"/>
      <c r="W21" s="653">
        <v>10</v>
      </c>
      <c r="X21" s="648"/>
      <c r="Y21" s="653">
        <v>11</v>
      </c>
      <c r="Z21" s="648"/>
      <c r="AA21" s="653">
        <v>12</v>
      </c>
      <c r="AB21" s="1976" t="s">
        <v>3829</v>
      </c>
      <c r="AC21" s="1977"/>
      <c r="AD21" s="1977"/>
      <c r="AE21" s="649"/>
    </row>
    <row r="22" spans="1:31" ht="18" customHeight="1">
      <c r="A22" s="645"/>
      <c r="B22" s="654" t="s">
        <v>3828</v>
      </c>
      <c r="C22" s="648"/>
      <c r="D22" s="648"/>
      <c r="E22" s="655"/>
      <c r="F22" s="648"/>
      <c r="G22" s="655"/>
      <c r="H22" s="648"/>
      <c r="I22" s="655"/>
      <c r="J22" s="648"/>
      <c r="K22" s="655"/>
      <c r="L22" s="648"/>
      <c r="M22" s="655"/>
      <c r="N22" s="648"/>
      <c r="O22" s="655"/>
      <c r="P22" s="648"/>
      <c r="Q22" s="655"/>
      <c r="R22" s="648"/>
      <c r="S22" s="655"/>
      <c r="T22" s="648"/>
      <c r="U22" s="655"/>
      <c r="V22" s="648"/>
      <c r="W22" s="655"/>
      <c r="X22" s="648"/>
      <c r="Y22" s="655"/>
      <c r="Z22" s="648"/>
      <c r="AA22" s="655"/>
      <c r="AB22" s="648"/>
      <c r="AC22" s="655"/>
      <c r="AD22" s="648"/>
      <c r="AE22" s="649"/>
    </row>
    <row r="23" spans="1:31" ht="5.1" customHeight="1">
      <c r="A23" s="650"/>
      <c r="B23" s="651"/>
      <c r="C23" s="651"/>
      <c r="D23" s="651"/>
      <c r="E23" s="651"/>
      <c r="F23" s="651"/>
      <c r="G23" s="651"/>
      <c r="H23" s="651"/>
      <c r="I23" s="651"/>
      <c r="J23" s="651"/>
      <c r="K23" s="651"/>
      <c r="L23" s="651"/>
      <c r="M23" s="651"/>
      <c r="N23" s="651"/>
      <c r="O23" s="651"/>
      <c r="P23" s="651"/>
      <c r="Q23" s="651"/>
      <c r="R23" s="651"/>
      <c r="S23" s="651"/>
      <c r="T23" s="651"/>
      <c r="U23" s="651"/>
      <c r="V23" s="651"/>
      <c r="W23" s="651"/>
      <c r="X23" s="651"/>
      <c r="Y23" s="651"/>
      <c r="Z23" s="651"/>
      <c r="AA23" s="651"/>
      <c r="AB23" s="651"/>
      <c r="AC23" s="651"/>
      <c r="AD23" s="651"/>
      <c r="AE23" s="652"/>
    </row>
    <row r="24" spans="1:31" ht="18" customHeight="1">
      <c r="A24" s="1973" t="s">
        <v>3833</v>
      </c>
      <c r="B24" s="1974"/>
      <c r="C24" s="1974"/>
      <c r="D24" s="1974"/>
      <c r="E24" s="1974"/>
      <c r="F24" s="1974"/>
      <c r="G24" s="1974"/>
      <c r="H24" s="1974"/>
      <c r="I24" s="1974"/>
      <c r="J24" s="1974"/>
      <c r="K24" s="1974"/>
      <c r="L24" s="1974"/>
      <c r="M24" s="1974"/>
      <c r="N24" s="1974"/>
      <c r="O24" s="1974"/>
      <c r="P24" s="1974"/>
      <c r="Q24" s="1974"/>
      <c r="R24" s="1974"/>
      <c r="S24" s="1974"/>
      <c r="T24" s="1974"/>
      <c r="U24" s="1974"/>
      <c r="V24" s="1974"/>
      <c r="W24" s="1974"/>
      <c r="X24" s="1974"/>
      <c r="Y24" s="1974"/>
      <c r="Z24" s="1974"/>
      <c r="AA24" s="1974"/>
      <c r="AB24" s="1974"/>
      <c r="AC24" s="1974"/>
      <c r="AD24" s="1974"/>
      <c r="AE24" s="1975"/>
    </row>
    <row r="25" spans="1:31" ht="60" customHeight="1">
      <c r="A25" s="2007"/>
      <c r="B25" s="1156"/>
      <c r="C25" s="1156"/>
      <c r="D25" s="1156"/>
      <c r="E25" s="1156"/>
      <c r="F25" s="1156"/>
      <c r="G25" s="1156"/>
      <c r="H25" s="1156"/>
      <c r="I25" s="1156"/>
      <c r="J25" s="1156"/>
      <c r="K25" s="1156"/>
      <c r="L25" s="1156"/>
      <c r="M25" s="1156"/>
      <c r="N25" s="1156"/>
      <c r="O25" s="1156"/>
      <c r="P25" s="1156"/>
      <c r="Q25" s="1156"/>
      <c r="R25" s="1156"/>
      <c r="S25" s="1156"/>
      <c r="T25" s="2002"/>
      <c r="U25" s="2003"/>
      <c r="V25" s="2003"/>
      <c r="W25" s="2003"/>
      <c r="X25" s="2003"/>
      <c r="Y25" s="2003"/>
      <c r="Z25" s="2003"/>
      <c r="AA25" s="2003"/>
      <c r="AB25" s="2003"/>
      <c r="AC25" s="2003"/>
      <c r="AD25" s="2003"/>
      <c r="AE25" s="649"/>
    </row>
    <row r="26" spans="1:31" ht="18" customHeight="1">
      <c r="A26" s="645"/>
      <c r="B26" s="654" t="s">
        <v>438</v>
      </c>
      <c r="C26" s="1999">
        <f ca="1">+TODAY()</f>
        <v>43231</v>
      </c>
      <c r="D26" s="2000"/>
      <c r="E26" s="2000"/>
      <c r="F26" s="2000"/>
      <c r="G26" s="2001"/>
      <c r="H26" s="1156"/>
      <c r="I26" s="1156"/>
      <c r="J26" s="1156"/>
      <c r="K26" s="1156"/>
      <c r="L26" s="1156"/>
      <c r="M26" s="1156"/>
      <c r="N26" s="1156"/>
      <c r="O26" s="1156"/>
      <c r="P26" s="1156"/>
      <c r="Q26" s="1156"/>
      <c r="R26" s="1156"/>
      <c r="S26" s="1156"/>
      <c r="T26" s="2004"/>
      <c r="U26" s="2004"/>
      <c r="V26" s="2004"/>
      <c r="W26" s="2004"/>
      <c r="X26" s="2004"/>
      <c r="Y26" s="2004"/>
      <c r="Z26" s="2004"/>
      <c r="AA26" s="2004"/>
      <c r="AB26" s="2004"/>
      <c r="AC26" s="2004"/>
      <c r="AD26" s="2004"/>
      <c r="AE26" s="649"/>
    </row>
    <row r="27" spans="1:31" ht="12.75">
      <c r="A27" s="645"/>
      <c r="B27" s="648"/>
      <c r="C27" s="648"/>
      <c r="D27" s="648"/>
      <c r="E27" s="648"/>
      <c r="F27" s="648"/>
      <c r="G27" s="648"/>
      <c r="H27" s="648"/>
      <c r="I27" s="648"/>
      <c r="J27" s="648"/>
      <c r="K27" s="648"/>
      <c r="L27" s="648"/>
      <c r="M27" s="648"/>
      <c r="N27" s="648"/>
      <c r="O27" s="648"/>
      <c r="P27" s="648"/>
      <c r="Q27" s="648"/>
      <c r="R27" s="648"/>
      <c r="S27" s="648"/>
      <c r="T27" s="2005" t="s">
        <v>439</v>
      </c>
      <c r="U27" s="2006"/>
      <c r="V27" s="2006"/>
      <c r="W27" s="2006"/>
      <c r="X27" s="2006"/>
      <c r="Y27" s="2006"/>
      <c r="Z27" s="2006"/>
      <c r="AA27" s="2006"/>
      <c r="AB27" s="2006"/>
      <c r="AC27" s="2006"/>
      <c r="AD27" s="2006"/>
      <c r="AE27" s="649"/>
    </row>
    <row r="28" spans="1:31" ht="5.1" customHeight="1">
      <c r="A28" s="650"/>
      <c r="B28" s="651"/>
      <c r="C28" s="651"/>
      <c r="D28" s="651"/>
      <c r="E28" s="651"/>
      <c r="F28" s="651"/>
      <c r="G28" s="651"/>
      <c r="H28" s="651"/>
      <c r="I28" s="651"/>
      <c r="J28" s="651"/>
      <c r="K28" s="651"/>
      <c r="L28" s="651"/>
      <c r="M28" s="651"/>
      <c r="N28" s="651"/>
      <c r="O28" s="651"/>
      <c r="P28" s="651"/>
      <c r="Q28" s="651"/>
      <c r="R28" s="651"/>
      <c r="S28" s="651"/>
      <c r="T28" s="651"/>
      <c r="U28" s="651"/>
      <c r="V28" s="651"/>
      <c r="W28" s="651"/>
      <c r="X28" s="651"/>
      <c r="Y28" s="651"/>
      <c r="Z28" s="651"/>
      <c r="AA28" s="651"/>
      <c r="AB28" s="651"/>
      <c r="AC28" s="651"/>
      <c r="AD28" s="651"/>
      <c r="AE28" s="652"/>
    </row>
    <row r="29" spans="1:31" ht="28.5" customHeight="1">
      <c r="A29" s="656"/>
      <c r="B29" s="1991" t="s">
        <v>3834</v>
      </c>
      <c r="C29" s="1992"/>
      <c r="D29" s="1992"/>
      <c r="E29" s="1992"/>
      <c r="F29" s="1992"/>
      <c r="G29" s="1992"/>
      <c r="H29" s="1992"/>
      <c r="I29" s="1992"/>
      <c r="J29" s="1992"/>
      <c r="K29" s="1992"/>
      <c r="L29" s="1992"/>
      <c r="M29" s="1992"/>
      <c r="N29" s="1992"/>
      <c r="O29" s="1992"/>
      <c r="P29" s="1992"/>
      <c r="Q29" s="1992"/>
      <c r="R29" s="1992"/>
      <c r="S29" s="1992"/>
      <c r="T29" s="1992"/>
      <c r="U29" s="1992"/>
      <c r="V29" s="1992"/>
      <c r="W29" s="1992"/>
      <c r="X29" s="1992"/>
      <c r="Y29" s="1992"/>
      <c r="Z29" s="1992"/>
      <c r="AA29" s="1992"/>
      <c r="AB29" s="1992"/>
      <c r="AC29" s="1992"/>
      <c r="AD29" s="1992"/>
      <c r="AE29" s="657"/>
    </row>
    <row r="30" spans="1:31" ht="12.75">
      <c r="A30" s="1993"/>
      <c r="B30" s="1966"/>
      <c r="C30" s="1966"/>
      <c r="D30" s="1966"/>
      <c r="E30" s="1966"/>
      <c r="F30" s="1966"/>
      <c r="G30" s="1966"/>
      <c r="H30" s="1966"/>
      <c r="I30" s="1966"/>
      <c r="J30" s="1966"/>
      <c r="K30" s="1966"/>
      <c r="L30" s="1966"/>
      <c r="M30" s="1966"/>
      <c r="N30" s="1966"/>
      <c r="O30" s="1966"/>
      <c r="P30" s="1966"/>
      <c r="Q30" s="1966"/>
      <c r="R30" s="1966"/>
      <c r="S30" s="1966"/>
      <c r="T30" s="1966"/>
      <c r="U30" s="1966"/>
      <c r="V30" s="1966"/>
      <c r="W30" s="1966"/>
      <c r="X30" s="1966"/>
      <c r="Y30" s="1966"/>
      <c r="Z30" s="1966"/>
      <c r="AA30" s="1994" t="s">
        <v>3835</v>
      </c>
      <c r="AB30" s="1995"/>
      <c r="AC30" s="1995"/>
      <c r="AD30" s="1995"/>
      <c r="AE30" s="1996"/>
    </row>
    <row r="31" spans="1:31" s="658" customFormat="1" ht="12.75">
      <c r="A31" s="660"/>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row>
    <row r="32" spans="1:31" s="658" customFormat="1" ht="12.75">
      <c r="A32" s="660"/>
      <c r="B32" s="660"/>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row>
    <row r="33" spans="1:31" s="658" customFormat="1" ht="12.75">
      <c r="A33" s="660"/>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row>
    <row r="34" spans="1:31" s="658" customFormat="1" ht="12.75">
      <c r="A34" s="660"/>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row>
    <row r="35" spans="1:31" s="658" customFormat="1" ht="12.75">
      <c r="A35" s="660"/>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row>
    <row r="36" spans="1:31" s="658" customFormat="1" ht="12.75">
      <c r="A36" s="660"/>
      <c r="B36" s="660"/>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row>
    <row r="37" spans="1:31" s="658" customFormat="1" ht="12.75">
      <c r="A37" s="660"/>
      <c r="B37" s="660"/>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row>
    <row r="38" spans="1:31" s="658" customFormat="1" ht="12.75">
      <c r="A38" s="660"/>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row>
    <row r="39" spans="1:31" s="658" customFormat="1" ht="12.75">
      <c r="A39" s="660"/>
      <c r="B39" s="660"/>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row>
    <row r="40" spans="1:31" s="658" customFormat="1" ht="12.75">
      <c r="A40" s="660"/>
      <c r="B40" s="66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row>
    <row r="41" spans="1:31" s="658" customFormat="1" ht="12.75">
      <c r="A41" s="660"/>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row>
    <row r="42" spans="1:31" s="658" customFormat="1" ht="12.75">
      <c r="A42" s="660"/>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row>
    <row r="43" spans="1:31" s="658" customFormat="1" ht="12.75">
      <c r="A43" s="660"/>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row>
    <row r="44" spans="1:31" s="658" customFormat="1" ht="12.75">
      <c r="A44" s="660"/>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row>
    <row r="45" spans="1:31" s="658" customFormat="1" ht="12.75">
      <c r="A45" s="660"/>
      <c r="B45" s="660"/>
      <c r="C45" s="660"/>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row>
    <row r="46" spans="1:31" s="658" customFormat="1" ht="12.75">
      <c r="A46" s="660"/>
      <c r="B46" s="660"/>
      <c r="C46" s="660"/>
      <c r="D46" s="660"/>
      <c r="E46" s="660"/>
      <c r="F46" s="660"/>
      <c r="G46" s="660"/>
      <c r="H46" s="660"/>
      <c r="I46" s="660"/>
      <c r="J46" s="660"/>
      <c r="K46" s="660"/>
      <c r="L46" s="660"/>
      <c r="M46" s="660"/>
      <c r="N46" s="660"/>
      <c r="O46" s="660"/>
      <c r="P46" s="660"/>
      <c r="Q46" s="660"/>
      <c r="R46" s="660"/>
      <c r="S46" s="660"/>
      <c r="T46" s="660"/>
      <c r="U46" s="660"/>
      <c r="V46" s="660"/>
      <c r="W46" s="660"/>
      <c r="X46" s="660"/>
      <c r="Y46" s="660"/>
      <c r="Z46" s="660"/>
      <c r="AA46" s="660"/>
      <c r="AB46" s="660"/>
      <c r="AC46" s="660"/>
      <c r="AD46" s="660"/>
      <c r="AE46" s="660"/>
    </row>
    <row r="47" s="658" customFormat="1" ht="12.75"/>
    <row r="48" s="658" customFormat="1" ht="12.75"/>
    <row r="49" s="658" customFormat="1" ht="12.75"/>
    <row r="50" s="658" customFormat="1" ht="12.75"/>
    <row r="51" s="658" customFormat="1" ht="12.75"/>
    <row r="52" s="658" customFormat="1" ht="12.75"/>
    <row r="53" s="658" customFormat="1" ht="12.75"/>
    <row r="54" s="658" customFormat="1" ht="12.75"/>
    <row r="55" s="658" customFormat="1" ht="12.75"/>
    <row r="56" s="658" customFormat="1" ht="12.75"/>
    <row r="57" s="658" customFormat="1" ht="12.75"/>
    <row r="58" s="658" customFormat="1" ht="12.75"/>
    <row r="59" s="658" customFormat="1" ht="12.75"/>
    <row r="60" s="658" customFormat="1" ht="12.75"/>
    <row r="61" s="658" customFormat="1" ht="12.75"/>
    <row r="62" s="658" customFormat="1" ht="12.75"/>
    <row r="63" s="658" customFormat="1" ht="12.75"/>
    <row r="64" s="658" customFormat="1" ht="12.75"/>
    <row r="65" s="658" customFormat="1" ht="12.75"/>
    <row r="66" s="658" customFormat="1" ht="12.75"/>
    <row r="67" s="658" customFormat="1" ht="12.75"/>
    <row r="68" s="658" customFormat="1" ht="12.75"/>
    <row r="69" s="658" customFormat="1" ht="12.75"/>
    <row r="70" s="658" customFormat="1" ht="12.75"/>
    <row r="71" s="658" customFormat="1" ht="12.75"/>
    <row r="72" s="658" customFormat="1" ht="12.75"/>
    <row r="73" s="658" customFormat="1" ht="12.75"/>
    <row r="74" s="658" customFormat="1" ht="12.75"/>
    <row r="75" s="658" customFormat="1" ht="12.75"/>
    <row r="76" s="658" customFormat="1" ht="12.75"/>
    <row r="77" s="658" customFormat="1" ht="12.75"/>
    <row r="78" s="658" customFormat="1" ht="12.75"/>
    <row r="79" s="658" customFormat="1" ht="12.75"/>
    <row r="80" s="658" customFormat="1" ht="12.75"/>
    <row r="81" s="658" customFormat="1" ht="12.75"/>
    <row r="82" s="658" customFormat="1" ht="12.75"/>
    <row r="83" s="658" customFormat="1" ht="12.75"/>
    <row r="84" s="658" customFormat="1" ht="12.75"/>
    <row r="85" s="658" customFormat="1" ht="12.75"/>
    <row r="86" s="658" customFormat="1" ht="12.75"/>
    <row r="87" s="658" customFormat="1" ht="12.75"/>
    <row r="88" s="658" customFormat="1" ht="12.75"/>
    <row r="89" s="658" customFormat="1" ht="12.75"/>
    <row r="90" s="658" customFormat="1" ht="12.75"/>
    <row r="91" s="658" customFormat="1" ht="12.75"/>
    <row r="92" s="658" customFormat="1" ht="12.75"/>
    <row r="93" s="658" customFormat="1" ht="12.75"/>
    <row r="94" s="658" customFormat="1" ht="12.75"/>
    <row r="95" s="658" customFormat="1" ht="12.75"/>
    <row r="96" s="658" customFormat="1" ht="12.75"/>
    <row r="97" s="658" customFormat="1" ht="12.75"/>
    <row r="98" s="658" customFormat="1" ht="12.75"/>
    <row r="99" s="658" customFormat="1" ht="12.75"/>
    <row r="100" s="658" customFormat="1" ht="12.75"/>
    <row r="101" s="658" customFormat="1" ht="12.75"/>
    <row r="102" spans="1:31" ht="12.75">
      <c r="A102" s="643"/>
      <c r="B102" s="643"/>
      <c r="C102" s="643"/>
      <c r="D102" s="643"/>
      <c r="E102" s="643"/>
      <c r="F102" s="643"/>
      <c r="G102" s="643"/>
      <c r="H102" s="643"/>
      <c r="I102" s="643"/>
      <c r="J102" s="643"/>
      <c r="K102" s="643"/>
      <c r="L102" s="643"/>
      <c r="M102" s="643"/>
      <c r="N102" s="643"/>
      <c r="O102" s="643"/>
      <c r="P102" s="643"/>
      <c r="Q102" s="643"/>
      <c r="R102" s="643"/>
      <c r="S102" s="643"/>
      <c r="T102" s="643"/>
      <c r="U102" s="643"/>
      <c r="V102" s="643"/>
      <c r="W102" s="643"/>
      <c r="X102" s="643"/>
      <c r="Y102" s="643"/>
      <c r="Z102" s="643"/>
      <c r="AA102" s="643"/>
      <c r="AB102" s="643"/>
      <c r="AC102" s="643"/>
      <c r="AD102" s="643"/>
      <c r="AE102" s="643"/>
    </row>
  </sheetData>
  <sheetProtection password="EF65" sheet="1" objects="1" scenarios="1"/>
  <mergeCells count="39">
    <mergeCell ref="B29:AD29"/>
    <mergeCell ref="A30:Z30"/>
    <mergeCell ref="AA30:AE30"/>
    <mergeCell ref="B20:F20"/>
    <mergeCell ref="A24:AE24"/>
    <mergeCell ref="C26:F26"/>
    <mergeCell ref="G26:S26"/>
    <mergeCell ref="T25:AD26"/>
    <mergeCell ref="T27:AD27"/>
    <mergeCell ref="A25:S25"/>
    <mergeCell ref="G20:J20"/>
    <mergeCell ref="K20:AE20"/>
    <mergeCell ref="A11:AE11"/>
    <mergeCell ref="A12:AE12"/>
    <mergeCell ref="AB21:AD21"/>
    <mergeCell ref="D14:I14"/>
    <mergeCell ref="D13:I13"/>
    <mergeCell ref="K13:P13"/>
    <mergeCell ref="K14:P14"/>
    <mergeCell ref="R13:W13"/>
    <mergeCell ref="R14:W14"/>
    <mergeCell ref="Y13:AD13"/>
    <mergeCell ref="Y14:AD14"/>
    <mergeCell ref="A16:AE16"/>
    <mergeCell ref="B17:AD17"/>
    <mergeCell ref="B18:AD18"/>
    <mergeCell ref="B19:AD19"/>
    <mergeCell ref="A7:B7"/>
    <mergeCell ref="A8:B8"/>
    <mergeCell ref="D8:P10"/>
    <mergeCell ref="D7:P7"/>
    <mergeCell ref="R8:AE8"/>
    <mergeCell ref="R7:AE7"/>
    <mergeCell ref="A6:AE6"/>
    <mergeCell ref="A1:B1"/>
    <mergeCell ref="A2:AE2"/>
    <mergeCell ref="A3:AE3"/>
    <mergeCell ref="A4:AE4"/>
    <mergeCell ref="A5:AE5"/>
  </mergeCells>
  <pageMargins left="0.196850393700787" right="0.196850393700787" top="0.393700787401575" bottom="0.393700787401575" header="0.31496062992126" footer="0.31496062992126"/>
  <pageSetup orientation="portrait" paperSize="9" scale="79" r:id="rId2"/>
  <drawing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F99"/>
    <pageSetUpPr fitToPage="1"/>
  </sheetPr>
  <dimension ref="A1:BS101"/>
  <sheetViews>
    <sheetView workbookViewId="0" topLeftCell="A1">
      <selection pane="topLeft" activeCell="B13" sqref="B13"/>
    </sheetView>
  </sheetViews>
  <sheetFormatPr defaultRowHeight="12.75"/>
  <cols>
    <col min="1" max="1" width="3.71428571428571" customWidth="1"/>
    <col min="2" max="2" width="25.4285714285714" customWidth="1"/>
    <col min="3" max="3" width="3.28571428571429" customWidth="1"/>
    <col min="5" max="31" width="3.14285714285714" customWidth="1"/>
    <col min="32" max="71" width="9.14285714285714" style="658"/>
  </cols>
  <sheetData>
    <row r="1" spans="1:31" ht="45.75" customHeight="1">
      <c r="A1" s="1952" t="s">
        <v>3858</v>
      </c>
      <c r="B1" s="1953"/>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row>
    <row r="2" spans="1:31" ht="12.75">
      <c r="A2" s="1658"/>
      <c r="B2" s="1247"/>
      <c r="C2" s="1247"/>
      <c r="D2" s="1247"/>
      <c r="E2" s="1247"/>
      <c r="F2" s="1247"/>
      <c r="G2" s="1247"/>
      <c r="H2" s="1247"/>
      <c r="I2" s="1247"/>
      <c r="J2" s="1247"/>
      <c r="K2" s="1247"/>
      <c r="L2" s="1247"/>
      <c r="M2" s="1247"/>
      <c r="N2" s="1247"/>
      <c r="O2" s="1247"/>
      <c r="P2" s="1247"/>
      <c r="Q2" s="1247"/>
      <c r="R2" s="1247"/>
      <c r="S2" s="1247"/>
      <c r="T2" s="1247"/>
      <c r="U2" s="1247"/>
      <c r="V2" s="1247"/>
      <c r="W2" s="1247"/>
      <c r="X2" s="1247"/>
      <c r="Y2" s="1247"/>
      <c r="Z2" s="1247"/>
      <c r="AA2" s="1247"/>
      <c r="AB2" s="1247"/>
      <c r="AC2" s="1247"/>
      <c r="AD2" s="1247"/>
      <c r="AE2" s="1247"/>
    </row>
    <row r="3" spans="1:31" ht="18">
      <c r="A3" s="1954" t="s">
        <v>3836</v>
      </c>
      <c r="B3" s="1955"/>
      <c r="C3" s="1955"/>
      <c r="D3" s="1955"/>
      <c r="E3" s="1955"/>
      <c r="F3" s="1955"/>
      <c r="G3" s="1955"/>
      <c r="H3" s="1955"/>
      <c r="I3" s="1955"/>
      <c r="J3" s="1955"/>
      <c r="K3" s="1955"/>
      <c r="L3" s="1955"/>
      <c r="M3" s="1955"/>
      <c r="N3" s="1955"/>
      <c r="O3" s="1955"/>
      <c r="P3" s="1955"/>
      <c r="Q3" s="1955"/>
      <c r="R3" s="1955"/>
      <c r="S3" s="1955"/>
      <c r="T3" s="1955"/>
      <c r="U3" s="1955"/>
      <c r="V3" s="1955"/>
      <c r="W3" s="1955"/>
      <c r="X3" s="1955"/>
      <c r="Y3" s="1955"/>
      <c r="Z3" s="1955"/>
      <c r="AA3" s="1955"/>
      <c r="AB3" s="1955"/>
      <c r="AC3" s="1955"/>
      <c r="AD3" s="1955"/>
      <c r="AE3" s="1955"/>
    </row>
    <row r="4" spans="1:71" s="397" customFormat="1" ht="15">
      <c r="A4" s="2015" t="s">
        <v>3823</v>
      </c>
      <c r="B4" s="2016"/>
      <c r="C4" s="2016"/>
      <c r="D4" s="2016"/>
      <c r="E4" s="2016"/>
      <c r="F4" s="2016"/>
      <c r="G4" s="2016"/>
      <c r="H4" s="2016"/>
      <c r="I4" s="2016"/>
      <c r="J4" s="2016"/>
      <c r="K4" s="2016"/>
      <c r="L4" s="2016"/>
      <c r="M4" s="2016"/>
      <c r="N4" s="2016"/>
      <c r="O4" s="2016"/>
      <c r="P4" s="2016"/>
      <c r="Q4" s="2016"/>
      <c r="R4" s="2016"/>
      <c r="S4" s="2016"/>
      <c r="T4" s="2016"/>
      <c r="U4" s="2016"/>
      <c r="V4" s="2016"/>
      <c r="W4" s="2016"/>
      <c r="X4" s="2016"/>
      <c r="Y4" s="2016"/>
      <c r="Z4" s="2016"/>
      <c r="AA4" s="2016"/>
      <c r="AB4" s="2016"/>
      <c r="AC4" s="2016"/>
      <c r="AD4" s="2016"/>
      <c r="AE4" s="2016"/>
      <c r="AF4" s="662"/>
      <c r="AG4" s="662"/>
      <c r="AH4" s="662"/>
      <c r="AI4" s="662"/>
      <c r="AJ4" s="662"/>
      <c r="AK4" s="662"/>
      <c r="AL4" s="662"/>
      <c r="AM4" s="662"/>
      <c r="AN4" s="662"/>
      <c r="AO4" s="662"/>
      <c r="AP4" s="662"/>
      <c r="AQ4" s="662"/>
      <c r="AR4" s="662"/>
      <c r="AS4" s="662"/>
      <c r="AT4" s="662"/>
      <c r="AU4" s="662"/>
      <c r="AV4" s="662"/>
      <c r="AW4" s="662"/>
      <c r="AX4" s="662"/>
      <c r="AY4" s="662"/>
      <c r="AZ4" s="662"/>
      <c r="BA4" s="662"/>
      <c r="BB4" s="662"/>
      <c r="BC4" s="662"/>
      <c r="BD4" s="662"/>
      <c r="BE4" s="662"/>
      <c r="BF4" s="662"/>
      <c r="BG4" s="662"/>
      <c r="BH4" s="662"/>
      <c r="BI4" s="662"/>
      <c r="BJ4" s="662"/>
      <c r="BK4" s="662"/>
      <c r="BL4" s="662"/>
      <c r="BM4" s="662"/>
      <c r="BN4" s="662"/>
      <c r="BO4" s="662"/>
      <c r="BP4" s="662"/>
      <c r="BQ4" s="662"/>
      <c r="BR4" s="662"/>
      <c r="BS4" s="662"/>
    </row>
    <row r="5" spans="1:31" ht="12.75">
      <c r="A5" s="1658"/>
      <c r="B5" s="1247"/>
      <c r="C5" s="1247"/>
      <c r="D5" s="1247"/>
      <c r="E5" s="1247"/>
      <c r="F5" s="1247"/>
      <c r="G5" s="1247"/>
      <c r="H5" s="1247"/>
      <c r="I5" s="1247"/>
      <c r="J5" s="1247"/>
      <c r="K5" s="1247"/>
      <c r="L5" s="1247"/>
      <c r="M5" s="1247"/>
      <c r="N5" s="1247"/>
      <c r="O5" s="1247"/>
      <c r="P5" s="1247"/>
      <c r="Q5" s="1247"/>
      <c r="R5" s="1247"/>
      <c r="S5" s="1247"/>
      <c r="T5" s="1247"/>
      <c r="U5" s="1247"/>
      <c r="V5" s="1247"/>
      <c r="W5" s="1247"/>
      <c r="X5" s="1247"/>
      <c r="Y5" s="1247"/>
      <c r="Z5" s="1247"/>
      <c r="AA5" s="1247"/>
      <c r="AB5" s="1247"/>
      <c r="AC5" s="1247"/>
      <c r="AD5" s="1247"/>
      <c r="AE5" s="1247"/>
    </row>
    <row r="6" spans="1:31" ht="27" customHeight="1">
      <c r="A6" s="1958" t="s">
        <v>3824</v>
      </c>
      <c r="B6" s="1959"/>
      <c r="C6" s="644"/>
      <c r="D6" s="1968" t="s">
        <v>3825</v>
      </c>
      <c r="E6" s="1969"/>
      <c r="F6" s="1969"/>
      <c r="G6" s="1969"/>
      <c r="H6" s="1969"/>
      <c r="I6" s="1969"/>
      <c r="J6" s="1969"/>
      <c r="K6" s="1969"/>
      <c r="L6" s="1969"/>
      <c r="M6" s="1969"/>
      <c r="N6" s="1969"/>
      <c r="O6" s="1969"/>
      <c r="P6" s="1969"/>
      <c r="Q6" s="644"/>
      <c r="R6" s="1971" t="s">
        <v>3826</v>
      </c>
      <c r="S6" s="1972"/>
      <c r="T6" s="1972"/>
      <c r="U6" s="1972"/>
      <c r="V6" s="1972"/>
      <c r="W6" s="1972"/>
      <c r="X6" s="1972"/>
      <c r="Y6" s="1972"/>
      <c r="Z6" s="1972"/>
      <c r="AA6" s="1972"/>
      <c r="AB6" s="1972"/>
      <c r="AC6" s="1972"/>
      <c r="AD6" s="1972"/>
      <c r="AE6" s="1972"/>
    </row>
    <row r="7" spans="1:31" ht="18" customHeight="1">
      <c r="A7" s="1960" t="str">
        <f>+'SP1'!$A$6:$F$6</f>
        <v/>
      </c>
      <c r="B7" s="1961"/>
      <c r="C7" s="622"/>
      <c r="D7" s="1962"/>
      <c r="E7" s="1542"/>
      <c r="F7" s="1542"/>
      <c r="G7" s="1542"/>
      <c r="H7" s="1542"/>
      <c r="I7" s="1542"/>
      <c r="J7" s="1542"/>
      <c r="K7" s="1542"/>
      <c r="L7" s="1542"/>
      <c r="M7" s="1542"/>
      <c r="N7" s="1542"/>
      <c r="O7" s="1542"/>
      <c r="P7" s="1800"/>
      <c r="Q7" s="622"/>
      <c r="R7" s="1970" t="str">
        <f>+'SP1'!$U$6</f>
        <v/>
      </c>
      <c r="S7" s="1655"/>
      <c r="T7" s="1655"/>
      <c r="U7" s="1655"/>
      <c r="V7" s="1655"/>
      <c r="W7" s="1655"/>
      <c r="X7" s="1655"/>
      <c r="Y7" s="1655"/>
      <c r="Z7" s="1655"/>
      <c r="AA7" s="1655"/>
      <c r="AB7" s="1655"/>
      <c r="AC7" s="1655"/>
      <c r="AD7" s="1655"/>
      <c r="AE7" s="1054"/>
    </row>
    <row r="8" spans="1:31" ht="15" customHeight="1">
      <c r="A8" s="622"/>
      <c r="B8" s="622"/>
      <c r="C8" s="622"/>
      <c r="D8" s="1963"/>
      <c r="E8" s="1156"/>
      <c r="F8" s="1156"/>
      <c r="G8" s="1156"/>
      <c r="H8" s="1156"/>
      <c r="I8" s="1156"/>
      <c r="J8" s="1156"/>
      <c r="K8" s="1156"/>
      <c r="L8" s="1156"/>
      <c r="M8" s="1156"/>
      <c r="N8" s="1156"/>
      <c r="O8" s="1156"/>
      <c r="P8" s="1964"/>
      <c r="Q8" s="622"/>
      <c r="R8" s="622"/>
      <c r="S8" s="622"/>
      <c r="T8" s="622"/>
      <c r="U8" s="622"/>
      <c r="V8" s="622"/>
      <c r="W8" s="622"/>
      <c r="X8" s="622"/>
      <c r="Y8" s="622"/>
      <c r="Z8" s="622"/>
      <c r="AA8" s="622"/>
      <c r="AB8" s="622"/>
      <c r="AC8" s="622"/>
      <c r="AD8" s="622"/>
      <c r="AE8" s="622"/>
    </row>
    <row r="9" spans="1:31" ht="15" customHeight="1">
      <c r="A9" s="622"/>
      <c r="B9" s="622"/>
      <c r="C9" s="622"/>
      <c r="D9" s="1965"/>
      <c r="E9" s="1966"/>
      <c r="F9" s="1966"/>
      <c r="G9" s="1966"/>
      <c r="H9" s="1966"/>
      <c r="I9" s="1966"/>
      <c r="J9" s="1966"/>
      <c r="K9" s="1966"/>
      <c r="L9" s="1966"/>
      <c r="M9" s="1966"/>
      <c r="N9" s="1966"/>
      <c r="O9" s="1966"/>
      <c r="P9" s="1967"/>
      <c r="Q9" s="622"/>
      <c r="R9" s="622"/>
      <c r="S9" s="622"/>
      <c r="T9" s="622"/>
      <c r="U9" s="622"/>
      <c r="V9" s="622"/>
      <c r="W9" s="622"/>
      <c r="X9" s="622"/>
      <c r="Y9" s="622"/>
      <c r="Z9" s="622"/>
      <c r="AA9" s="622"/>
      <c r="AB9" s="622"/>
      <c r="AC9" s="622"/>
      <c r="AD9" s="622"/>
      <c r="AE9" s="622"/>
    </row>
    <row r="10" spans="1:31" ht="12.75">
      <c r="A10" s="1658"/>
      <c r="B10" s="1247"/>
      <c r="C10" s="1247"/>
      <c r="D10" s="1247"/>
      <c r="E10" s="1247"/>
      <c r="F10" s="1247"/>
      <c r="G10" s="1247"/>
      <c r="H10" s="1247"/>
      <c r="I10" s="1247"/>
      <c r="J10" s="1247"/>
      <c r="K10" s="1247"/>
      <c r="L10" s="1247"/>
      <c r="M10" s="1247"/>
      <c r="N10" s="1247"/>
      <c r="O10" s="1247"/>
      <c r="P10" s="1247"/>
      <c r="Q10" s="1247"/>
      <c r="R10" s="1247"/>
      <c r="S10" s="1247"/>
      <c r="T10" s="1247"/>
      <c r="U10" s="1247"/>
      <c r="V10" s="1247"/>
      <c r="W10" s="1247"/>
      <c r="X10" s="1247"/>
      <c r="Y10" s="1247"/>
      <c r="Z10" s="1247"/>
      <c r="AA10" s="1247"/>
      <c r="AB10" s="1247"/>
      <c r="AC10" s="1247"/>
      <c r="AD10" s="1247"/>
      <c r="AE10" s="1247"/>
    </row>
    <row r="11" spans="1:71" s="447" customFormat="1" ht="18" customHeight="1">
      <c r="A11" s="1973" t="s">
        <v>3827</v>
      </c>
      <c r="B11" s="1974"/>
      <c r="C11" s="1974"/>
      <c r="D11" s="1974"/>
      <c r="E11" s="1974"/>
      <c r="F11" s="1974"/>
      <c r="G11" s="1974"/>
      <c r="H11" s="1974"/>
      <c r="I11" s="1974"/>
      <c r="J11" s="1974"/>
      <c r="K11" s="1974"/>
      <c r="L11" s="1974"/>
      <c r="M11" s="1974"/>
      <c r="N11" s="1974"/>
      <c r="O11" s="1974"/>
      <c r="P11" s="1974"/>
      <c r="Q11" s="1974"/>
      <c r="R11" s="1974"/>
      <c r="S11" s="1974"/>
      <c r="T11" s="1974"/>
      <c r="U11" s="1974"/>
      <c r="V11" s="1974"/>
      <c r="W11" s="1974"/>
      <c r="X11" s="1974"/>
      <c r="Y11" s="1974"/>
      <c r="Z11" s="1974"/>
      <c r="AA11" s="1974"/>
      <c r="AB11" s="1974"/>
      <c r="AC11" s="1974"/>
      <c r="AD11" s="1974"/>
      <c r="AE11" s="1975"/>
      <c r="AF11" s="659"/>
      <c r="AG11" s="659"/>
      <c r="AH11" s="659"/>
      <c r="AI11" s="659"/>
      <c r="AJ11" s="659"/>
      <c r="AK11" s="659"/>
      <c r="AL11" s="659"/>
      <c r="AM11" s="659"/>
      <c r="AN11" s="659"/>
      <c r="AO11" s="659"/>
      <c r="AP11" s="659"/>
      <c r="AQ11" s="659"/>
      <c r="AR11" s="659"/>
      <c r="AS11" s="659"/>
      <c r="AT11" s="659"/>
      <c r="AU11" s="659"/>
      <c r="AV11" s="659"/>
      <c r="AW11" s="659"/>
      <c r="AX11" s="659"/>
      <c r="AY11" s="659"/>
      <c r="AZ11" s="659"/>
      <c r="BA11" s="659"/>
      <c r="BB11" s="659"/>
      <c r="BC11" s="659"/>
      <c r="BD11" s="659"/>
      <c r="BE11" s="659"/>
      <c r="BF11" s="659"/>
      <c r="BG11" s="659"/>
      <c r="BH11" s="659"/>
      <c r="BI11" s="659"/>
      <c r="BJ11" s="659"/>
      <c r="BK11" s="659"/>
      <c r="BL11" s="659"/>
      <c r="BM11" s="659"/>
      <c r="BN11" s="659"/>
      <c r="BO11" s="659"/>
      <c r="BP11" s="659"/>
      <c r="BQ11" s="659"/>
      <c r="BR11" s="659"/>
      <c r="BS11" s="659"/>
    </row>
    <row r="12" spans="1:31" ht="12.75">
      <c r="A12" s="645"/>
      <c r="B12" s="646" t="s">
        <v>128</v>
      </c>
      <c r="C12" s="646"/>
      <c r="D12" s="1981" t="s">
        <v>127</v>
      </c>
      <c r="E12" s="1982"/>
      <c r="F12" s="1982"/>
      <c r="G12" s="1982"/>
      <c r="H12" s="1982"/>
      <c r="I12" s="1982"/>
      <c r="J12" s="646"/>
      <c r="K12" s="1981" t="s">
        <v>148</v>
      </c>
      <c r="L12" s="1982"/>
      <c r="M12" s="1982"/>
      <c r="N12" s="1982"/>
      <c r="O12" s="1982"/>
      <c r="P12" s="1982"/>
      <c r="Q12" s="646"/>
      <c r="R12" s="1981" t="s">
        <v>333</v>
      </c>
      <c r="S12" s="1982"/>
      <c r="T12" s="1982"/>
      <c r="U12" s="1982"/>
      <c r="V12" s="1982"/>
      <c r="W12" s="1982"/>
      <c r="X12" s="646"/>
      <c r="Y12" s="1981" t="s">
        <v>185</v>
      </c>
      <c r="Z12" s="1982"/>
      <c r="AA12" s="1982"/>
      <c r="AB12" s="1982"/>
      <c r="AC12" s="1982"/>
      <c r="AD12" s="1982"/>
      <c r="AE12" s="647"/>
    </row>
    <row r="13" spans="1:31" ht="18" customHeight="1">
      <c r="A13" s="645"/>
      <c r="B13" s="661" t="str">
        <f>+CONCATENATE('SP1'!$A$10)</f>
        <v>0</v>
      </c>
      <c r="C13" s="630"/>
      <c r="D13" s="1978" t="str">
        <f>+CONCATENATE('SP1'!$H$10)</f>
        <v>0</v>
      </c>
      <c r="E13" s="1979"/>
      <c r="F13" s="1979"/>
      <c r="G13" s="1979"/>
      <c r="H13" s="1979"/>
      <c r="I13" s="1980"/>
      <c r="J13" s="648"/>
      <c r="K13" s="1983" t="str">
        <f>+CONCATENATE('SP1'!$O$10)</f>
        <v/>
      </c>
      <c r="L13" s="1632"/>
      <c r="M13" s="1632"/>
      <c r="N13" s="1632"/>
      <c r="O13" s="1632"/>
      <c r="P13" s="1633"/>
      <c r="Q13" s="648"/>
      <c r="R13" s="1984">
        <f>+'SP1'!$U$10</f>
        <v>0</v>
      </c>
      <c r="S13" s="1985"/>
      <c r="T13" s="1985"/>
      <c r="U13" s="1985"/>
      <c r="V13" s="1985"/>
      <c r="W13" s="1986"/>
      <c r="X13" s="648"/>
      <c r="Y13" s="1987" t="str">
        <f>+'SP1'!$AA$10</f>
        <v/>
      </c>
      <c r="Z13" s="1988"/>
      <c r="AA13" s="1988"/>
      <c r="AB13" s="1988"/>
      <c r="AC13" s="1988"/>
      <c r="AD13" s="1989"/>
      <c r="AE13" s="649"/>
    </row>
    <row r="14" spans="1:31" ht="5.1" customHeight="1">
      <c r="A14" s="650"/>
      <c r="B14" s="651"/>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2"/>
    </row>
    <row r="15" spans="1:31" ht="18" customHeight="1">
      <c r="A15" s="1973" t="s">
        <v>3837</v>
      </c>
      <c r="B15" s="1974"/>
      <c r="C15" s="1974"/>
      <c r="D15" s="1974"/>
      <c r="E15" s="1974"/>
      <c r="F15" s="1974"/>
      <c r="G15" s="1974"/>
      <c r="H15" s="1974"/>
      <c r="I15" s="1974"/>
      <c r="J15" s="1974"/>
      <c r="K15" s="1974"/>
      <c r="L15" s="1974"/>
      <c r="M15" s="1974"/>
      <c r="N15" s="1974"/>
      <c r="O15" s="1974"/>
      <c r="P15" s="1974"/>
      <c r="Q15" s="1974"/>
      <c r="R15" s="1974"/>
      <c r="S15" s="1974"/>
      <c r="T15" s="1974"/>
      <c r="U15" s="1974"/>
      <c r="V15" s="1974"/>
      <c r="W15" s="1974"/>
      <c r="X15" s="1974"/>
      <c r="Y15" s="1974"/>
      <c r="Z15" s="1974"/>
      <c r="AA15" s="1974"/>
      <c r="AB15" s="1974"/>
      <c r="AC15" s="1974"/>
      <c r="AD15" s="1974"/>
      <c r="AE15" s="1975"/>
    </row>
    <row r="16" spans="1:31" s="658" customFormat="1" ht="12.75">
      <c r="A16" s="645"/>
      <c r="B16" s="1990" t="s">
        <v>3838</v>
      </c>
      <c r="C16" s="1156"/>
      <c r="D16" s="1156"/>
      <c r="E16" s="1156"/>
      <c r="F16" s="1156"/>
      <c r="G16" s="1156"/>
      <c r="H16" s="1156"/>
      <c r="I16" s="1156"/>
      <c r="J16" s="1156"/>
      <c r="K16" s="1156"/>
      <c r="L16" s="1156"/>
      <c r="M16" s="1156"/>
      <c r="N16" s="1156"/>
      <c r="O16" s="1156"/>
      <c r="P16" s="1156"/>
      <c r="Q16" s="1156"/>
      <c r="R16" s="1156"/>
      <c r="S16" s="1156"/>
      <c r="T16" s="1156"/>
      <c r="U16" s="1156"/>
      <c r="V16" s="1156"/>
      <c r="W16" s="1156"/>
      <c r="X16" s="1156"/>
      <c r="Y16" s="1156"/>
      <c r="Z16" s="1156"/>
      <c r="AA16" s="1156"/>
      <c r="AB16" s="1156"/>
      <c r="AC16" s="1156"/>
      <c r="AD16" s="1156"/>
      <c r="AE16" s="649"/>
    </row>
    <row r="17" spans="1:31" s="658" customFormat="1" ht="18" customHeight="1">
      <c r="A17" s="645"/>
      <c r="B17" s="1983"/>
      <c r="C17" s="1632"/>
      <c r="D17" s="1632"/>
      <c r="E17" s="1632"/>
      <c r="F17" s="1632"/>
      <c r="G17" s="1632"/>
      <c r="H17" s="1632"/>
      <c r="I17" s="1632"/>
      <c r="J17" s="1632"/>
      <c r="K17" s="1632"/>
      <c r="L17" s="1632"/>
      <c r="M17" s="1632"/>
      <c r="N17" s="1632"/>
      <c r="O17" s="1632"/>
      <c r="P17" s="1632"/>
      <c r="Q17" s="1632"/>
      <c r="R17" s="1632"/>
      <c r="S17" s="1632"/>
      <c r="T17" s="1632"/>
      <c r="U17" s="1632"/>
      <c r="V17" s="1632"/>
      <c r="W17" s="1632"/>
      <c r="X17" s="1632"/>
      <c r="Y17" s="1632"/>
      <c r="Z17" s="1632"/>
      <c r="AA17" s="1632"/>
      <c r="AB17" s="1632"/>
      <c r="AC17" s="1632"/>
      <c r="AD17" s="1633"/>
      <c r="AE17" s="649"/>
    </row>
    <row r="18" spans="1:31" s="658" customFormat="1" ht="5.1" customHeight="1">
      <c r="A18" s="645"/>
      <c r="B18" s="1990"/>
      <c r="C18" s="1156"/>
      <c r="D18" s="1156"/>
      <c r="E18" s="1156"/>
      <c r="F18" s="1156"/>
      <c r="G18" s="1156"/>
      <c r="H18" s="1156"/>
      <c r="I18" s="1156"/>
      <c r="J18" s="1156"/>
      <c r="K18" s="1156"/>
      <c r="L18" s="1156"/>
      <c r="M18" s="1156"/>
      <c r="N18" s="1156"/>
      <c r="O18" s="1156"/>
      <c r="P18" s="1156"/>
      <c r="Q18" s="1156"/>
      <c r="R18" s="1156"/>
      <c r="S18" s="1156"/>
      <c r="T18" s="1156"/>
      <c r="U18" s="1156"/>
      <c r="V18" s="1156"/>
      <c r="W18" s="1156"/>
      <c r="X18" s="1156"/>
      <c r="Y18" s="1156"/>
      <c r="Z18" s="1156"/>
      <c r="AA18" s="1156"/>
      <c r="AB18" s="1156"/>
      <c r="AC18" s="1156"/>
      <c r="AD18" s="1156"/>
      <c r="AE18" s="649"/>
    </row>
    <row r="19" spans="1:31" s="658" customFormat="1" ht="18" customHeight="1">
      <c r="A19" s="722"/>
      <c r="B19" s="721" t="s">
        <v>3839</v>
      </c>
      <c r="C19" s="719"/>
      <c r="D19" s="2008">
        <f>+'DAP1'!F24</f>
        <v>2017</v>
      </c>
      <c r="E19" s="2017"/>
      <c r="F19" s="2018" t="s">
        <v>3955</v>
      </c>
      <c r="G19" s="1177"/>
      <c r="H19" s="1177"/>
      <c r="I19" s="1177"/>
      <c r="J19" s="1177"/>
      <c r="K19" s="1177"/>
      <c r="L19" s="1247"/>
      <c r="M19" s="1964"/>
      <c r="N19" s="2012"/>
      <c r="O19" s="2013"/>
      <c r="P19" s="1616"/>
      <c r="Q19" s="1617"/>
      <c r="R19" s="2019" t="s">
        <v>3840</v>
      </c>
      <c r="S19" s="1247"/>
      <c r="T19" s="1247"/>
      <c r="U19" s="1247"/>
      <c r="V19" s="1247"/>
      <c r="W19" s="1247"/>
      <c r="X19" s="1247"/>
      <c r="Y19" s="1247"/>
      <c r="Z19" s="1247"/>
      <c r="AA19" s="1247"/>
      <c r="AB19" s="1247"/>
      <c r="AC19" s="1247"/>
      <c r="AD19" s="1247"/>
      <c r="AE19" s="1964"/>
    </row>
    <row r="20" spans="1:31" s="658" customFormat="1" ht="5.1" customHeight="1">
      <c r="A20" s="722"/>
      <c r="B20" s="1990"/>
      <c r="C20" s="1156"/>
      <c r="D20" s="1156"/>
      <c r="E20" s="1156"/>
      <c r="F20" s="1156"/>
      <c r="G20" s="1156"/>
      <c r="H20" s="1156"/>
      <c r="I20" s="1156"/>
      <c r="J20" s="1156"/>
      <c r="K20" s="1156"/>
      <c r="L20" s="1156"/>
      <c r="M20" s="1156"/>
      <c r="N20" s="1156"/>
      <c r="O20" s="1156"/>
      <c r="P20" s="1156"/>
      <c r="Q20" s="1156"/>
      <c r="R20" s="1156"/>
      <c r="S20" s="1156"/>
      <c r="T20" s="1156"/>
      <c r="U20" s="1156"/>
      <c r="V20" s="1156"/>
      <c r="W20" s="1156"/>
      <c r="X20" s="1156"/>
      <c r="Y20" s="1156"/>
      <c r="Z20" s="1156"/>
      <c r="AA20" s="1156"/>
      <c r="AB20" s="1156"/>
      <c r="AC20" s="1156"/>
      <c r="AD20" s="1156"/>
      <c r="AE20" s="1964"/>
    </row>
    <row r="21" spans="1:31" s="658" customFormat="1" ht="18" customHeight="1">
      <c r="A21" s="722"/>
      <c r="B21" s="1997"/>
      <c r="C21" s="1156"/>
      <c r="D21" s="1156"/>
      <c r="E21" s="1156"/>
      <c r="F21" s="2014" t="s">
        <v>3956</v>
      </c>
      <c r="G21" s="1177"/>
      <c r="H21" s="1177"/>
      <c r="I21" s="1177"/>
      <c r="J21" s="1177"/>
      <c r="K21" s="1177"/>
      <c r="L21" s="1247"/>
      <c r="M21" s="1964"/>
      <c r="N21" s="2012"/>
      <c r="O21" s="2013"/>
      <c r="P21" s="1616"/>
      <c r="Q21" s="1617"/>
      <c r="R21" s="2014" t="s">
        <v>3957</v>
      </c>
      <c r="S21" s="1177"/>
      <c r="T21" s="1177"/>
      <c r="U21" s="1177"/>
      <c r="V21" s="1177"/>
      <c r="W21" s="1177"/>
      <c r="X21" s="1247"/>
      <c r="Y21" s="1964"/>
      <c r="Z21" s="2012"/>
      <c r="AA21" s="2013"/>
      <c r="AB21" s="1616"/>
      <c r="AC21" s="1617"/>
      <c r="AD21" s="1963"/>
      <c r="AE21" s="1964"/>
    </row>
    <row r="22" spans="1:31" s="658" customFormat="1" ht="4.5" customHeight="1">
      <c r="A22" s="720"/>
      <c r="B22" s="651"/>
      <c r="C22" s="651"/>
      <c r="D22" s="651"/>
      <c r="E22" s="651"/>
      <c r="F22" s="651"/>
      <c r="G22" s="651"/>
      <c r="H22" s="651"/>
      <c r="I22" s="651"/>
      <c r="J22" s="651"/>
      <c r="K22" s="651"/>
      <c r="L22" s="651"/>
      <c r="M22" s="651"/>
      <c r="N22" s="651"/>
      <c r="O22" s="651"/>
      <c r="P22" s="651"/>
      <c r="Q22" s="651"/>
      <c r="R22" s="651"/>
      <c r="S22" s="651"/>
      <c r="T22" s="651"/>
      <c r="U22" s="651"/>
      <c r="V22" s="651"/>
      <c r="W22" s="651"/>
      <c r="X22" s="651"/>
      <c r="Y22" s="651"/>
      <c r="Z22" s="651"/>
      <c r="AA22" s="651"/>
      <c r="AB22" s="651"/>
      <c r="AC22" s="651"/>
      <c r="AD22" s="651"/>
      <c r="AE22" s="652"/>
    </row>
    <row r="23" spans="1:31" s="658" customFormat="1" ht="18" customHeight="1">
      <c r="A23" s="1973" t="s">
        <v>3833</v>
      </c>
      <c r="B23" s="1974"/>
      <c r="C23" s="1974"/>
      <c r="D23" s="1974"/>
      <c r="E23" s="1974"/>
      <c r="F23" s="1974"/>
      <c r="G23" s="1974"/>
      <c r="H23" s="1974"/>
      <c r="I23" s="1974"/>
      <c r="J23" s="1974"/>
      <c r="K23" s="1974"/>
      <c r="L23" s="1974"/>
      <c r="M23" s="1974"/>
      <c r="N23" s="1974"/>
      <c r="O23" s="1974"/>
      <c r="P23" s="1974"/>
      <c r="Q23" s="1974"/>
      <c r="R23" s="1974"/>
      <c r="S23" s="1974"/>
      <c r="T23" s="1974"/>
      <c r="U23" s="1974"/>
      <c r="V23" s="1974"/>
      <c r="W23" s="1974"/>
      <c r="X23" s="1974"/>
      <c r="Y23" s="1974"/>
      <c r="Z23" s="1974"/>
      <c r="AA23" s="1974"/>
      <c r="AB23" s="1974"/>
      <c r="AC23" s="1974"/>
      <c r="AD23" s="1974"/>
      <c r="AE23" s="1975"/>
    </row>
    <row r="24" spans="1:31" s="658" customFormat="1" ht="60" customHeight="1">
      <c r="A24" s="2007"/>
      <c r="B24" s="1156"/>
      <c r="C24" s="1156"/>
      <c r="D24" s="1156"/>
      <c r="E24" s="1156"/>
      <c r="F24" s="1156"/>
      <c r="G24" s="1156"/>
      <c r="H24" s="1156"/>
      <c r="I24" s="1156"/>
      <c r="J24" s="1156"/>
      <c r="K24" s="1156"/>
      <c r="L24" s="1156"/>
      <c r="M24" s="1156"/>
      <c r="N24" s="1156"/>
      <c r="O24" s="1156"/>
      <c r="P24" s="1156"/>
      <c r="Q24" s="1156"/>
      <c r="R24" s="1156"/>
      <c r="S24" s="1156"/>
      <c r="T24" s="2002"/>
      <c r="U24" s="2003"/>
      <c r="V24" s="2003"/>
      <c r="W24" s="2003"/>
      <c r="X24" s="2003"/>
      <c r="Y24" s="2003"/>
      <c r="Z24" s="2003"/>
      <c r="AA24" s="2003"/>
      <c r="AB24" s="2003"/>
      <c r="AC24" s="2003"/>
      <c r="AD24" s="2003"/>
      <c r="AE24" s="649"/>
    </row>
    <row r="25" spans="1:31" s="658" customFormat="1" ht="18" customHeight="1">
      <c r="A25" s="645"/>
      <c r="B25" s="654" t="s">
        <v>438</v>
      </c>
      <c r="C25" s="1999">
        <f ca="1">+TODAY()</f>
        <v>43231</v>
      </c>
      <c r="D25" s="2000"/>
      <c r="E25" s="2000"/>
      <c r="F25" s="2000"/>
      <c r="G25" s="2001"/>
      <c r="H25" s="1156"/>
      <c r="I25" s="1156"/>
      <c r="J25" s="1156"/>
      <c r="K25" s="1156"/>
      <c r="L25" s="1156"/>
      <c r="M25" s="1156"/>
      <c r="N25" s="1156"/>
      <c r="O25" s="1156"/>
      <c r="P25" s="1156"/>
      <c r="Q25" s="1156"/>
      <c r="R25" s="1156"/>
      <c r="S25" s="1156"/>
      <c r="T25" s="2004"/>
      <c r="U25" s="2004"/>
      <c r="V25" s="2004"/>
      <c r="W25" s="2004"/>
      <c r="X25" s="2004"/>
      <c r="Y25" s="2004"/>
      <c r="Z25" s="2004"/>
      <c r="AA25" s="2004"/>
      <c r="AB25" s="2004"/>
      <c r="AC25" s="2004"/>
      <c r="AD25" s="2004"/>
      <c r="AE25" s="649"/>
    </row>
    <row r="26" spans="1:31" s="658" customFormat="1" ht="12.75">
      <c r="A26" s="645"/>
      <c r="B26" s="648"/>
      <c r="C26" s="648"/>
      <c r="D26" s="648"/>
      <c r="E26" s="648"/>
      <c r="F26" s="648"/>
      <c r="G26" s="648"/>
      <c r="H26" s="648"/>
      <c r="I26" s="648"/>
      <c r="J26" s="648"/>
      <c r="K26" s="648"/>
      <c r="L26" s="648"/>
      <c r="M26" s="648"/>
      <c r="N26" s="648"/>
      <c r="O26" s="648"/>
      <c r="P26" s="648"/>
      <c r="Q26" s="648"/>
      <c r="R26" s="648"/>
      <c r="S26" s="648"/>
      <c r="T26" s="2005" t="s">
        <v>440</v>
      </c>
      <c r="U26" s="2006"/>
      <c r="V26" s="2006"/>
      <c r="W26" s="2006"/>
      <c r="X26" s="2006"/>
      <c r="Y26" s="2006"/>
      <c r="Z26" s="2006"/>
      <c r="AA26" s="2006"/>
      <c r="AB26" s="2006"/>
      <c r="AC26" s="2006"/>
      <c r="AD26" s="2006"/>
      <c r="AE26" s="649"/>
    </row>
    <row r="27" spans="1:31" s="658" customFormat="1" ht="5.1" customHeight="1">
      <c r="A27" s="650"/>
      <c r="B27" s="651"/>
      <c r="C27" s="651"/>
      <c r="D27" s="651"/>
      <c r="E27" s="651"/>
      <c r="F27" s="651"/>
      <c r="G27" s="651"/>
      <c r="H27" s="651"/>
      <c r="I27" s="651"/>
      <c r="J27" s="651"/>
      <c r="K27" s="651"/>
      <c r="L27" s="651"/>
      <c r="M27" s="651"/>
      <c r="N27" s="651"/>
      <c r="O27" s="651"/>
      <c r="P27" s="651"/>
      <c r="Q27" s="651"/>
      <c r="R27" s="651"/>
      <c r="S27" s="651"/>
      <c r="T27" s="651"/>
      <c r="U27" s="651"/>
      <c r="V27" s="651"/>
      <c r="W27" s="651"/>
      <c r="X27" s="651"/>
      <c r="Y27" s="651"/>
      <c r="Z27" s="651"/>
      <c r="AA27" s="651"/>
      <c r="AB27" s="651"/>
      <c r="AC27" s="651"/>
      <c r="AD27" s="651"/>
      <c r="AE27" s="652"/>
    </row>
    <row r="28" spans="1:31" s="658" customFormat="1" ht="28.5" customHeight="1">
      <c r="A28" s="656"/>
      <c r="B28" s="1991" t="s">
        <v>3834</v>
      </c>
      <c r="C28" s="1992"/>
      <c r="D28" s="1992"/>
      <c r="E28" s="1992"/>
      <c r="F28" s="1992"/>
      <c r="G28" s="1992"/>
      <c r="H28" s="1992"/>
      <c r="I28" s="1992"/>
      <c r="J28" s="1992"/>
      <c r="K28" s="1992"/>
      <c r="L28" s="1992"/>
      <c r="M28" s="1992"/>
      <c r="N28" s="1992"/>
      <c r="O28" s="1992"/>
      <c r="P28" s="1992"/>
      <c r="Q28" s="1992"/>
      <c r="R28" s="1992"/>
      <c r="S28" s="1992"/>
      <c r="T28" s="1992"/>
      <c r="U28" s="1992"/>
      <c r="V28" s="1992"/>
      <c r="W28" s="1992"/>
      <c r="X28" s="1992"/>
      <c r="Y28" s="1992"/>
      <c r="Z28" s="1992"/>
      <c r="AA28" s="1992"/>
      <c r="AB28" s="1992"/>
      <c r="AC28" s="1992"/>
      <c r="AD28" s="1992"/>
      <c r="AE28" s="657"/>
    </row>
    <row r="29" spans="1:31" s="658" customFormat="1" ht="12.75">
      <c r="A29" s="1993"/>
      <c r="B29" s="1966"/>
      <c r="C29" s="1966"/>
      <c r="D29" s="1966"/>
      <c r="E29" s="1966"/>
      <c r="F29" s="1966"/>
      <c r="G29" s="1966"/>
      <c r="H29" s="1966"/>
      <c r="I29" s="1966"/>
      <c r="J29" s="1966"/>
      <c r="K29" s="1966"/>
      <c r="L29" s="1966"/>
      <c r="M29" s="1966"/>
      <c r="N29" s="1966"/>
      <c r="O29" s="1966"/>
      <c r="P29" s="1966"/>
      <c r="Q29" s="1966"/>
      <c r="R29" s="1966"/>
      <c r="S29" s="1966"/>
      <c r="T29" s="1966"/>
      <c r="U29" s="1966"/>
      <c r="V29" s="1966"/>
      <c r="W29" s="1966"/>
      <c r="X29" s="1966"/>
      <c r="Y29" s="1966"/>
      <c r="Z29" s="1966"/>
      <c r="AA29" s="1994" t="s">
        <v>3841</v>
      </c>
      <c r="AB29" s="1995"/>
      <c r="AC29" s="1995"/>
      <c r="AD29" s="1995"/>
      <c r="AE29" s="1996"/>
    </row>
    <row r="30" spans="1:31" s="658" customFormat="1" ht="12.75">
      <c r="A30" s="660"/>
      <c r="B30" s="660"/>
      <c r="C30" s="660"/>
      <c r="D30" s="660"/>
      <c r="E30" s="660"/>
      <c r="F30" s="660"/>
      <c r="G30" s="660"/>
      <c r="H30" s="660"/>
      <c r="I30" s="660"/>
      <c r="J30" s="660"/>
      <c r="K30" s="660"/>
      <c r="L30" s="660"/>
      <c r="M30" s="660"/>
      <c r="N30" s="660"/>
      <c r="O30" s="660"/>
      <c r="P30" s="660"/>
      <c r="Q30" s="660"/>
      <c r="R30" s="660"/>
      <c r="S30" s="660"/>
      <c r="T30" s="660"/>
      <c r="U30" s="660"/>
      <c r="V30" s="660"/>
      <c r="W30" s="660"/>
      <c r="X30" s="660"/>
      <c r="Y30" s="660"/>
      <c r="Z30" s="660"/>
      <c r="AA30" s="660"/>
      <c r="AB30" s="660"/>
      <c r="AC30" s="660"/>
      <c r="AD30" s="660"/>
      <c r="AE30" s="660"/>
    </row>
    <row r="31" spans="1:31" s="658" customFormat="1" ht="12.75">
      <c r="A31" s="660"/>
      <c r="B31" s="660"/>
      <c r="C31" s="660"/>
      <c r="D31" s="660"/>
      <c r="E31" s="660"/>
      <c r="F31" s="660"/>
      <c r="G31" s="660"/>
      <c r="H31" s="660"/>
      <c r="I31" s="660"/>
      <c r="J31" s="660"/>
      <c r="K31" s="660"/>
      <c r="L31" s="660"/>
      <c r="M31" s="660"/>
      <c r="N31" s="660"/>
      <c r="O31" s="660"/>
      <c r="P31" s="660"/>
      <c r="Q31" s="660"/>
      <c r="R31" s="660"/>
      <c r="S31" s="660"/>
      <c r="T31" s="660"/>
      <c r="U31" s="660"/>
      <c r="V31" s="660"/>
      <c r="W31" s="660"/>
      <c r="X31" s="660"/>
      <c r="Y31" s="660"/>
      <c r="Z31" s="660"/>
      <c r="AA31" s="660"/>
      <c r="AB31" s="660"/>
      <c r="AC31" s="660"/>
      <c r="AD31" s="660"/>
      <c r="AE31" s="660"/>
    </row>
    <row r="32" spans="1:31" s="658" customFormat="1" ht="12.75">
      <c r="A32" s="660"/>
      <c r="B32" s="660"/>
      <c r="C32" s="660"/>
      <c r="D32" s="660"/>
      <c r="E32" s="660"/>
      <c r="F32" s="660"/>
      <c r="G32" s="660"/>
      <c r="H32" s="660"/>
      <c r="I32" s="660"/>
      <c r="J32" s="660"/>
      <c r="K32" s="660"/>
      <c r="L32" s="660"/>
      <c r="M32" s="660"/>
      <c r="N32" s="660"/>
      <c r="O32" s="660"/>
      <c r="P32" s="660"/>
      <c r="Q32" s="660"/>
      <c r="R32" s="660"/>
      <c r="S32" s="660"/>
      <c r="T32" s="660"/>
      <c r="U32" s="660"/>
      <c r="V32" s="660"/>
      <c r="W32" s="660"/>
      <c r="X32" s="660"/>
      <c r="Y32" s="660"/>
      <c r="Z32" s="660"/>
      <c r="AA32" s="660"/>
      <c r="AB32" s="660"/>
      <c r="AC32" s="660"/>
      <c r="AD32" s="660"/>
      <c r="AE32" s="660"/>
    </row>
    <row r="33" spans="1:31" s="658" customFormat="1" ht="12.75">
      <c r="A33" s="660"/>
      <c r="B33" s="660"/>
      <c r="C33" s="660"/>
      <c r="D33" s="660"/>
      <c r="E33" s="660"/>
      <c r="F33" s="660"/>
      <c r="G33" s="660"/>
      <c r="H33" s="660"/>
      <c r="I33" s="660"/>
      <c r="J33" s="660"/>
      <c r="K33" s="660"/>
      <c r="L33" s="660"/>
      <c r="M33" s="660"/>
      <c r="N33" s="660"/>
      <c r="O33" s="660"/>
      <c r="P33" s="660"/>
      <c r="Q33" s="660"/>
      <c r="R33" s="660"/>
      <c r="S33" s="660"/>
      <c r="T33" s="660"/>
      <c r="U33" s="660"/>
      <c r="V33" s="660"/>
      <c r="W33" s="660"/>
      <c r="X33" s="660"/>
      <c r="Y33" s="660"/>
      <c r="Z33" s="660"/>
      <c r="AA33" s="660"/>
      <c r="AB33" s="660"/>
      <c r="AC33" s="660"/>
      <c r="AD33" s="660"/>
      <c r="AE33" s="660"/>
    </row>
    <row r="34" spans="1:31" s="658" customFormat="1" ht="12.75">
      <c r="A34" s="660"/>
      <c r="B34" s="660"/>
      <c r="C34" s="660"/>
      <c r="D34" s="660"/>
      <c r="E34" s="660"/>
      <c r="F34" s="660"/>
      <c r="G34" s="660"/>
      <c r="H34" s="660"/>
      <c r="I34" s="660"/>
      <c r="J34" s="660"/>
      <c r="K34" s="660"/>
      <c r="L34" s="660"/>
      <c r="M34" s="660"/>
      <c r="N34" s="660"/>
      <c r="O34" s="660"/>
      <c r="P34" s="660"/>
      <c r="Q34" s="660"/>
      <c r="R34" s="660"/>
      <c r="S34" s="660"/>
      <c r="T34" s="660"/>
      <c r="U34" s="660"/>
      <c r="V34" s="660"/>
      <c r="W34" s="660"/>
      <c r="X34" s="660"/>
      <c r="Y34" s="660"/>
      <c r="Z34" s="660"/>
      <c r="AA34" s="660"/>
      <c r="AB34" s="660"/>
      <c r="AC34" s="660"/>
      <c r="AD34" s="660"/>
      <c r="AE34" s="660"/>
    </row>
    <row r="35" spans="1:31" s="658" customFormat="1" ht="12.75">
      <c r="A35" s="660"/>
      <c r="B35" s="660"/>
      <c r="C35" s="660"/>
      <c r="D35" s="660"/>
      <c r="E35" s="660"/>
      <c r="F35" s="660"/>
      <c r="G35" s="660"/>
      <c r="H35" s="660"/>
      <c r="I35" s="660"/>
      <c r="J35" s="660"/>
      <c r="K35" s="660"/>
      <c r="L35" s="660"/>
      <c r="M35" s="660"/>
      <c r="N35" s="660"/>
      <c r="O35" s="660"/>
      <c r="P35" s="660"/>
      <c r="Q35" s="660"/>
      <c r="R35" s="660"/>
      <c r="S35" s="660"/>
      <c r="T35" s="660"/>
      <c r="U35" s="660"/>
      <c r="V35" s="660"/>
      <c r="W35" s="660"/>
      <c r="X35" s="660"/>
      <c r="Y35" s="660"/>
      <c r="Z35" s="660"/>
      <c r="AA35" s="660"/>
      <c r="AB35" s="660"/>
      <c r="AC35" s="660"/>
      <c r="AD35" s="660"/>
      <c r="AE35" s="660"/>
    </row>
    <row r="36" spans="1:31" s="658" customFormat="1" ht="12.75">
      <c r="A36" s="660"/>
      <c r="B36" s="660"/>
      <c r="C36" s="660"/>
      <c r="D36" s="660"/>
      <c r="E36" s="660"/>
      <c r="F36" s="660"/>
      <c r="G36" s="660"/>
      <c r="H36" s="660"/>
      <c r="I36" s="660"/>
      <c r="J36" s="660"/>
      <c r="K36" s="660"/>
      <c r="L36" s="660"/>
      <c r="M36" s="660"/>
      <c r="N36" s="660"/>
      <c r="O36" s="660"/>
      <c r="P36" s="660"/>
      <c r="Q36" s="660"/>
      <c r="R36" s="660"/>
      <c r="S36" s="660"/>
      <c r="T36" s="660"/>
      <c r="U36" s="660"/>
      <c r="V36" s="660"/>
      <c r="W36" s="660"/>
      <c r="X36" s="660"/>
      <c r="Y36" s="660"/>
      <c r="Z36" s="660"/>
      <c r="AA36" s="660"/>
      <c r="AB36" s="660"/>
      <c r="AC36" s="660"/>
      <c r="AD36" s="660"/>
      <c r="AE36" s="660"/>
    </row>
    <row r="37" spans="1:31" s="658" customFormat="1" ht="12.75">
      <c r="A37" s="660"/>
      <c r="B37" s="660"/>
      <c r="C37" s="660"/>
      <c r="D37" s="660"/>
      <c r="E37" s="660"/>
      <c r="F37" s="660"/>
      <c r="G37" s="660"/>
      <c r="H37" s="660"/>
      <c r="I37" s="660"/>
      <c r="J37" s="660"/>
      <c r="K37" s="660"/>
      <c r="L37" s="660"/>
      <c r="M37" s="660"/>
      <c r="N37" s="660"/>
      <c r="O37" s="660"/>
      <c r="P37" s="660"/>
      <c r="Q37" s="660"/>
      <c r="R37" s="660"/>
      <c r="S37" s="660"/>
      <c r="T37" s="660"/>
      <c r="U37" s="660"/>
      <c r="V37" s="660"/>
      <c r="W37" s="660"/>
      <c r="X37" s="660"/>
      <c r="Y37" s="660"/>
      <c r="Z37" s="660"/>
      <c r="AA37" s="660"/>
      <c r="AB37" s="660"/>
      <c r="AC37" s="660"/>
      <c r="AD37" s="660"/>
      <c r="AE37" s="660"/>
    </row>
    <row r="38" spans="1:31" s="658" customFormat="1" ht="12.75">
      <c r="A38" s="660"/>
      <c r="B38" s="660"/>
      <c r="C38" s="660"/>
      <c r="D38" s="660"/>
      <c r="E38" s="660"/>
      <c r="F38" s="660"/>
      <c r="G38" s="660"/>
      <c r="H38" s="660"/>
      <c r="I38" s="660"/>
      <c r="J38" s="660"/>
      <c r="K38" s="660"/>
      <c r="L38" s="660"/>
      <c r="M38" s="660"/>
      <c r="N38" s="660"/>
      <c r="O38" s="660"/>
      <c r="P38" s="660"/>
      <c r="Q38" s="660"/>
      <c r="R38" s="660"/>
      <c r="S38" s="660"/>
      <c r="T38" s="660"/>
      <c r="U38" s="660"/>
      <c r="V38" s="660"/>
      <c r="W38" s="660"/>
      <c r="X38" s="660"/>
      <c r="Y38" s="660"/>
      <c r="Z38" s="660"/>
      <c r="AA38" s="660"/>
      <c r="AB38" s="660"/>
      <c r="AC38" s="660"/>
      <c r="AD38" s="660"/>
      <c r="AE38" s="660"/>
    </row>
    <row r="39" spans="1:31" s="658" customFormat="1" ht="12.75">
      <c r="A39" s="660"/>
      <c r="B39" s="660"/>
      <c r="C39" s="660"/>
      <c r="D39" s="660"/>
      <c r="E39" s="660"/>
      <c r="F39" s="660"/>
      <c r="G39" s="660"/>
      <c r="H39" s="660"/>
      <c r="I39" s="660"/>
      <c r="J39" s="660"/>
      <c r="K39" s="660"/>
      <c r="L39" s="660"/>
      <c r="M39" s="660"/>
      <c r="N39" s="660"/>
      <c r="O39" s="660"/>
      <c r="P39" s="660"/>
      <c r="Q39" s="660"/>
      <c r="R39" s="660"/>
      <c r="S39" s="660"/>
      <c r="T39" s="660"/>
      <c r="U39" s="660"/>
      <c r="V39" s="660"/>
      <c r="W39" s="660"/>
      <c r="X39" s="660"/>
      <c r="Y39" s="660"/>
      <c r="Z39" s="660"/>
      <c r="AA39" s="660"/>
      <c r="AB39" s="660"/>
      <c r="AC39" s="660"/>
      <c r="AD39" s="660"/>
      <c r="AE39" s="660"/>
    </row>
    <row r="40" spans="1:31" s="658" customFormat="1" ht="12.75">
      <c r="A40" s="660"/>
      <c r="B40" s="660"/>
      <c r="C40" s="660"/>
      <c r="D40" s="660"/>
      <c r="E40" s="660"/>
      <c r="F40" s="660"/>
      <c r="G40" s="660"/>
      <c r="H40" s="660"/>
      <c r="I40" s="660"/>
      <c r="J40" s="660"/>
      <c r="K40" s="660"/>
      <c r="L40" s="660"/>
      <c r="M40" s="660"/>
      <c r="N40" s="660"/>
      <c r="O40" s="660"/>
      <c r="P40" s="660"/>
      <c r="Q40" s="660"/>
      <c r="R40" s="660"/>
      <c r="S40" s="660"/>
      <c r="T40" s="660"/>
      <c r="U40" s="660"/>
      <c r="V40" s="660"/>
      <c r="W40" s="660"/>
      <c r="X40" s="660"/>
      <c r="Y40" s="660"/>
      <c r="Z40" s="660"/>
      <c r="AA40" s="660"/>
      <c r="AB40" s="660"/>
      <c r="AC40" s="660"/>
      <c r="AD40" s="660"/>
      <c r="AE40" s="660"/>
    </row>
    <row r="41" spans="1:31" s="658" customFormat="1" ht="12.75">
      <c r="A41" s="660"/>
      <c r="B41" s="660"/>
      <c r="C41" s="660"/>
      <c r="D41" s="660"/>
      <c r="E41" s="660"/>
      <c r="F41" s="660"/>
      <c r="G41" s="660"/>
      <c r="H41" s="660"/>
      <c r="I41" s="660"/>
      <c r="J41" s="660"/>
      <c r="K41" s="660"/>
      <c r="L41" s="660"/>
      <c r="M41" s="660"/>
      <c r="N41" s="660"/>
      <c r="O41" s="660"/>
      <c r="P41" s="660"/>
      <c r="Q41" s="660"/>
      <c r="R41" s="660"/>
      <c r="S41" s="660"/>
      <c r="T41" s="660"/>
      <c r="U41" s="660"/>
      <c r="V41" s="660"/>
      <c r="W41" s="660"/>
      <c r="X41" s="660"/>
      <c r="Y41" s="660"/>
      <c r="Z41" s="660"/>
      <c r="AA41" s="660"/>
      <c r="AB41" s="660"/>
      <c r="AC41" s="660"/>
      <c r="AD41" s="660"/>
      <c r="AE41" s="660"/>
    </row>
    <row r="42" spans="1:31" s="658" customFormat="1" ht="12.75">
      <c r="A42" s="660"/>
      <c r="B42" s="660"/>
      <c r="C42" s="660"/>
      <c r="D42" s="660"/>
      <c r="E42" s="660"/>
      <c r="F42" s="660"/>
      <c r="G42" s="660"/>
      <c r="H42" s="660"/>
      <c r="I42" s="660"/>
      <c r="J42" s="660"/>
      <c r="K42" s="660"/>
      <c r="L42" s="660"/>
      <c r="M42" s="660"/>
      <c r="N42" s="660"/>
      <c r="O42" s="660"/>
      <c r="P42" s="660"/>
      <c r="Q42" s="660"/>
      <c r="R42" s="660"/>
      <c r="S42" s="660"/>
      <c r="T42" s="660"/>
      <c r="U42" s="660"/>
      <c r="V42" s="660"/>
      <c r="W42" s="660"/>
      <c r="X42" s="660"/>
      <c r="Y42" s="660"/>
      <c r="Z42" s="660"/>
      <c r="AA42" s="660"/>
      <c r="AB42" s="660"/>
      <c r="AC42" s="660"/>
      <c r="AD42" s="660"/>
      <c r="AE42" s="660"/>
    </row>
    <row r="43" spans="1:31" s="658" customFormat="1" ht="12.75">
      <c r="A43" s="660"/>
      <c r="B43" s="660"/>
      <c r="C43" s="660"/>
      <c r="D43" s="660"/>
      <c r="E43" s="660"/>
      <c r="F43" s="660"/>
      <c r="G43" s="660"/>
      <c r="H43" s="660"/>
      <c r="I43" s="660"/>
      <c r="J43" s="660"/>
      <c r="K43" s="660"/>
      <c r="L43" s="660"/>
      <c r="M43" s="660"/>
      <c r="N43" s="660"/>
      <c r="O43" s="660"/>
      <c r="P43" s="660"/>
      <c r="Q43" s="660"/>
      <c r="R43" s="660"/>
      <c r="S43" s="660"/>
      <c r="T43" s="660"/>
      <c r="U43" s="660"/>
      <c r="V43" s="660"/>
      <c r="W43" s="660"/>
      <c r="X43" s="660"/>
      <c r="Y43" s="660"/>
      <c r="Z43" s="660"/>
      <c r="AA43" s="660"/>
      <c r="AB43" s="660"/>
      <c r="AC43" s="660"/>
      <c r="AD43" s="660"/>
      <c r="AE43" s="660"/>
    </row>
    <row r="44" spans="1:31" s="658" customFormat="1" ht="12.75">
      <c r="A44" s="660"/>
      <c r="B44" s="660"/>
      <c r="C44" s="660"/>
      <c r="D44" s="660"/>
      <c r="E44" s="660"/>
      <c r="F44" s="660"/>
      <c r="G44" s="660"/>
      <c r="H44" s="660"/>
      <c r="I44" s="660"/>
      <c r="J44" s="660"/>
      <c r="K44" s="660"/>
      <c r="L44" s="660"/>
      <c r="M44" s="660"/>
      <c r="N44" s="660"/>
      <c r="O44" s="660"/>
      <c r="P44" s="660"/>
      <c r="Q44" s="660"/>
      <c r="R44" s="660"/>
      <c r="S44" s="660"/>
      <c r="T44" s="660"/>
      <c r="U44" s="660"/>
      <c r="V44" s="660"/>
      <c r="W44" s="660"/>
      <c r="X44" s="660"/>
      <c r="Y44" s="660"/>
      <c r="Z44" s="660"/>
      <c r="AA44" s="660"/>
      <c r="AB44" s="660"/>
      <c r="AC44" s="660"/>
      <c r="AD44" s="660"/>
      <c r="AE44" s="660"/>
    </row>
    <row r="45" spans="1:31" s="658" customFormat="1" ht="12.75">
      <c r="A45" s="660"/>
      <c r="B45" s="660"/>
      <c r="C45" s="660"/>
      <c r="D45" s="660"/>
      <c r="E45" s="660"/>
      <c r="F45" s="660"/>
      <c r="G45" s="660"/>
      <c r="H45" s="660"/>
      <c r="I45" s="660"/>
      <c r="J45" s="660"/>
      <c r="K45" s="660"/>
      <c r="L45" s="660"/>
      <c r="M45" s="660"/>
      <c r="N45" s="660"/>
      <c r="O45" s="660"/>
      <c r="P45" s="660"/>
      <c r="Q45" s="660"/>
      <c r="R45" s="660"/>
      <c r="S45" s="660"/>
      <c r="T45" s="660"/>
      <c r="U45" s="660"/>
      <c r="V45" s="660"/>
      <c r="W45" s="660"/>
      <c r="X45" s="660"/>
      <c r="Y45" s="660"/>
      <c r="Z45" s="660"/>
      <c r="AA45" s="660"/>
      <c r="AB45" s="660"/>
      <c r="AC45" s="660"/>
      <c r="AD45" s="660"/>
      <c r="AE45" s="660"/>
    </row>
    <row r="46" s="658" customFormat="1" ht="12.75"/>
    <row r="47" s="658" customFormat="1" ht="12.75"/>
    <row r="48" s="658" customFormat="1" ht="12.75"/>
    <row r="49" s="658" customFormat="1" ht="12.75"/>
    <row r="50" s="658" customFormat="1" ht="12.75"/>
    <row r="51" s="658" customFormat="1" ht="12.75"/>
    <row r="52" s="658" customFormat="1" ht="12.75"/>
    <row r="53" s="658" customFormat="1" ht="12.75"/>
    <row r="54" s="658" customFormat="1" ht="12.75"/>
    <row r="55" s="658" customFormat="1" ht="12.75"/>
    <row r="56" s="658" customFormat="1" ht="12.75"/>
    <row r="57" s="658" customFormat="1" ht="12.75"/>
    <row r="58" s="658" customFormat="1" ht="12.75"/>
    <row r="59" s="658" customFormat="1" ht="12.75"/>
    <row r="60" s="658" customFormat="1" ht="12.75"/>
    <row r="61" s="658" customFormat="1" ht="12.75"/>
    <row r="62" s="658" customFormat="1" ht="12.75"/>
    <row r="63" s="658" customFormat="1" ht="12.75"/>
    <row r="64" s="658" customFormat="1" ht="12.75"/>
    <row r="65" s="658" customFormat="1" ht="12.75"/>
    <row r="66" s="658" customFormat="1" ht="12.75"/>
    <row r="67" s="658" customFormat="1" ht="12.75"/>
    <row r="68" s="658" customFormat="1" ht="12.75"/>
    <row r="69" s="658" customFormat="1" ht="12.75"/>
    <row r="70" s="658" customFormat="1" ht="12.75"/>
    <row r="71" s="658" customFormat="1" ht="12.75"/>
    <row r="72" s="658" customFormat="1" ht="12.75"/>
    <row r="73" s="658" customFormat="1" ht="12.75"/>
    <row r="74" s="658" customFormat="1" ht="12.75"/>
    <row r="75" s="658" customFormat="1" ht="12.75"/>
    <row r="76" s="658" customFormat="1" ht="12.75"/>
    <row r="77" s="658" customFormat="1" ht="12.75"/>
    <row r="78" s="658" customFormat="1" ht="12.75"/>
    <row r="79" s="658" customFormat="1" ht="12.75"/>
    <row r="80" s="658" customFormat="1" ht="12.75"/>
    <row r="81" s="658" customFormat="1" ht="12.75"/>
    <row r="82" s="658" customFormat="1" ht="12.75"/>
    <row r="83" s="658" customFormat="1" ht="12.75"/>
    <row r="84" s="658" customFormat="1" ht="12.75"/>
    <row r="85" s="658" customFormat="1" ht="12.75"/>
    <row r="86" s="658" customFormat="1" ht="12.75"/>
    <row r="87" s="658" customFormat="1" ht="12.75"/>
    <row r="88" s="658" customFormat="1" ht="12.75"/>
    <row r="89" s="658" customFormat="1" ht="12.75"/>
    <row r="90" s="658" customFormat="1" ht="12.75"/>
    <row r="91" s="658" customFormat="1" ht="12.75"/>
    <row r="92" s="658" customFormat="1" ht="12.75"/>
    <row r="93" s="658" customFormat="1" ht="12.75"/>
    <row r="94" s="658" customFormat="1" ht="12.75"/>
    <row r="95" s="658" customFormat="1" ht="12.75"/>
    <row r="96" s="658" customFormat="1" ht="12.75"/>
    <row r="97" s="658" customFormat="1" ht="12.75"/>
    <row r="98" s="658" customFormat="1" ht="12.75"/>
    <row r="99" s="658" customFormat="1" ht="12.75"/>
    <row r="100" s="658" customFormat="1" ht="12.75"/>
    <row r="101" spans="1:31" s="658" customFormat="1" ht="12.75">
      <c r="A101" s="643"/>
      <c r="B101" s="643"/>
      <c r="C101" s="643"/>
      <c r="D101" s="643"/>
      <c r="E101" s="643"/>
      <c r="F101" s="643"/>
      <c r="G101" s="643"/>
      <c r="H101" s="643"/>
      <c r="I101" s="643"/>
      <c r="J101" s="643"/>
      <c r="K101" s="643"/>
      <c r="L101" s="643"/>
      <c r="M101" s="643"/>
      <c r="N101" s="643"/>
      <c r="O101" s="643"/>
      <c r="P101" s="643"/>
      <c r="Q101" s="643"/>
      <c r="R101" s="643"/>
      <c r="S101" s="643"/>
      <c r="T101" s="643"/>
      <c r="U101" s="643"/>
      <c r="V101" s="643"/>
      <c r="W101" s="643"/>
      <c r="X101" s="643"/>
      <c r="Y101" s="643"/>
      <c r="Z101" s="643"/>
      <c r="AA101" s="643"/>
      <c r="AB101" s="643"/>
      <c r="AC101" s="643"/>
      <c r="AD101" s="643"/>
      <c r="AE101" s="643"/>
    </row>
  </sheetData>
  <sheetProtection password="EF65" sheet="1" objects="1" scenarios="1"/>
  <mergeCells count="45">
    <mergeCell ref="B28:AD28"/>
    <mergeCell ref="A29:Z29"/>
    <mergeCell ref="AA29:AE29"/>
    <mergeCell ref="D19:E19"/>
    <mergeCell ref="A23:AE23"/>
    <mergeCell ref="A24:S24"/>
    <mergeCell ref="T24:AD25"/>
    <mergeCell ref="C25:F25"/>
    <mergeCell ref="G25:S25"/>
    <mergeCell ref="T26:AD26"/>
    <mergeCell ref="F19:M19"/>
    <mergeCell ref="N19:Q19"/>
    <mergeCell ref="R19:AE19"/>
    <mergeCell ref="B20:AE20"/>
    <mergeCell ref="B21:E21"/>
    <mergeCell ref="F21:M21"/>
    <mergeCell ref="B17:AD17"/>
    <mergeCell ref="B18:AD18"/>
    <mergeCell ref="D13:I13"/>
    <mergeCell ref="K13:P13"/>
    <mergeCell ref="R13:W13"/>
    <mergeCell ref="Y13:AD13"/>
    <mergeCell ref="A15:AE15"/>
    <mergeCell ref="B16:AD16"/>
    <mergeCell ref="A11:AE11"/>
    <mergeCell ref="D12:I12"/>
    <mergeCell ref="K12:P12"/>
    <mergeCell ref="R12:W12"/>
    <mergeCell ref="Y12:AD12"/>
    <mergeCell ref="N21:Q21"/>
    <mergeCell ref="R21:Y21"/>
    <mergeCell ref="Z21:AC21"/>
    <mergeCell ref="AD21:AE21"/>
    <mergeCell ref="A1:B1"/>
    <mergeCell ref="A2:AE2"/>
    <mergeCell ref="A3:AE3"/>
    <mergeCell ref="A4:AE4"/>
    <mergeCell ref="A5:AE5"/>
    <mergeCell ref="A6:B6"/>
    <mergeCell ref="D6:P6"/>
    <mergeCell ref="R6:AE6"/>
    <mergeCell ref="A7:B7"/>
    <mergeCell ref="D7:P9"/>
    <mergeCell ref="R7:AE7"/>
    <mergeCell ref="A10:AE10"/>
  </mergeCells>
  <pageMargins left="0.196850393700787" right="0.196850393700787" top="0.393700787401575" bottom="0.393700787401575" header="0.31496062992126" footer="0.31496062992126"/>
  <pageSetup orientation="portrait" paperSize="9" scale="79" r:id="rId2"/>
  <drawing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FF99"/>
    <pageSetUpPr fitToPage="1"/>
  </sheetPr>
  <dimension ref="A1:BA53"/>
  <sheetViews>
    <sheetView workbookViewId="0" topLeftCell="A1">
      <selection pane="topLeft" activeCell="A4" sqref="A4:I4"/>
    </sheetView>
  </sheetViews>
  <sheetFormatPr defaultRowHeight="12"/>
  <cols>
    <col min="1" max="6" width="9.14285714285714" style="709"/>
    <col min="7" max="7" width="9.85714285714286" style="709" customWidth="1"/>
    <col min="8" max="8" width="9.14285714285714" style="709"/>
    <col min="9" max="9" width="12.2857142857143" style="709" customWidth="1"/>
    <col min="10" max="53" width="9.14285714285714" style="708"/>
    <col min="54" max="16384" width="9.14285714285714" style="709"/>
  </cols>
  <sheetData>
    <row r="1" spans="1:9" ht="15.75" customHeight="1">
      <c r="A1" s="2042" t="s">
        <v>3908</v>
      </c>
      <c r="B1" s="2042"/>
      <c r="C1" s="2042"/>
      <c r="D1" s="2042"/>
      <c r="E1" s="2042"/>
      <c r="F1" s="2042"/>
      <c r="G1" s="2042"/>
      <c r="H1" s="2042"/>
      <c r="I1" s="2042"/>
    </row>
    <row r="2" spans="1:9" ht="12">
      <c r="A2" s="2042"/>
      <c r="B2" s="2042"/>
      <c r="C2" s="2042"/>
      <c r="D2" s="2042"/>
      <c r="E2" s="2042"/>
      <c r="F2" s="2042"/>
      <c r="G2" s="2042"/>
      <c r="H2" s="2042"/>
      <c r="I2" s="2042"/>
    </row>
    <row r="3" spans="1:9" ht="15" customHeight="1">
      <c r="A3" s="2020" t="s">
        <v>3909</v>
      </c>
      <c r="B3" s="2020"/>
      <c r="C3" s="2020"/>
      <c r="D3" s="2020"/>
      <c r="E3" s="2020"/>
      <c r="F3" s="2020"/>
      <c r="G3" s="2020"/>
      <c r="H3" s="2020"/>
      <c r="I3" s="2020"/>
    </row>
    <row r="4" spans="1:9" ht="18" customHeight="1">
      <c r="A4" s="2043"/>
      <c r="B4" s="2044"/>
      <c r="C4" s="2044"/>
      <c r="D4" s="2044"/>
      <c r="E4" s="2044"/>
      <c r="F4" s="2044"/>
      <c r="G4" s="2044"/>
      <c r="H4" s="2044"/>
      <c r="I4" s="2044"/>
    </row>
    <row r="5" spans="1:9" ht="15" customHeight="1">
      <c r="A5" s="2045" t="s">
        <v>3910</v>
      </c>
      <c r="B5" s="2045"/>
      <c r="C5" s="2045"/>
      <c r="D5" s="2045"/>
      <c r="E5" s="2045"/>
      <c r="F5" s="2045"/>
      <c r="G5" s="2045"/>
      <c r="H5" s="2045"/>
      <c r="I5" s="2045"/>
    </row>
    <row r="6" spans="1:9" ht="18" customHeight="1">
      <c r="A6" s="2046"/>
      <c r="B6" s="2047"/>
      <c r="C6" s="2047"/>
      <c r="D6" s="2047"/>
      <c r="E6" s="2047"/>
      <c r="F6" s="2048" t="s">
        <v>3911</v>
      </c>
      <c r="G6" s="2049"/>
      <c r="H6" s="2050"/>
      <c r="I6" s="2051"/>
    </row>
    <row r="7" spans="1:9" ht="15" customHeight="1">
      <c r="A7" s="2020"/>
      <c r="B7" s="2020"/>
      <c r="C7" s="2020"/>
      <c r="D7" s="2020"/>
      <c r="E7" s="2020"/>
      <c r="F7" s="2020"/>
      <c r="G7" s="2020"/>
      <c r="H7" s="2020"/>
      <c r="I7" s="2020"/>
    </row>
    <row r="8" spans="1:9" ht="18" customHeight="1">
      <c r="A8" s="2023" t="s">
        <v>3912</v>
      </c>
      <c r="B8" s="2023"/>
      <c r="C8" s="2034" t="str">
        <f>+CONCATENATE(ZAKL_DATA!B4," ",ZAKL_DATA!B5)</f>
        <v xml:space="preserve"> </v>
      </c>
      <c r="D8" s="2034"/>
      <c r="E8" s="2034"/>
      <c r="F8" s="2035"/>
      <c r="G8" s="710" t="s">
        <v>3913</v>
      </c>
      <c r="H8" s="2036" t="str">
        <f>+'DAP1'!A9</f>
        <v/>
      </c>
      <c r="I8" s="2037"/>
    </row>
    <row r="9" spans="1:9" ht="15" customHeight="1">
      <c r="A9" s="2020"/>
      <c r="B9" s="2020"/>
      <c r="C9" s="2026" t="s">
        <v>3914</v>
      </c>
      <c r="D9" s="2026"/>
      <c r="E9" s="2026"/>
      <c r="F9" s="2038"/>
      <c r="G9" s="2020"/>
      <c r="H9" s="2039"/>
      <c r="I9" s="2039"/>
    </row>
    <row r="10" spans="1:53" s="713" customFormat="1" ht="18" customHeight="1">
      <c r="A10" s="711" t="s">
        <v>3915</v>
      </c>
      <c r="B10" s="2040" t="str">
        <f>+Prohl_manž!B7</f>
        <v xml:space="preserve"> , , PSČ </v>
      </c>
      <c r="C10" s="2040"/>
      <c r="D10" s="2040"/>
      <c r="E10" s="2040"/>
      <c r="F10" s="2040"/>
      <c r="G10" s="2040"/>
      <c r="H10" s="2040"/>
      <c r="I10" s="2040"/>
      <c r="J10" s="712"/>
      <c r="K10" s="712"/>
      <c r="L10" s="712"/>
      <c r="M10" s="712"/>
      <c r="N10" s="712"/>
      <c r="O10" s="712"/>
      <c r="P10" s="712"/>
      <c r="Q10" s="712"/>
      <c r="R10" s="712"/>
      <c r="S10" s="712"/>
      <c r="T10" s="712"/>
      <c r="U10" s="712"/>
      <c r="V10" s="712"/>
      <c r="W10" s="712"/>
      <c r="X10" s="712"/>
      <c r="Y10" s="712"/>
      <c r="Z10" s="712"/>
      <c r="AA10" s="712"/>
      <c r="AB10" s="712"/>
      <c r="AC10" s="712"/>
      <c r="AD10" s="712"/>
      <c r="AE10" s="712"/>
      <c r="AF10" s="712"/>
      <c r="AG10" s="712"/>
      <c r="AH10" s="712"/>
      <c r="AI10" s="712"/>
      <c r="AJ10" s="712"/>
      <c r="AK10" s="712"/>
      <c r="AL10" s="712"/>
      <c r="AM10" s="712"/>
      <c r="AN10" s="712"/>
      <c r="AO10" s="712"/>
      <c r="AP10" s="712"/>
      <c r="AQ10" s="712"/>
      <c r="AR10" s="712"/>
      <c r="AS10" s="712"/>
      <c r="AT10" s="712"/>
      <c r="AU10" s="712"/>
      <c r="AV10" s="712"/>
      <c r="AW10" s="712"/>
      <c r="AX10" s="712"/>
      <c r="AY10" s="712"/>
      <c r="AZ10" s="712"/>
      <c r="BA10" s="712"/>
    </row>
    <row r="11" spans="1:9" ht="15" customHeight="1">
      <c r="A11" s="2020"/>
      <c r="B11" s="2020"/>
      <c r="C11" s="2020"/>
      <c r="D11" s="2020"/>
      <c r="E11" s="2020"/>
      <c r="F11" s="2020"/>
      <c r="G11" s="2020"/>
      <c r="H11" s="2020"/>
      <c r="I11" s="2020"/>
    </row>
    <row r="12" spans="1:53" s="713" customFormat="1" ht="18" customHeight="1">
      <c r="A12" s="2023" t="s">
        <v>3916</v>
      </c>
      <c r="B12" s="2023"/>
      <c r="C12" s="2023"/>
      <c r="D12" s="2041">
        <f>+'DAP1'!F24</f>
        <v>2017</v>
      </c>
      <c r="E12" s="2041"/>
      <c r="F12" s="2023" t="s">
        <v>3917</v>
      </c>
      <c r="G12" s="2023"/>
      <c r="H12" s="2023"/>
      <c r="I12" s="2023"/>
      <c r="J12" s="712"/>
      <c r="K12" s="712"/>
      <c r="L12" s="712"/>
      <c r="M12" s="712"/>
      <c r="N12" s="712"/>
      <c r="O12" s="712"/>
      <c r="P12" s="712"/>
      <c r="Q12" s="712"/>
      <c r="R12" s="712"/>
      <c r="S12" s="712"/>
      <c r="T12" s="712"/>
      <c r="U12" s="712"/>
      <c r="V12" s="712"/>
      <c r="W12" s="712"/>
      <c r="X12" s="712"/>
      <c r="Y12" s="712"/>
      <c r="Z12" s="712"/>
      <c r="AA12" s="712"/>
      <c r="AB12" s="712"/>
      <c r="AC12" s="712"/>
      <c r="AD12" s="712"/>
      <c r="AE12" s="712"/>
      <c r="AF12" s="712"/>
      <c r="AG12" s="712"/>
      <c r="AH12" s="712"/>
      <c r="AI12" s="712"/>
      <c r="AJ12" s="712"/>
      <c r="AK12" s="712"/>
      <c r="AL12" s="712"/>
      <c r="AM12" s="712"/>
      <c r="AN12" s="712"/>
      <c r="AO12" s="712"/>
      <c r="AP12" s="712"/>
      <c r="AQ12" s="712"/>
      <c r="AR12" s="712"/>
      <c r="AS12" s="712"/>
      <c r="AT12" s="712"/>
      <c r="AU12" s="712"/>
      <c r="AV12" s="712"/>
      <c r="AW12" s="712"/>
      <c r="AX12" s="712"/>
      <c r="AY12" s="712"/>
      <c r="AZ12" s="712"/>
      <c r="BA12" s="712"/>
    </row>
    <row r="13" spans="1:53" s="713" customFormat="1" ht="18" customHeight="1">
      <c r="A13" s="2032" t="s">
        <v>3918</v>
      </c>
      <c r="B13" s="2032"/>
      <c r="C13" s="2032"/>
      <c r="D13" s="2032"/>
      <c r="E13" s="2032"/>
      <c r="F13" s="2032"/>
      <c r="G13" s="2033" t="s">
        <v>3919</v>
      </c>
      <c r="H13" s="2033"/>
      <c r="I13" s="2033"/>
      <c r="J13" s="712"/>
      <c r="K13" s="712"/>
      <c r="L13" s="712"/>
      <c r="M13" s="712"/>
      <c r="N13" s="712"/>
      <c r="O13" s="712"/>
      <c r="P13" s="712"/>
      <c r="Q13" s="712"/>
      <c r="R13" s="712"/>
      <c r="S13" s="712"/>
      <c r="T13" s="712"/>
      <c r="U13" s="712"/>
      <c r="V13" s="712"/>
      <c r="W13" s="712"/>
      <c r="X13" s="712"/>
      <c r="Y13" s="712"/>
      <c r="Z13" s="712"/>
      <c r="AA13" s="712"/>
      <c r="AB13" s="712"/>
      <c r="AC13" s="712"/>
      <c r="AD13" s="712"/>
      <c r="AE13" s="712"/>
      <c r="AF13" s="712"/>
      <c r="AG13" s="712"/>
      <c r="AH13" s="712"/>
      <c r="AI13" s="712"/>
      <c r="AJ13" s="712"/>
      <c r="AK13" s="712"/>
      <c r="AL13" s="712"/>
      <c r="AM13" s="712"/>
      <c r="AN13" s="712"/>
      <c r="AO13" s="712"/>
      <c r="AP13" s="712"/>
      <c r="AQ13" s="712"/>
      <c r="AR13" s="712"/>
      <c r="AS13" s="712"/>
      <c r="AT13" s="712"/>
      <c r="AU13" s="712"/>
      <c r="AV13" s="712"/>
      <c r="AW13" s="712"/>
      <c r="AX13" s="712"/>
      <c r="AY13" s="712"/>
      <c r="AZ13" s="712"/>
      <c r="BA13" s="712"/>
    </row>
    <row r="14" spans="1:53" s="713" customFormat="1" ht="18" customHeight="1">
      <c r="A14" s="2023" t="s">
        <v>3920</v>
      </c>
      <c r="B14" s="2023"/>
      <c r="C14" s="2023"/>
      <c r="D14" s="2023"/>
      <c r="E14" s="2023"/>
      <c r="F14" s="2023"/>
      <c r="G14" s="2023"/>
      <c r="H14" s="2023"/>
      <c r="I14" s="2023"/>
      <c r="J14" s="712"/>
      <c r="K14" s="712"/>
      <c r="L14" s="712"/>
      <c r="M14" s="712"/>
      <c r="N14" s="712"/>
      <c r="O14" s="712"/>
      <c r="P14" s="712"/>
      <c r="Q14" s="712"/>
      <c r="R14" s="712"/>
      <c r="S14" s="712"/>
      <c r="T14" s="712"/>
      <c r="U14" s="712"/>
      <c r="V14" s="712"/>
      <c r="W14" s="712"/>
      <c r="X14" s="712"/>
      <c r="Y14" s="712"/>
      <c r="Z14" s="712"/>
      <c r="AA14" s="712"/>
      <c r="AB14" s="712"/>
      <c r="AC14" s="712"/>
      <c r="AD14" s="712"/>
      <c r="AE14" s="712"/>
      <c r="AF14" s="712"/>
      <c r="AG14" s="712"/>
      <c r="AH14" s="712"/>
      <c r="AI14" s="712"/>
      <c r="AJ14" s="712"/>
      <c r="AK14" s="712"/>
      <c r="AL14" s="712"/>
      <c r="AM14" s="712"/>
      <c r="AN14" s="712"/>
      <c r="AO14" s="712"/>
      <c r="AP14" s="712"/>
      <c r="AQ14" s="712"/>
      <c r="AR14" s="712"/>
      <c r="AS14" s="712"/>
      <c r="AT14" s="712"/>
      <c r="AU14" s="712"/>
      <c r="AV14" s="712"/>
      <c r="AW14" s="712"/>
      <c r="AX14" s="712"/>
      <c r="AY14" s="712"/>
      <c r="AZ14" s="712"/>
      <c r="BA14" s="712"/>
    </row>
    <row r="15" spans="1:53" s="716" customFormat="1" ht="18" customHeight="1">
      <c r="A15" s="2027">
        <f>+'DAP2'!E4</f>
        <v>0</v>
      </c>
      <c r="B15" s="2027"/>
      <c r="C15" s="2027"/>
      <c r="D15" s="714" t="s">
        <v>3921</v>
      </c>
      <c r="E15" s="2028"/>
      <c r="F15" s="2028"/>
      <c r="G15" s="2028"/>
      <c r="H15" s="2028"/>
      <c r="I15" s="2028"/>
      <c r="J15" s="715"/>
      <c r="K15" s="715"/>
      <c r="L15" s="715"/>
      <c r="M15" s="715"/>
      <c r="N15" s="715"/>
      <c r="O15" s="715"/>
      <c r="P15" s="715"/>
      <c r="Q15" s="715"/>
      <c r="R15" s="715"/>
      <c r="S15" s="715"/>
      <c r="T15" s="715"/>
      <c r="U15" s="715"/>
      <c r="V15" s="715"/>
      <c r="W15" s="715"/>
      <c r="X15" s="715"/>
      <c r="Y15" s="715"/>
      <c r="Z15" s="715"/>
      <c r="AA15" s="715"/>
      <c r="AB15" s="715"/>
      <c r="AC15" s="715"/>
      <c r="AD15" s="715"/>
      <c r="AE15" s="715"/>
      <c r="AF15" s="715"/>
      <c r="AG15" s="715"/>
      <c r="AH15" s="715"/>
      <c r="AI15" s="715"/>
      <c r="AJ15" s="715"/>
      <c r="AK15" s="715"/>
      <c r="AL15" s="715"/>
      <c r="AM15" s="715"/>
      <c r="AN15" s="715"/>
      <c r="AO15" s="715"/>
      <c r="AP15" s="715"/>
      <c r="AQ15" s="715"/>
      <c r="AR15" s="715"/>
      <c r="AS15" s="715"/>
      <c r="AT15" s="715"/>
      <c r="AU15" s="715"/>
      <c r="AV15" s="715"/>
      <c r="AW15" s="715"/>
      <c r="AX15" s="715"/>
      <c r="AY15" s="715"/>
      <c r="AZ15" s="715"/>
      <c r="BA15" s="715"/>
    </row>
    <row r="16" spans="1:9" ht="15" customHeight="1">
      <c r="A16" s="2029"/>
      <c r="B16" s="2029"/>
      <c r="C16" s="2029"/>
      <c r="D16" s="2029"/>
      <c r="E16" s="2029"/>
      <c r="F16" s="2029"/>
      <c r="G16" s="2029"/>
      <c r="H16" s="2029"/>
      <c r="I16" s="2029"/>
    </row>
    <row r="17" spans="1:9" ht="15" customHeight="1">
      <c r="A17" s="2029"/>
      <c r="B17" s="2029"/>
      <c r="C17" s="2029"/>
      <c r="D17" s="2029"/>
      <c r="E17" s="2029"/>
      <c r="F17" s="2029"/>
      <c r="G17" s="2029"/>
      <c r="H17" s="2029"/>
      <c r="I17" s="2029"/>
    </row>
    <row r="18" spans="1:9" ht="15" customHeight="1">
      <c r="A18" s="2029"/>
      <c r="B18" s="2029"/>
      <c r="C18" s="2029"/>
      <c r="D18" s="2029"/>
      <c r="E18" s="2029"/>
      <c r="F18" s="2029"/>
      <c r="G18" s="2029"/>
      <c r="H18" s="2029"/>
      <c r="I18" s="2029"/>
    </row>
    <row r="19" spans="1:9" ht="15" customHeight="1">
      <c r="A19" s="2029"/>
      <c r="B19" s="2029"/>
      <c r="C19" s="2029"/>
      <c r="D19" s="2029"/>
      <c r="E19" s="2029"/>
      <c r="F19" s="2029"/>
      <c r="G19" s="2029"/>
      <c r="H19" s="2029"/>
      <c r="I19" s="2029"/>
    </row>
    <row r="20" spans="1:53" s="713" customFormat="1" ht="15" customHeight="1">
      <c r="A20" s="711" t="s">
        <v>3922</v>
      </c>
      <c r="B20" s="2030">
        <f ca="1">TODAY()</f>
        <v>43231</v>
      </c>
      <c r="C20" s="2030"/>
      <c r="D20" s="2031"/>
      <c r="E20" s="2031"/>
      <c r="F20" s="2031"/>
      <c r="G20" s="2031"/>
      <c r="H20" s="2031"/>
      <c r="I20" s="2031"/>
      <c r="J20" s="712"/>
      <c r="K20" s="712"/>
      <c r="L20" s="712"/>
      <c r="M20" s="712"/>
      <c r="N20" s="712"/>
      <c r="O20" s="712"/>
      <c r="P20" s="712"/>
      <c r="Q20" s="712"/>
      <c r="R20" s="712"/>
      <c r="S20" s="712"/>
      <c r="T20" s="712"/>
      <c r="U20" s="712"/>
      <c r="V20" s="712"/>
      <c r="W20" s="712"/>
      <c r="X20" s="712"/>
      <c r="Y20" s="712"/>
      <c r="Z20" s="712"/>
      <c r="AA20" s="712"/>
      <c r="AB20" s="712"/>
      <c r="AC20" s="712"/>
      <c r="AD20" s="712"/>
      <c r="AE20" s="712"/>
      <c r="AF20" s="712"/>
      <c r="AG20" s="712"/>
      <c r="AH20" s="712"/>
      <c r="AI20" s="712"/>
      <c r="AJ20" s="712"/>
      <c r="AK20" s="712"/>
      <c r="AL20" s="712"/>
      <c r="AM20" s="712"/>
      <c r="AN20" s="712"/>
      <c r="AO20" s="712"/>
      <c r="AP20" s="712"/>
      <c r="AQ20" s="712"/>
      <c r="AR20" s="712"/>
      <c r="AS20" s="712"/>
      <c r="AT20" s="712"/>
      <c r="AU20" s="712"/>
      <c r="AV20" s="712"/>
      <c r="AW20" s="712"/>
      <c r="AX20" s="712"/>
      <c r="AY20" s="712"/>
      <c r="AZ20" s="712"/>
      <c r="BA20" s="712"/>
    </row>
    <row r="21" spans="1:9" ht="15" customHeight="1">
      <c r="A21" s="2022" t="s">
        <v>3923</v>
      </c>
      <c r="B21" s="2022"/>
      <c r="C21" s="2022"/>
      <c r="D21" s="2022"/>
      <c r="E21" s="2022"/>
      <c r="F21" s="2022"/>
      <c r="G21" s="2022"/>
      <c r="H21" s="2022"/>
      <c r="I21" s="2022"/>
    </row>
    <row r="22" spans="1:9" ht="15" customHeight="1">
      <c r="A22" s="2020"/>
      <c r="B22" s="2020"/>
      <c r="C22" s="2020"/>
      <c r="D22" s="2020"/>
      <c r="E22" s="2020"/>
      <c r="F22" s="2020"/>
      <c r="G22" s="2020"/>
      <c r="H22" s="2020"/>
      <c r="I22" s="2020"/>
    </row>
    <row r="23" spans="1:53" s="713" customFormat="1" ht="15" customHeight="1">
      <c r="A23" s="2023" t="s">
        <v>3924</v>
      </c>
      <c r="B23" s="2023"/>
      <c r="C23" s="2023"/>
      <c r="D23" s="2024"/>
      <c r="E23" s="2024"/>
      <c r="F23" s="2024"/>
      <c r="G23" s="718" t="s">
        <v>3925</v>
      </c>
      <c r="H23" s="2025"/>
      <c r="I23" s="2025"/>
      <c r="J23" s="712"/>
      <c r="K23" s="712"/>
      <c r="L23" s="712"/>
      <c r="M23" s="712"/>
      <c r="N23" s="712"/>
      <c r="O23" s="712"/>
      <c r="P23" s="712"/>
      <c r="Q23" s="712"/>
      <c r="R23" s="712"/>
      <c r="S23" s="712"/>
      <c r="T23" s="712"/>
      <c r="U23" s="712"/>
      <c r="V23" s="712"/>
      <c r="W23" s="712"/>
      <c r="X23" s="712"/>
      <c r="Y23" s="712"/>
      <c r="Z23" s="712"/>
      <c r="AA23" s="712"/>
      <c r="AB23" s="712"/>
      <c r="AC23" s="712"/>
      <c r="AD23" s="712"/>
      <c r="AE23" s="712"/>
      <c r="AF23" s="712"/>
      <c r="AG23" s="712"/>
      <c r="AH23" s="712"/>
      <c r="AI23" s="712"/>
      <c r="AJ23" s="712"/>
      <c r="AK23" s="712"/>
      <c r="AL23" s="712"/>
      <c r="AM23" s="712"/>
      <c r="AN23" s="712"/>
      <c r="AO23" s="712"/>
      <c r="AP23" s="712"/>
      <c r="AQ23" s="712"/>
      <c r="AR23" s="712"/>
      <c r="AS23" s="712"/>
      <c r="AT23" s="712"/>
      <c r="AU23" s="712"/>
      <c r="AV23" s="712"/>
      <c r="AW23" s="712"/>
      <c r="AX23" s="712"/>
      <c r="AY23" s="712"/>
      <c r="AZ23" s="712"/>
      <c r="BA23" s="712"/>
    </row>
    <row r="24" spans="1:9" ht="15" customHeight="1">
      <c r="A24" s="2020"/>
      <c r="B24" s="2020"/>
      <c r="C24" s="2020"/>
      <c r="D24" s="2026" t="s">
        <v>3914</v>
      </c>
      <c r="E24" s="2026"/>
      <c r="F24" s="2026"/>
      <c r="G24" s="2020"/>
      <c r="H24" s="2020"/>
      <c r="I24" s="2020"/>
    </row>
    <row r="25" spans="1:9" ht="12">
      <c r="A25" s="2020"/>
      <c r="B25" s="2020"/>
      <c r="C25" s="2020"/>
      <c r="D25" s="2020"/>
      <c r="E25" s="2020"/>
      <c r="F25" s="2020"/>
      <c r="G25" s="2020"/>
      <c r="H25" s="2020"/>
      <c r="I25" s="2020"/>
    </row>
    <row r="26" spans="1:9" ht="12">
      <c r="A26" s="2020"/>
      <c r="B26" s="2020"/>
      <c r="C26" s="2020"/>
      <c r="D26" s="2020"/>
      <c r="E26" s="2020"/>
      <c r="F26" s="2020"/>
      <c r="G26" s="2020"/>
      <c r="H26" s="2020"/>
      <c r="I26" s="2020"/>
    </row>
    <row r="27" spans="1:9" ht="12">
      <c r="A27" s="2020"/>
      <c r="B27" s="2020"/>
      <c r="C27" s="2020"/>
      <c r="D27" s="2020"/>
      <c r="E27" s="2020"/>
      <c r="F27" s="2020"/>
      <c r="G27" s="2020"/>
      <c r="H27" s="2020"/>
      <c r="I27" s="2020"/>
    </row>
    <row r="28" spans="1:9" ht="12">
      <c r="A28" s="2020"/>
      <c r="B28" s="2020"/>
      <c r="C28" s="2020"/>
      <c r="D28" s="2020"/>
      <c r="E28" s="2020"/>
      <c r="F28" s="2020"/>
      <c r="G28" s="2020"/>
      <c r="H28" s="2020"/>
      <c r="I28" s="2020"/>
    </row>
    <row r="29" spans="1:9" ht="12">
      <c r="A29" s="2020"/>
      <c r="B29" s="2020"/>
      <c r="C29" s="2020"/>
      <c r="D29" s="2020"/>
      <c r="E29" s="2020"/>
      <c r="F29" s="2020"/>
      <c r="G29" s="2020"/>
      <c r="H29" s="2020"/>
      <c r="I29" s="2020"/>
    </row>
    <row r="30" spans="1:9" ht="12">
      <c r="A30" s="2020"/>
      <c r="B30" s="2020"/>
      <c r="C30" s="2020"/>
      <c r="D30" s="2020"/>
      <c r="E30" s="2020"/>
      <c r="F30" s="2020"/>
      <c r="G30" s="2020"/>
      <c r="H30" s="2020"/>
      <c r="I30" s="2020"/>
    </row>
    <row r="31" spans="1:9" ht="12">
      <c r="A31" s="2020"/>
      <c r="B31" s="2020"/>
      <c r="C31" s="2020"/>
      <c r="D31" s="2020"/>
      <c r="E31" s="2020"/>
      <c r="F31" s="2020"/>
      <c r="G31" s="2020"/>
      <c r="H31" s="2020"/>
      <c r="I31" s="2020"/>
    </row>
    <row r="32" spans="1:9" ht="12">
      <c r="A32" s="2020"/>
      <c r="B32" s="2020"/>
      <c r="C32" s="2020"/>
      <c r="D32" s="2020"/>
      <c r="E32" s="2020"/>
      <c r="F32" s="2020"/>
      <c r="G32" s="2020"/>
      <c r="H32" s="2020"/>
      <c r="I32" s="2020"/>
    </row>
    <row r="33" spans="1:9" ht="12">
      <c r="A33" s="2020"/>
      <c r="B33" s="2020"/>
      <c r="C33" s="2020"/>
      <c r="D33" s="2020"/>
      <c r="E33" s="2020"/>
      <c r="F33" s="2020"/>
      <c r="G33" s="2020"/>
      <c r="H33" s="2020"/>
      <c r="I33" s="2020"/>
    </row>
    <row r="34" spans="1:9" ht="12">
      <c r="A34" s="2020"/>
      <c r="B34" s="2020"/>
      <c r="C34" s="2020"/>
      <c r="D34" s="2020"/>
      <c r="E34" s="2020"/>
      <c r="F34" s="2020"/>
      <c r="G34" s="2020"/>
      <c r="H34" s="2020"/>
      <c r="I34" s="2020"/>
    </row>
    <row r="35" spans="1:9" ht="12">
      <c r="A35" s="2020"/>
      <c r="B35" s="2020"/>
      <c r="C35" s="2020"/>
      <c r="D35" s="2020"/>
      <c r="E35" s="2020"/>
      <c r="F35" s="2020"/>
      <c r="G35" s="2020"/>
      <c r="H35" s="2020"/>
      <c r="I35" s="2020"/>
    </row>
    <row r="36" spans="1:9" ht="12">
      <c r="A36" s="2020"/>
      <c r="B36" s="2020"/>
      <c r="C36" s="2020"/>
      <c r="D36" s="2020"/>
      <c r="E36" s="2020"/>
      <c r="F36" s="2020"/>
      <c r="G36" s="2020"/>
      <c r="H36" s="2020"/>
      <c r="I36" s="2020"/>
    </row>
    <row r="37" spans="1:9" ht="12">
      <c r="A37" s="2020"/>
      <c r="B37" s="2020"/>
      <c r="C37" s="2020"/>
      <c r="D37" s="2020"/>
      <c r="E37" s="2020"/>
      <c r="F37" s="2020"/>
      <c r="G37" s="2020"/>
      <c r="H37" s="2020"/>
      <c r="I37" s="2020"/>
    </row>
    <row r="38" spans="1:9" ht="12">
      <c r="A38" s="2020"/>
      <c r="B38" s="2020"/>
      <c r="C38" s="2020"/>
      <c r="D38" s="2020"/>
      <c r="E38" s="2020"/>
      <c r="F38" s="2020"/>
      <c r="G38" s="2020"/>
      <c r="H38" s="2020"/>
      <c r="I38" s="2020"/>
    </row>
    <row r="39" spans="1:9" ht="12">
      <c r="A39" s="2020"/>
      <c r="B39" s="2020"/>
      <c r="C39" s="2020"/>
      <c r="D39" s="2020"/>
      <c r="E39" s="2020"/>
      <c r="F39" s="2020"/>
      <c r="G39" s="2020"/>
      <c r="H39" s="2020"/>
      <c r="I39" s="2020"/>
    </row>
    <row r="40" spans="1:9" ht="12">
      <c r="A40" s="2020"/>
      <c r="B40" s="2020"/>
      <c r="C40" s="2020"/>
      <c r="D40" s="2020"/>
      <c r="E40" s="2020"/>
      <c r="F40" s="2020"/>
      <c r="G40" s="2020"/>
      <c r="H40" s="2020"/>
      <c r="I40" s="2020"/>
    </row>
    <row r="41" spans="1:9" ht="12">
      <c r="A41" s="2020"/>
      <c r="B41" s="2020"/>
      <c r="C41" s="2020"/>
      <c r="D41" s="2020"/>
      <c r="E41" s="2020"/>
      <c r="F41" s="2020"/>
      <c r="G41" s="2020"/>
      <c r="H41" s="2020"/>
      <c r="I41" s="2020"/>
    </row>
    <row r="42" spans="1:9" ht="12">
      <c r="A42" s="2020"/>
      <c r="B42" s="2020"/>
      <c r="C42" s="2020"/>
      <c r="D42" s="2020"/>
      <c r="E42" s="2020"/>
      <c r="F42" s="2020"/>
      <c r="G42" s="2020"/>
      <c r="H42" s="2020"/>
      <c r="I42" s="2020"/>
    </row>
    <row r="43" spans="1:9" ht="12">
      <c r="A43" s="2020"/>
      <c r="B43" s="2020"/>
      <c r="C43" s="2020"/>
      <c r="D43" s="2020"/>
      <c r="E43" s="2020"/>
      <c r="F43" s="2020"/>
      <c r="G43" s="2020"/>
      <c r="H43" s="2020"/>
      <c r="I43" s="2020"/>
    </row>
    <row r="44" spans="1:9" ht="12">
      <c r="A44" s="2020"/>
      <c r="B44" s="2020"/>
      <c r="C44" s="2020"/>
      <c r="D44" s="2020"/>
      <c r="E44" s="2020"/>
      <c r="F44" s="2020"/>
      <c r="G44" s="2020"/>
      <c r="H44" s="2020"/>
      <c r="I44" s="2020"/>
    </row>
    <row r="45" spans="1:9" ht="12">
      <c r="A45" s="2020"/>
      <c r="B45" s="2020"/>
      <c r="C45" s="2020"/>
      <c r="D45" s="2020"/>
      <c r="E45" s="2020"/>
      <c r="F45" s="2020"/>
      <c r="G45" s="2020"/>
      <c r="H45" s="2020"/>
      <c r="I45" s="2020"/>
    </row>
    <row r="46" spans="1:9" ht="12">
      <c r="A46" s="2020"/>
      <c r="B46" s="2020"/>
      <c r="C46" s="2020"/>
      <c r="D46" s="2020"/>
      <c r="E46" s="2020"/>
      <c r="F46" s="2020"/>
      <c r="G46" s="2020"/>
      <c r="H46" s="2020"/>
      <c r="I46" s="2020"/>
    </row>
    <row r="47" spans="1:9" ht="12">
      <c r="A47" s="2020"/>
      <c r="B47" s="2020"/>
      <c r="C47" s="2020"/>
      <c r="D47" s="2020"/>
      <c r="E47" s="2020"/>
      <c r="F47" s="2020"/>
      <c r="G47" s="2020"/>
      <c r="H47" s="2020"/>
      <c r="I47" s="2020"/>
    </row>
    <row r="48" spans="1:9" ht="12">
      <c r="A48" s="2020"/>
      <c r="B48" s="2020"/>
      <c r="C48" s="2020"/>
      <c r="D48" s="2020"/>
      <c r="E48" s="2020"/>
      <c r="F48" s="2020"/>
      <c r="G48" s="2020"/>
      <c r="H48" s="2020"/>
      <c r="I48" s="2020"/>
    </row>
    <row r="49" spans="1:9" ht="12">
      <c r="A49" s="2020"/>
      <c r="B49" s="2020"/>
      <c r="C49" s="2020"/>
      <c r="D49" s="2020"/>
      <c r="E49" s="2020"/>
      <c r="F49" s="2020"/>
      <c r="G49" s="2020"/>
      <c r="H49" s="2020"/>
      <c r="I49" s="2020"/>
    </row>
    <row r="50" spans="1:9" ht="12">
      <c r="A50" s="2020"/>
      <c r="B50" s="2020"/>
      <c r="C50" s="2020"/>
      <c r="D50" s="2020"/>
      <c r="E50" s="2020"/>
      <c r="F50" s="2020"/>
      <c r="G50" s="2020"/>
      <c r="H50" s="2020"/>
      <c r="I50" s="2020"/>
    </row>
    <row r="51" spans="1:9" ht="12">
      <c r="A51" s="2020"/>
      <c r="B51" s="2020"/>
      <c r="C51" s="2020"/>
      <c r="D51" s="2020"/>
      <c r="E51" s="2020"/>
      <c r="F51" s="2020"/>
      <c r="G51" s="2020"/>
      <c r="H51" s="2020"/>
      <c r="I51" s="2020"/>
    </row>
    <row r="52" spans="1:9" ht="12">
      <c r="A52" s="717" t="s">
        <v>3926</v>
      </c>
      <c r="B52" s="717"/>
      <c r="C52" s="717"/>
      <c r="D52" s="717"/>
      <c r="E52" s="717"/>
      <c r="F52" s="717"/>
      <c r="G52" s="717"/>
      <c r="H52" s="717"/>
      <c r="I52" s="717"/>
    </row>
    <row r="53" spans="1:9" ht="38.25" customHeight="1">
      <c r="A53" s="2021" t="s">
        <v>3927</v>
      </c>
      <c r="B53" s="2021"/>
      <c r="C53" s="2021"/>
      <c r="D53" s="2021"/>
      <c r="E53" s="2021"/>
      <c r="F53" s="2021"/>
      <c r="G53" s="2021"/>
      <c r="H53" s="2021"/>
      <c r="I53" s="2021"/>
    </row>
    <row r="54" s="708" customFormat="1" ht="12"/>
    <row r="55" s="708" customFormat="1" ht="12"/>
    <row r="56" s="708" customFormat="1" ht="12"/>
    <row r="57" s="708" customFormat="1" ht="12"/>
    <row r="58" s="708" customFormat="1" ht="12"/>
    <row r="59" s="708" customFormat="1" ht="12"/>
    <row r="60" s="708" customFormat="1" ht="12"/>
    <row r="61" s="708" customFormat="1" ht="12"/>
    <row r="62" s="708" customFormat="1" ht="12"/>
    <row r="63" s="708" customFormat="1" ht="12"/>
    <row r="64" s="708" customFormat="1" ht="12"/>
    <row r="65" s="708" customFormat="1" ht="12"/>
    <row r="66" s="708" customFormat="1" ht="12"/>
    <row r="67" s="708" customFormat="1" ht="12"/>
    <row r="68" s="708" customFormat="1" ht="12"/>
    <row r="69" s="708" customFormat="1" ht="12"/>
    <row r="70" s="708" customFormat="1" ht="12"/>
    <row r="71" s="708" customFormat="1" ht="12"/>
    <row r="72" s="708" customFormat="1" ht="12"/>
    <row r="73" s="708" customFormat="1" ht="12"/>
    <row r="74" s="708" customFormat="1" ht="12"/>
    <row r="75" s="708" customFormat="1" ht="12"/>
    <row r="76" s="708" customFormat="1" ht="12"/>
    <row r="77" s="708" customFormat="1" ht="12"/>
    <row r="78" s="708" customFormat="1" ht="12"/>
    <row r="79" s="708" customFormat="1" ht="12"/>
    <row r="80" s="708" customFormat="1" ht="12"/>
    <row r="81" s="708" customFormat="1" ht="12"/>
    <row r="82" s="708" customFormat="1" ht="12"/>
    <row r="83" s="708" customFormat="1" ht="12"/>
    <row r="84" s="708" customFormat="1" ht="12"/>
    <row r="85" s="708" customFormat="1" ht="12"/>
    <row r="86" s="708" customFormat="1" ht="12"/>
    <row r="87" s="708" customFormat="1" ht="12"/>
    <row r="88" s="708" customFormat="1" ht="12"/>
    <row r="89" s="708" customFormat="1" ht="12"/>
    <row r="90" s="708" customFormat="1" ht="12"/>
    <row r="91" s="708" customFormat="1" ht="12"/>
    <row r="92" s="708" customFormat="1" ht="12"/>
    <row r="93" s="708" customFormat="1" ht="12"/>
    <row r="94" s="708" customFormat="1" ht="12"/>
    <row r="95" s="708" customFormat="1" ht="12"/>
    <row r="96" s="708" customFormat="1" ht="12"/>
    <row r="97" s="708" customFormat="1" ht="12"/>
    <row r="98" s="708" customFormat="1" ht="12"/>
    <row r="99" s="708" customFormat="1" ht="12"/>
    <row r="100" s="708" customFormat="1" ht="12"/>
    <row r="101" s="708" customFormat="1" ht="12"/>
    <row r="102" s="708" customFormat="1" ht="12"/>
    <row r="103" s="708" customFormat="1" ht="12"/>
    <row r="104" s="708" customFormat="1" ht="12"/>
    <row r="105" s="708" customFormat="1" ht="12"/>
    <row r="106" s="708" customFormat="1" ht="12"/>
    <row r="107" s="708" customFormat="1" ht="12"/>
    <row r="108" s="708" customFormat="1" ht="12"/>
    <row r="109" s="708" customFormat="1" ht="12"/>
    <row r="110" s="708" customFormat="1" ht="12"/>
    <row r="111" s="708" customFormat="1" ht="12"/>
    <row r="112" s="708" customFormat="1" ht="12"/>
    <row r="113" s="708" customFormat="1" ht="12"/>
    <row r="114" s="708" customFormat="1" ht="12"/>
    <row r="115" s="708" customFormat="1" ht="12"/>
    <row r="116" s="708" customFormat="1" ht="12"/>
    <row r="117" s="708" customFormat="1" ht="12"/>
    <row r="118" s="708" customFormat="1" ht="12"/>
    <row r="119" s="708" customFormat="1" ht="12"/>
    <row r="120" s="708" customFormat="1" ht="12"/>
    <row r="121" s="708" customFormat="1" ht="12"/>
    <row r="122" s="708" customFormat="1" ht="12"/>
    <row r="123" s="708" customFormat="1" ht="12"/>
    <row r="124" s="708" customFormat="1" ht="12"/>
    <row r="125" s="708" customFormat="1" ht="12"/>
    <row r="126" s="708" customFormat="1" ht="12"/>
    <row r="127" s="708" customFormat="1" ht="12"/>
    <row r="128" s="708" customFormat="1" ht="12"/>
    <row r="129" s="708" customFormat="1" ht="12"/>
    <row r="130" s="708" customFormat="1" ht="12"/>
    <row r="131" s="708" customFormat="1" ht="12"/>
    <row r="132" s="708" customFormat="1" ht="12"/>
    <row r="133" s="708" customFormat="1" ht="12"/>
    <row r="134" s="708" customFormat="1" ht="12"/>
    <row r="135" s="708" customFormat="1" ht="12"/>
    <row r="136" s="708" customFormat="1" ht="12"/>
    <row r="137" s="708" customFormat="1" ht="12"/>
    <row r="138" s="708" customFormat="1" ht="12"/>
    <row r="139" s="708" customFormat="1" ht="12"/>
    <row r="140" s="708" customFormat="1" ht="12"/>
    <row r="141" s="708" customFormat="1" ht="12"/>
    <row r="142" s="708" customFormat="1" ht="12"/>
    <row r="143" s="708" customFormat="1" ht="12"/>
    <row r="144" s="708" customFormat="1" ht="12"/>
    <row r="145" s="708" customFormat="1" ht="12"/>
    <row r="146" s="708" customFormat="1" ht="12"/>
    <row r="147" s="708" customFormat="1" ht="12"/>
    <row r="148" s="708" customFormat="1" ht="12"/>
    <row r="149" s="708" customFormat="1" ht="12"/>
    <row r="150" s="708" customFormat="1" ht="12"/>
    <row r="151" s="708" customFormat="1" ht="12"/>
    <row r="152" s="708" customFormat="1" ht="12"/>
    <row r="153" s="708" customFormat="1" ht="12"/>
    <row r="154" s="708" customFormat="1" ht="12"/>
    <row r="155" s="708" customFormat="1" ht="12"/>
    <row r="156" s="708" customFormat="1" ht="12"/>
    <row r="157" s="708" customFormat="1" ht="12"/>
    <row r="158" s="708" customFormat="1" ht="12"/>
    <row r="159" s="708" customFormat="1" ht="12"/>
    <row r="160" s="708" customFormat="1" ht="12"/>
    <row r="161" s="708" customFormat="1" ht="12"/>
    <row r="162" s="708" customFormat="1" ht="12"/>
    <row r="163" s="708" customFormat="1" ht="12"/>
    <row r="164" s="708" customFormat="1" ht="12"/>
    <row r="165" s="708" customFormat="1" ht="12"/>
    <row r="166" s="708" customFormat="1" ht="12"/>
    <row r="167" s="708" customFormat="1" ht="12"/>
    <row r="168" s="708" customFormat="1" ht="12"/>
    <row r="169" s="708" customFormat="1" ht="12"/>
    <row r="170" s="708" customFormat="1" ht="12"/>
    <row r="171" s="708" customFormat="1" ht="12"/>
    <row r="172" s="708" customFormat="1" ht="12"/>
    <row r="173" s="708" customFormat="1" ht="12"/>
    <row r="174" s="708" customFormat="1" ht="12"/>
    <row r="175" s="708" customFormat="1" ht="12"/>
    <row r="176" s="708" customFormat="1" ht="12"/>
    <row r="177" s="708" customFormat="1" ht="12"/>
    <row r="178" s="708" customFormat="1" ht="12"/>
    <row r="179" s="708" customFormat="1" ht="12"/>
    <row r="180" s="708" customFormat="1" ht="12"/>
    <row r="181" s="708" customFormat="1" ht="12"/>
    <row r="182" s="708" customFormat="1" ht="12"/>
    <row r="183" s="708" customFormat="1" ht="12"/>
    <row r="184" s="708" customFormat="1" ht="12"/>
    <row r="185" s="708" customFormat="1" ht="12"/>
    <row r="186" s="708" customFormat="1" ht="12"/>
    <row r="187" s="708" customFormat="1" ht="12"/>
    <row r="188" s="708" customFormat="1" ht="12"/>
    <row r="189" s="708" customFormat="1" ht="12"/>
    <row r="190" s="708" customFormat="1" ht="12"/>
    <row r="191" s="708" customFormat="1" ht="12"/>
    <row r="192" s="708" customFormat="1" ht="12"/>
    <row r="193" s="708" customFormat="1" ht="12"/>
    <row r="194" s="708" customFormat="1" ht="12"/>
    <row r="195" s="708" customFormat="1" ht="12"/>
    <row r="196" s="708" customFormat="1" ht="12"/>
    <row r="197" s="708" customFormat="1" ht="12"/>
    <row r="198" s="708" customFormat="1" ht="12"/>
    <row r="199" s="708" customFormat="1" ht="12"/>
    <row r="200" s="708" customFormat="1" ht="12"/>
    <row r="201" s="708" customFormat="1" ht="12"/>
    <row r="202" s="708" customFormat="1" ht="12"/>
    <row r="203" s="708" customFormat="1" ht="12"/>
    <row r="204" s="708" customFormat="1" ht="12"/>
    <row r="205" s="708" customFormat="1" ht="12"/>
    <row r="206" s="708" customFormat="1" ht="12"/>
    <row r="207" s="708" customFormat="1" ht="12"/>
    <row r="208" s="708" customFormat="1" ht="12"/>
    <row r="209" s="708" customFormat="1" ht="12"/>
    <row r="210" s="708" customFormat="1" ht="12"/>
    <row r="211" s="708" customFormat="1" ht="12"/>
    <row r="212" s="708" customFormat="1" ht="12"/>
    <row r="213" s="708" customFormat="1" ht="12"/>
    <row r="214" s="708" customFormat="1" ht="12"/>
    <row r="215" s="708" customFormat="1" ht="12"/>
    <row r="216" s="708" customFormat="1" ht="12"/>
    <row r="217" s="708" customFormat="1" ht="12"/>
    <row r="218" s="708" customFormat="1" ht="12"/>
    <row r="219" s="708" customFormat="1" ht="12"/>
    <row r="220" s="708" customFormat="1" ht="12"/>
    <row r="221" s="708" customFormat="1" ht="12"/>
    <row r="222" s="708" customFormat="1" ht="12"/>
    <row r="223" s="708" customFormat="1" ht="12"/>
    <row r="224" s="708" customFormat="1" ht="12"/>
    <row r="225" s="708" customFormat="1" ht="12"/>
    <row r="226" s="708" customFormat="1" ht="12"/>
    <row r="227" s="708" customFormat="1" ht="12"/>
    <row r="228" s="708" customFormat="1" ht="12"/>
    <row r="229" s="708" customFormat="1" ht="12"/>
    <row r="230" s="708" customFormat="1" ht="12"/>
    <row r="231" s="708" customFormat="1" ht="12"/>
    <row r="232" s="708" customFormat="1" ht="12"/>
    <row r="233" s="708" customFormat="1" ht="12"/>
    <row r="234" s="708" customFormat="1" ht="12"/>
    <row r="235" s="708" customFormat="1" ht="12"/>
    <row r="236" s="708" customFormat="1" ht="12"/>
    <row r="237" s="708" customFormat="1" ht="12"/>
    <row r="238" s="708" customFormat="1" ht="12"/>
    <row r="239" s="708" customFormat="1" ht="12"/>
    <row r="240" s="708" customFormat="1" ht="12"/>
    <row r="241" s="708" customFormat="1" ht="12"/>
    <row r="242" s="708" customFormat="1" ht="12"/>
    <row r="243" s="708" customFormat="1" ht="12"/>
    <row r="244" s="708" customFormat="1" ht="12"/>
    <row r="245" s="708" customFormat="1" ht="12"/>
    <row r="246" s="708" customFormat="1" ht="12"/>
    <row r="247" s="708" customFormat="1" ht="12"/>
    <row r="248" s="708" customFormat="1" ht="12"/>
    <row r="249" s="708" customFormat="1" ht="12"/>
    <row r="250" s="708" customFormat="1" ht="12"/>
    <row r="251" s="708" customFormat="1" ht="12"/>
    <row r="252" s="708" customFormat="1" ht="12"/>
    <row r="253" s="708" customFormat="1" ht="12"/>
    <row r="254" s="708" customFormat="1" ht="12"/>
    <row r="255" s="708" customFormat="1" ht="12"/>
    <row r="256" s="708" customFormat="1" ht="12"/>
    <row r="257" s="708" customFormat="1" ht="12"/>
    <row r="258" s="708" customFormat="1" ht="12"/>
    <row r="259" s="708" customFormat="1" ht="12"/>
    <row r="260" s="708" customFormat="1" ht="12"/>
    <row r="261" s="708" customFormat="1" ht="12"/>
    <row r="262" s="708" customFormat="1" ht="12"/>
    <row r="263" s="708" customFormat="1" ht="12"/>
    <row r="264" s="708" customFormat="1" ht="12"/>
    <row r="265" s="708" customFormat="1" ht="12"/>
    <row r="266" s="708" customFormat="1" ht="12"/>
    <row r="267" s="708" customFormat="1" ht="12"/>
    <row r="268" s="708" customFormat="1" ht="12"/>
    <row r="269" s="708" customFormat="1" ht="12"/>
    <row r="270" s="708" customFormat="1" ht="12"/>
    <row r="271" s="708" customFormat="1" ht="12"/>
    <row r="272" s="708" customFormat="1" ht="12"/>
    <row r="273" s="708" customFormat="1" ht="12"/>
    <row r="274" s="708" customFormat="1" ht="12"/>
    <row r="275" s="708" customFormat="1" ht="12"/>
    <row r="276" s="708" customFormat="1" ht="12"/>
    <row r="277" s="708" customFormat="1" ht="12"/>
    <row r="278" s="708" customFormat="1" ht="12"/>
    <row r="279" s="708" customFormat="1" ht="12"/>
    <row r="280" s="708" customFormat="1" ht="12"/>
    <row r="281" s="708" customFormat="1" ht="12"/>
    <row r="282" s="708" customFormat="1" ht="12"/>
    <row r="283" s="708" customFormat="1" ht="12"/>
    <row r="284" s="708" customFormat="1" ht="12"/>
    <row r="285" s="708" customFormat="1" ht="12"/>
    <row r="286" s="708" customFormat="1" ht="12"/>
    <row r="287" s="708" customFormat="1" ht="12"/>
    <row r="288" s="708" customFormat="1" ht="12"/>
    <row r="289" s="708" customFormat="1" ht="12"/>
    <row r="290" s="708" customFormat="1" ht="12"/>
    <row r="291" s="708" customFormat="1" ht="12"/>
    <row r="292" s="708" customFormat="1" ht="12"/>
    <row r="293" s="708" customFormat="1" ht="12"/>
    <row r="294" s="708" customFormat="1" ht="12"/>
    <row r="295" s="708" customFormat="1" ht="12"/>
    <row r="296" s="708" customFormat="1" ht="12"/>
    <row r="297" s="708" customFormat="1" ht="12"/>
    <row r="298" s="708" customFormat="1" ht="12"/>
    <row r="299" s="708" customFormat="1" ht="12"/>
    <row r="300" s="708" customFormat="1" ht="12"/>
    <row r="301" s="708" customFormat="1" ht="12"/>
    <row r="302" s="708" customFormat="1" ht="12"/>
    <row r="303" s="708" customFormat="1" ht="12"/>
    <row r="304" s="708" customFormat="1" ht="12"/>
    <row r="305" s="708" customFormat="1" ht="12"/>
    <row r="306" s="708" customFormat="1" ht="12"/>
    <row r="307" s="708" customFormat="1" ht="12"/>
    <row r="308" s="708" customFormat="1" ht="12"/>
    <row r="309" s="708" customFormat="1" ht="12"/>
    <row r="310" s="708" customFormat="1" ht="12"/>
    <row r="311" s="708" customFormat="1" ht="12"/>
    <row r="312" s="708" customFormat="1" ht="12"/>
    <row r="313" s="708" customFormat="1" ht="12"/>
    <row r="314" s="708" customFormat="1" ht="12"/>
    <row r="315" s="708" customFormat="1" ht="12"/>
    <row r="316" s="708" customFormat="1" ht="12"/>
    <row r="317" s="708" customFormat="1" ht="12"/>
    <row r="318" s="708" customFormat="1" ht="12"/>
    <row r="319" s="708" customFormat="1" ht="12"/>
    <row r="320" s="708" customFormat="1" ht="12"/>
    <row r="321" s="708" customFormat="1" ht="12"/>
    <row r="322" s="708" customFormat="1" ht="12"/>
    <row r="323" s="708" customFormat="1" ht="12"/>
    <row r="324" s="708" customFormat="1" ht="12"/>
    <row r="325" s="708" customFormat="1" ht="12"/>
    <row r="326" s="708" customFormat="1" ht="12"/>
    <row r="327" s="708" customFormat="1" ht="12"/>
    <row r="328" s="708" customFormat="1" ht="12"/>
    <row r="329" s="708" customFormat="1" ht="12"/>
    <row r="330" s="708" customFormat="1" ht="12"/>
    <row r="331" s="708" customFormat="1" ht="12"/>
    <row r="332" s="708" customFormat="1" ht="12"/>
    <row r="333" s="708" customFormat="1" ht="12"/>
    <row r="334" s="708" customFormat="1" ht="12"/>
    <row r="335" s="708" customFormat="1" ht="12"/>
    <row r="336" s="708" customFormat="1" ht="12"/>
    <row r="337" s="708" customFormat="1" ht="12"/>
    <row r="338" s="708" customFormat="1" ht="12"/>
    <row r="339" s="708" customFormat="1" ht="12"/>
    <row r="340" s="708" customFormat="1" ht="12"/>
    <row r="341" s="708" customFormat="1" ht="12"/>
    <row r="342" s="708" customFormat="1" ht="12"/>
    <row r="343" s="708" customFormat="1" ht="12"/>
    <row r="344" s="708" customFormat="1" ht="12"/>
    <row r="345" s="708" customFormat="1" ht="12"/>
    <row r="346" s="708" customFormat="1" ht="12"/>
    <row r="347" s="708" customFormat="1" ht="12"/>
    <row r="348" s="708" customFormat="1" ht="12"/>
    <row r="349" s="708" customFormat="1" ht="12"/>
    <row r="350" s="708" customFormat="1" ht="12"/>
    <row r="351" s="708" customFormat="1" ht="12"/>
    <row r="352" s="708" customFormat="1" ht="12"/>
    <row r="353" s="708" customFormat="1" ht="12"/>
    <row r="354" s="708" customFormat="1" ht="12"/>
    <row r="355" s="708" customFormat="1" ht="12"/>
    <row r="356" s="708" customFormat="1" ht="12"/>
    <row r="357" s="708" customFormat="1" ht="12"/>
    <row r="358" s="708" customFormat="1" ht="12"/>
    <row r="359" s="708" customFormat="1" ht="12"/>
    <row r="360" s="708" customFormat="1" ht="12"/>
    <row r="361" s="708" customFormat="1" ht="12"/>
    <row r="362" s="708" customFormat="1" ht="12"/>
    <row r="363" s="708" customFormat="1" ht="12"/>
    <row r="364" s="708" customFormat="1" ht="12"/>
    <row r="365" s="708" customFormat="1" ht="12"/>
    <row r="366" s="708" customFormat="1" ht="12"/>
    <row r="367" s="708" customFormat="1" ht="12"/>
    <row r="368" s="708" customFormat="1" ht="12"/>
    <row r="369" s="708" customFormat="1" ht="12"/>
    <row r="370" s="708" customFormat="1" ht="12"/>
    <row r="371" s="708" customFormat="1" ht="12"/>
    <row r="372" s="708" customFormat="1" ht="12"/>
    <row r="373" s="708" customFormat="1" ht="12"/>
    <row r="374" s="708" customFormat="1" ht="12"/>
    <row r="375" s="708" customFormat="1" ht="12"/>
    <row r="376" s="708" customFormat="1" ht="12"/>
    <row r="377" s="708" customFormat="1" ht="12"/>
    <row r="378" s="708" customFormat="1" ht="12"/>
    <row r="379" s="708" customFormat="1" ht="12"/>
    <row r="380" s="708" customFormat="1" ht="12"/>
    <row r="381" s="708" customFormat="1" ht="12"/>
    <row r="382" s="708" customFormat="1" ht="12"/>
    <row r="383" s="708" customFormat="1" ht="12"/>
    <row r="384" s="708" customFormat="1" ht="12"/>
    <row r="385" s="708" customFormat="1" ht="12"/>
    <row r="386" s="708" customFormat="1" ht="12"/>
    <row r="387" s="708" customFormat="1" ht="12"/>
    <row r="388" s="708" customFormat="1" ht="12"/>
    <row r="389" s="708" customFormat="1" ht="12"/>
    <row r="390" s="708" customFormat="1" ht="12"/>
    <row r="391" s="708" customFormat="1" ht="12"/>
    <row r="392" s="708" customFormat="1" ht="12"/>
    <row r="393" s="708" customFormat="1" ht="12"/>
    <row r="394" s="708" customFormat="1" ht="12"/>
    <row r="395" s="708" customFormat="1" ht="12"/>
    <row r="396" s="708" customFormat="1" ht="12"/>
    <row r="397" s="708" customFormat="1" ht="12"/>
    <row r="398" s="708" customFormat="1" ht="12"/>
    <row r="399" s="708" customFormat="1" ht="12"/>
    <row r="400" s="708" customFormat="1" ht="12"/>
    <row r="401" s="708" customFormat="1" ht="12"/>
    <row r="402" s="708" customFormat="1" ht="12"/>
    <row r="403" s="708" customFormat="1" ht="12"/>
    <row r="404" s="708" customFormat="1" ht="12"/>
    <row r="405" s="708" customFormat="1" ht="12"/>
    <row r="406" s="708" customFormat="1" ht="12"/>
    <row r="407" s="708" customFormat="1" ht="12"/>
    <row r="408" s="708" customFormat="1" ht="12"/>
    <row r="409" s="708" customFormat="1" ht="12"/>
    <row r="410" s="708" customFormat="1" ht="12"/>
    <row r="411" s="708" customFormat="1" ht="12"/>
    <row r="412" s="708" customFormat="1" ht="12"/>
    <row r="413" s="708" customFormat="1" ht="12"/>
    <row r="414" s="708" customFormat="1" ht="12"/>
    <row r="415" s="708" customFormat="1" ht="12"/>
    <row r="416" s="708" customFormat="1" ht="12"/>
    <row r="417" s="708" customFormat="1" ht="12"/>
    <row r="418" s="708" customFormat="1" ht="12"/>
    <row r="419" s="708" customFormat="1" ht="12"/>
    <row r="420" s="708" customFormat="1" ht="12"/>
    <row r="421" s="708" customFormat="1" ht="12"/>
    <row r="422" s="708" customFormat="1" ht="12"/>
    <row r="423" s="708" customFormat="1" ht="12"/>
    <row r="424" s="708" customFormat="1" ht="12"/>
    <row r="425" s="708" customFormat="1" ht="12"/>
    <row r="426" s="708" customFormat="1" ht="12"/>
    <row r="427" s="708" customFormat="1" ht="12"/>
    <row r="428" s="708" customFormat="1" ht="12"/>
    <row r="429" s="708" customFormat="1" ht="12"/>
    <row r="430" s="708" customFormat="1" ht="12"/>
    <row r="431" s="708" customFormat="1" ht="12"/>
    <row r="432" s="708" customFormat="1" ht="12"/>
    <row r="433" s="708" customFormat="1" ht="12"/>
    <row r="434" s="708" customFormat="1" ht="12"/>
    <row r="435" s="708" customFormat="1" ht="12"/>
    <row r="436" s="708" customFormat="1" ht="12"/>
    <row r="437" s="708" customFormat="1" ht="12"/>
    <row r="438" s="708" customFormat="1" ht="12"/>
    <row r="439" s="708" customFormat="1" ht="12"/>
    <row r="440" s="708" customFormat="1" ht="12"/>
    <row r="441" s="708" customFormat="1" ht="12"/>
    <row r="442" s="708" customFormat="1" ht="12"/>
    <row r="443" s="708" customFormat="1" ht="12"/>
    <row r="444" s="708" customFormat="1" ht="12"/>
    <row r="445" s="708" customFormat="1" ht="12"/>
    <row r="446" s="708" customFormat="1" ht="12"/>
    <row r="447" s="708" customFormat="1" ht="12"/>
    <row r="448" s="708" customFormat="1" ht="12"/>
    <row r="449" s="708" customFormat="1" ht="12"/>
    <row r="450" s="708" customFormat="1" ht="12"/>
    <row r="451" s="708" customFormat="1" ht="12"/>
    <row r="452" s="708" customFormat="1" ht="12"/>
    <row r="453" s="708" customFormat="1" ht="12"/>
    <row r="454" s="708" customFormat="1" ht="12"/>
    <row r="455" s="708" customFormat="1" ht="12"/>
    <row r="456" s="708" customFormat="1" ht="12"/>
    <row r="457" s="708" customFormat="1" ht="12"/>
    <row r="458" s="708" customFormat="1" ht="12"/>
    <row r="459" s="708" customFormat="1" ht="12"/>
    <row r="460" s="708" customFormat="1" ht="12"/>
    <row r="461" s="708" customFormat="1" ht="12"/>
    <row r="462" s="708" customFormat="1" ht="12"/>
    <row r="463" s="708" customFormat="1" ht="12"/>
    <row r="464" s="708" customFormat="1" ht="12"/>
    <row r="465" s="708" customFormat="1" ht="12"/>
    <row r="466" s="708" customFormat="1" ht="12"/>
    <row r="467" s="708" customFormat="1" ht="12"/>
    <row r="468" s="708" customFormat="1" ht="12"/>
    <row r="469" s="708" customFormat="1" ht="12"/>
    <row r="470" s="708" customFormat="1" ht="12"/>
  </sheetData>
  <sheetProtection password="EF65" sheet="1" objects="1" scenarios="1"/>
  <mergeCells count="37">
    <mergeCell ref="A1:I2"/>
    <mergeCell ref="A3:I3"/>
    <mergeCell ref="A4:I4"/>
    <mergeCell ref="A5:I5"/>
    <mergeCell ref="A6:E6"/>
    <mergeCell ref="F6:G6"/>
    <mergeCell ref="H6:I6"/>
    <mergeCell ref="A13:F13"/>
    <mergeCell ref="G13:I13"/>
    <mergeCell ref="A7:I7"/>
    <mergeCell ref="A8:B8"/>
    <mergeCell ref="C8:F8"/>
    <mergeCell ref="H8:I8"/>
    <mergeCell ref="A9:B9"/>
    <mergeCell ref="C9:F9"/>
    <mergeCell ref="G9:I9"/>
    <mergeCell ref="B10:I10"/>
    <mergeCell ref="A11:I11"/>
    <mergeCell ref="A12:C12"/>
    <mergeCell ref="D12:E12"/>
    <mergeCell ref="F12:I12"/>
    <mergeCell ref="A14:I14"/>
    <mergeCell ref="A15:C15"/>
    <mergeCell ref="E15:I15"/>
    <mergeCell ref="A16:I19"/>
    <mergeCell ref="B20:C20"/>
    <mergeCell ref="D20:I20"/>
    <mergeCell ref="A25:I51"/>
    <mergeCell ref="A53:I53"/>
    <mergeCell ref="A21:I21"/>
    <mergeCell ref="A22:I22"/>
    <mergeCell ref="A23:C23"/>
    <mergeCell ref="D23:F23"/>
    <mergeCell ref="H23:I23"/>
    <mergeCell ref="A24:C24"/>
    <mergeCell ref="D24:F24"/>
    <mergeCell ref="G24:I24"/>
  </mergeCells>
  <printOptions horizontalCentered="1" verticalCentered="1"/>
  <pageMargins left="0.393700787401575" right="0.393700787401575" top="0.393700787401575" bottom="0.393700787401575" header="0.31496062992126" footer="0.31496062992126"/>
  <pageSetup orientation="portrait" paperSize="9"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800-000000000000}">
  <sheetPr>
    <tabColor theme="6" tint="0.599990010261536"/>
    <pageSetUpPr fitToPage="1"/>
  </sheetPr>
  <dimension ref="A1:CA115"/>
  <sheetViews>
    <sheetView workbookViewId="0" topLeftCell="A1">
      <selection pane="topLeft" activeCell="A11" sqref="A11:W11"/>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9"/>
    <col min="69" max="79" width="9.14285714285714" style="28"/>
  </cols>
  <sheetData>
    <row r="1" spans="1:50" ht="21.95" customHeight="1">
      <c r="A1" s="84"/>
      <c r="B1" s="84"/>
      <c r="C1" s="84"/>
      <c r="D1" s="84"/>
      <c r="E1" s="84"/>
      <c r="F1" s="84"/>
      <c r="G1" s="84"/>
      <c r="H1" s="84"/>
      <c r="I1" s="84"/>
      <c r="J1" s="84"/>
      <c r="K1" s="84"/>
      <c r="L1" s="84"/>
      <c r="M1" s="84"/>
      <c r="N1" s="84"/>
      <c r="O1" s="84"/>
      <c r="P1" s="84"/>
      <c r="Q1" s="84"/>
      <c r="R1" s="84"/>
      <c r="S1" s="84"/>
      <c r="T1" s="2137" t="s">
        <v>435</v>
      </c>
      <c r="U1" s="790"/>
      <c r="V1" s="790"/>
      <c r="W1" s="790"/>
      <c r="X1" s="790"/>
      <c r="Y1" s="790"/>
      <c r="Z1" s="790"/>
      <c r="AA1" s="791"/>
      <c r="AB1" s="84"/>
      <c r="AC1" s="84"/>
      <c r="AD1" s="330"/>
      <c r="AE1" s="330"/>
      <c r="AF1" s="2106" t="s">
        <v>0</v>
      </c>
      <c r="AG1" s="2107"/>
      <c r="AH1" s="2107"/>
      <c r="AI1" s="2107"/>
      <c r="AJ1" s="2107"/>
      <c r="AK1" s="2107"/>
      <c r="AL1" s="2107"/>
      <c r="AM1" s="2107"/>
      <c r="AN1" s="2107"/>
      <c r="AO1" s="2107"/>
      <c r="AP1" s="2107"/>
      <c r="AQ1" s="2107"/>
      <c r="AR1" s="2108"/>
      <c r="AT1" s="578"/>
      <c r="AU1" s="2230" t="s">
        <v>3780</v>
      </c>
      <c r="AV1" s="2231"/>
      <c r="AW1" s="2231"/>
      <c r="AX1" s="578"/>
    </row>
    <row r="2" spans="1:50" ht="18" customHeight="1">
      <c r="A2" s="84"/>
      <c r="B2" s="84"/>
      <c r="C2" s="84"/>
      <c r="D2" s="84"/>
      <c r="E2" s="84"/>
      <c r="F2" s="84"/>
      <c r="G2" s="84"/>
      <c r="H2" s="84"/>
      <c r="I2" s="84"/>
      <c r="J2" s="84"/>
      <c r="K2" s="84"/>
      <c r="L2" s="84"/>
      <c r="M2" s="84"/>
      <c r="N2" s="84"/>
      <c r="O2" s="84"/>
      <c r="P2" s="84"/>
      <c r="Q2" s="84"/>
      <c r="R2" s="297"/>
      <c r="S2" s="84"/>
      <c r="T2" s="2138" t="s">
        <v>436</v>
      </c>
      <c r="U2" s="793"/>
      <c r="V2" s="793"/>
      <c r="W2" s="793"/>
      <c r="X2" s="793"/>
      <c r="Y2" s="793"/>
      <c r="Z2" s="793"/>
      <c r="AA2" s="772"/>
      <c r="AB2" s="84"/>
      <c r="AC2" s="297"/>
      <c r="AD2" s="330"/>
      <c r="AE2" s="330"/>
      <c r="AF2" s="2109"/>
      <c r="AG2" s="833"/>
      <c r="AH2" s="833"/>
      <c r="AI2" s="833"/>
      <c r="AJ2" s="833"/>
      <c r="AK2" s="833"/>
      <c r="AL2" s="833"/>
      <c r="AM2" s="833"/>
      <c r="AN2" s="833"/>
      <c r="AO2" s="833"/>
      <c r="AP2" s="833"/>
      <c r="AQ2" s="833"/>
      <c r="AR2" s="2110"/>
      <c r="AT2" s="578"/>
      <c r="AU2" s="579" t="s">
        <v>3714</v>
      </c>
      <c r="AV2" s="579"/>
      <c r="AW2" s="579" t="s">
        <v>3715</v>
      </c>
      <c r="AX2" s="578"/>
    </row>
    <row r="3" spans="1:50" ht="14.25" customHeight="1">
      <c r="A3" s="84"/>
      <c r="B3" s="84"/>
      <c r="C3" s="84"/>
      <c r="D3" s="84"/>
      <c r="E3" s="84"/>
      <c r="F3" s="84"/>
      <c r="G3" s="84"/>
      <c r="H3" s="84"/>
      <c r="I3" s="84"/>
      <c r="J3" s="84"/>
      <c r="K3" s="84"/>
      <c r="L3" s="84"/>
      <c r="M3" s="84"/>
      <c r="N3" s="84"/>
      <c r="O3" s="84"/>
      <c r="P3" s="84"/>
      <c r="Q3" s="84"/>
      <c r="R3" s="84"/>
      <c r="S3" s="84"/>
      <c r="T3" s="2123" t="s">
        <v>437</v>
      </c>
      <c r="U3" s="793"/>
      <c r="V3" s="793"/>
      <c r="W3" s="793"/>
      <c r="X3" s="793"/>
      <c r="Y3" s="793"/>
      <c r="Z3" s="793"/>
      <c r="AA3" s="772"/>
      <c r="AB3" s="84"/>
      <c r="AC3" s="84"/>
      <c r="AD3" s="330"/>
      <c r="AE3" s="330"/>
      <c r="AF3" s="2109"/>
      <c r="AG3" s="833"/>
      <c r="AH3" s="833"/>
      <c r="AI3" s="833"/>
      <c r="AJ3" s="833"/>
      <c r="AK3" s="833"/>
      <c r="AL3" s="833"/>
      <c r="AM3" s="833"/>
      <c r="AN3" s="833"/>
      <c r="AO3" s="833"/>
      <c r="AP3" s="833"/>
      <c r="AQ3" s="833"/>
      <c r="AR3" s="2110"/>
      <c r="AT3" s="578"/>
      <c r="AU3" s="580" t="s">
        <v>316</v>
      </c>
      <c r="AV3" s="578"/>
      <c r="AW3" s="580"/>
      <c r="AX3" s="578"/>
    </row>
    <row r="4" spans="1:50" ht="21.95" customHeight="1">
      <c r="A4" s="2131"/>
      <c r="B4" s="2131"/>
      <c r="C4" s="2131"/>
      <c r="D4" s="2131"/>
      <c r="E4" s="2131"/>
      <c r="F4" s="2132" t="s">
        <v>434</v>
      </c>
      <c r="G4" s="2133"/>
      <c r="H4" s="2133"/>
      <c r="I4" s="2133"/>
      <c r="J4" s="2133"/>
      <c r="K4" s="2133"/>
      <c r="L4" s="2133"/>
      <c r="M4" s="2133"/>
      <c r="N4" s="2133"/>
      <c r="O4" s="2133"/>
      <c r="P4" s="2133"/>
      <c r="Q4" s="2133"/>
      <c r="R4" s="2133"/>
      <c r="S4" s="2134"/>
      <c r="T4" s="2124">
        <v>2017</v>
      </c>
      <c r="U4" s="795"/>
      <c r="V4" s="795"/>
      <c r="W4" s="795"/>
      <c r="X4" s="795"/>
      <c r="Y4" s="795"/>
      <c r="Z4" s="795"/>
      <c r="AA4" s="796"/>
      <c r="AB4" s="84"/>
      <c r="AC4" s="84"/>
      <c r="AD4" s="330"/>
      <c r="AE4" s="330"/>
      <c r="AF4" s="2109"/>
      <c r="AG4" s="833"/>
      <c r="AH4" s="833"/>
      <c r="AI4" s="833"/>
      <c r="AJ4" s="833"/>
      <c r="AK4" s="833"/>
      <c r="AL4" s="833"/>
      <c r="AM4" s="833"/>
      <c r="AN4" s="833"/>
      <c r="AO4" s="833"/>
      <c r="AP4" s="833"/>
      <c r="AQ4" s="833"/>
      <c r="AR4" s="2110"/>
      <c r="AT4" s="578"/>
      <c r="AU4" s="578"/>
      <c r="AV4" s="578"/>
      <c r="AW4" s="578"/>
      <c r="AX4" s="578"/>
    </row>
    <row r="5" spans="1:44" ht="15" customHeight="1">
      <c r="A5" s="2150" t="s">
        <v>78</v>
      </c>
      <c r="B5" s="2151"/>
      <c r="C5" s="2151"/>
      <c r="D5" s="2151"/>
      <c r="E5" s="2151"/>
      <c r="F5" s="2151"/>
      <c r="G5" s="2151"/>
      <c r="H5" s="2151"/>
      <c r="I5" s="2151"/>
      <c r="J5" s="2151"/>
      <c r="K5" s="2151"/>
      <c r="L5" s="2151"/>
      <c r="M5" s="2151"/>
      <c r="N5" s="2151"/>
      <c r="O5" s="2151"/>
      <c r="P5" s="2151"/>
      <c r="Q5" s="2151"/>
      <c r="R5" s="2151"/>
      <c r="S5" s="158"/>
      <c r="T5" s="84"/>
      <c r="U5" s="2127"/>
      <c r="V5" s="2127"/>
      <c r="W5" s="2127"/>
      <c r="X5" s="2127"/>
      <c r="Y5" s="2127"/>
      <c r="Z5" s="2127"/>
      <c r="AA5" s="84"/>
      <c r="AB5" s="84"/>
      <c r="AC5" s="84"/>
      <c r="AD5" s="330"/>
      <c r="AE5" s="330"/>
      <c r="AF5" s="2109"/>
      <c r="AG5" s="833"/>
      <c r="AH5" s="833"/>
      <c r="AI5" s="833"/>
      <c r="AJ5" s="833"/>
      <c r="AK5" s="833"/>
      <c r="AL5" s="833"/>
      <c r="AM5" s="833"/>
      <c r="AN5" s="833"/>
      <c r="AO5" s="833"/>
      <c r="AP5" s="833"/>
      <c r="AQ5" s="833"/>
      <c r="AR5" s="2110"/>
    </row>
    <row r="6" spans="1:44" ht="15" customHeight="1">
      <c r="A6" s="2151"/>
      <c r="B6" s="2151"/>
      <c r="C6" s="2151"/>
      <c r="D6" s="2151"/>
      <c r="E6" s="2151"/>
      <c r="F6" s="2151"/>
      <c r="G6" s="2151"/>
      <c r="H6" s="2151"/>
      <c r="I6" s="2151"/>
      <c r="J6" s="2151"/>
      <c r="K6" s="2151"/>
      <c r="L6" s="2151"/>
      <c r="M6" s="2151"/>
      <c r="N6" s="2151"/>
      <c r="O6" s="2151"/>
      <c r="P6" s="2151"/>
      <c r="Q6" s="2151"/>
      <c r="R6" s="2151"/>
      <c r="S6" s="158"/>
      <c r="T6" s="84"/>
      <c r="U6" s="2127" t="s">
        <v>77</v>
      </c>
      <c r="V6" s="2127"/>
      <c r="W6" s="2127"/>
      <c r="X6" s="2127"/>
      <c r="Y6" s="2127"/>
      <c r="Z6" s="2127"/>
      <c r="AA6" s="84"/>
      <c r="AB6" s="84"/>
      <c r="AC6" s="84"/>
      <c r="AD6" s="84"/>
      <c r="AE6" s="84"/>
      <c r="AF6" s="2094"/>
      <c r="AG6" s="793"/>
      <c r="AH6" s="793"/>
      <c r="AI6" s="793"/>
      <c r="AJ6" s="793"/>
      <c r="AK6" s="793"/>
      <c r="AL6" s="793"/>
      <c r="AM6" s="793"/>
      <c r="AN6" s="793"/>
      <c r="AO6" s="793"/>
      <c r="AP6" s="793"/>
      <c r="AQ6" s="793"/>
      <c r="AR6" s="2111"/>
    </row>
    <row r="7" spans="1:44" ht="10.5" customHeight="1">
      <c r="A7" s="2125" t="s">
        <v>3640</v>
      </c>
      <c r="B7" s="2126"/>
      <c r="C7" s="2126"/>
      <c r="D7" s="2126"/>
      <c r="E7" s="2126"/>
      <c r="F7" s="2126"/>
      <c r="G7" s="2126"/>
      <c r="H7" s="2126"/>
      <c r="I7" s="2126"/>
      <c r="J7" s="2126"/>
      <c r="K7" s="2126"/>
      <c r="L7" s="2126"/>
      <c r="M7" s="2126"/>
      <c r="N7" s="2126"/>
      <c r="O7" s="2126"/>
      <c r="P7" s="2126"/>
      <c r="Q7" s="2126"/>
      <c r="R7" s="2126"/>
      <c r="S7" s="2126"/>
      <c r="T7" s="2128" t="s">
        <v>400</v>
      </c>
      <c r="U7" s="745"/>
      <c r="V7" s="2111"/>
      <c r="W7" s="298" t="s">
        <v>316</v>
      </c>
      <c r="X7" s="2129" t="s">
        <v>401</v>
      </c>
      <c r="Y7" s="2130"/>
      <c r="Z7" s="298"/>
      <c r="AA7" s="84"/>
      <c r="AB7" s="84"/>
      <c r="AC7" s="84"/>
      <c r="AD7" s="84"/>
      <c r="AE7" s="84"/>
      <c r="AF7" s="2101"/>
      <c r="AG7" s="2096"/>
      <c r="AH7" s="2096"/>
      <c r="AI7" s="2096"/>
      <c r="AJ7" s="2096"/>
      <c r="AK7" s="2096"/>
      <c r="AL7" s="2096"/>
      <c r="AM7" s="2096"/>
      <c r="AN7" s="2096"/>
      <c r="AO7" s="2096"/>
      <c r="AP7" s="2096"/>
      <c r="AQ7" s="2096"/>
      <c r="AR7" s="2097"/>
    </row>
    <row r="8" spans="1:44" ht="12.75">
      <c r="A8" s="2232" t="s">
        <v>121</v>
      </c>
      <c r="B8" s="2232"/>
      <c r="C8" s="2232"/>
      <c r="D8" s="2232"/>
      <c r="E8" s="2232"/>
      <c r="F8" s="2232"/>
      <c r="G8" s="2232"/>
      <c r="H8" s="2232"/>
      <c r="I8" s="2232"/>
      <c r="J8" s="2232"/>
      <c r="K8" s="2232"/>
      <c r="L8" s="2232"/>
      <c r="M8" s="2232"/>
      <c r="N8" s="2232"/>
      <c r="O8" s="2232"/>
      <c r="P8" s="2232"/>
      <c r="Q8" s="2232"/>
      <c r="R8" s="2232"/>
      <c r="S8" s="2232"/>
      <c r="T8" s="2232"/>
      <c r="U8" s="2232"/>
      <c r="V8" s="2232"/>
      <c r="W8" s="2232"/>
      <c r="X8" s="2232"/>
      <c r="Y8" s="2232"/>
      <c r="Z8" s="2232"/>
      <c r="AA8" s="2232"/>
      <c r="AB8" s="2232"/>
      <c r="AC8" s="2232"/>
      <c r="AD8" s="2232"/>
      <c r="AE8" s="2232"/>
      <c r="AF8" s="2232"/>
      <c r="AG8" s="2232"/>
      <c r="AH8" s="2232"/>
      <c r="AI8" s="2232"/>
      <c r="AJ8" s="2232"/>
      <c r="AK8" s="2232"/>
      <c r="AL8" s="2232"/>
      <c r="AM8" s="2232"/>
      <c r="AN8" s="2232"/>
      <c r="AO8" s="2232"/>
      <c r="AP8" s="2232"/>
      <c r="AQ8" s="2232"/>
      <c r="AR8" s="2232"/>
    </row>
    <row r="9" spans="1:44" ht="12" customHeight="1">
      <c r="A9" s="2066" t="s">
        <v>154</v>
      </c>
      <c r="B9" s="2174"/>
      <c r="C9" s="2174"/>
      <c r="D9" s="2174"/>
      <c r="E9" s="2174"/>
      <c r="F9" s="2174"/>
      <c r="G9" s="2174"/>
      <c r="H9" s="2174"/>
      <c r="I9" s="2174"/>
      <c r="J9" s="2174"/>
      <c r="K9" s="2174"/>
      <c r="L9" s="2174"/>
      <c r="M9" s="2174"/>
      <c r="N9" s="2174"/>
      <c r="O9" s="2174"/>
      <c r="P9" s="2174"/>
      <c r="Q9" s="2174"/>
      <c r="R9" s="2174"/>
      <c r="S9" s="2174"/>
      <c r="T9" s="2174"/>
      <c r="U9" s="2174"/>
      <c r="V9" s="2174"/>
      <c r="W9" s="2174"/>
      <c r="X9" s="2174"/>
      <c r="Y9" s="2174"/>
      <c r="Z9" s="2174"/>
      <c r="AA9" s="2174"/>
      <c r="AB9" s="2174"/>
      <c r="AC9" s="2174"/>
      <c r="AD9" s="2174"/>
      <c r="AE9" s="2174"/>
      <c r="AF9" s="2174"/>
      <c r="AG9" s="2174"/>
      <c r="AH9" s="2174"/>
      <c r="AI9" s="2174"/>
      <c r="AJ9" s="2174"/>
      <c r="AK9" s="2174"/>
      <c r="AL9" s="2174"/>
      <c r="AM9" s="2174"/>
      <c r="AN9" s="2174"/>
      <c r="AO9" s="2174"/>
      <c r="AP9" s="2174"/>
      <c r="AQ9" s="2174"/>
      <c r="AR9" s="2233"/>
    </row>
    <row r="10" spans="1:79" s="345" customFormat="1" ht="9.95" customHeight="1">
      <c r="A10" s="2234" t="s">
        <v>128</v>
      </c>
      <c r="B10" s="2235"/>
      <c r="C10" s="2235"/>
      <c r="D10" s="2235"/>
      <c r="E10" s="2235"/>
      <c r="F10" s="2235"/>
      <c r="G10" s="2235"/>
      <c r="H10" s="2235"/>
      <c r="I10" s="2235"/>
      <c r="J10" s="2235"/>
      <c r="K10" s="2235"/>
      <c r="L10" s="2235"/>
      <c r="M10" s="2235"/>
      <c r="N10" s="2235"/>
      <c r="O10" s="2235"/>
      <c r="P10" s="2235"/>
      <c r="Q10" s="2235"/>
      <c r="R10" s="2235"/>
      <c r="S10" s="2235"/>
      <c r="T10" s="2235"/>
      <c r="U10" s="2235"/>
      <c r="V10" s="2235"/>
      <c r="W10" s="2235"/>
      <c r="X10" s="343"/>
      <c r="Y10" s="2235" t="s">
        <v>127</v>
      </c>
      <c r="Z10" s="2235"/>
      <c r="AA10" s="2235"/>
      <c r="AB10" s="2235"/>
      <c r="AC10" s="2235"/>
      <c r="AD10" s="2235"/>
      <c r="AE10" s="2235"/>
      <c r="AF10" s="2235"/>
      <c r="AG10" s="2235"/>
      <c r="AH10" s="2235"/>
      <c r="AI10" s="2235"/>
      <c r="AJ10" s="2235"/>
      <c r="AK10" s="2235"/>
      <c r="AL10" s="2235"/>
      <c r="AM10" s="343"/>
      <c r="AN10" s="2235" t="s">
        <v>148</v>
      </c>
      <c r="AO10" s="2235"/>
      <c r="AP10" s="2235"/>
      <c r="AQ10" s="2235"/>
      <c r="AR10" s="2236"/>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50"/>
      <c r="BR10" s="350"/>
      <c r="BS10" s="350"/>
      <c r="BT10" s="350"/>
      <c r="BU10" s="350"/>
      <c r="BV10" s="350"/>
      <c r="BW10" s="350"/>
      <c r="BX10" s="350"/>
      <c r="BY10" s="350"/>
      <c r="BZ10" s="350"/>
      <c r="CA10" s="350"/>
    </row>
    <row r="11" spans="1:79" s="157" customFormat="1" ht="24" customHeight="1">
      <c r="A11" s="2217" t="str">
        <f>+CONCATENATE(ZAKL_DATA!B5)</f>
        <v/>
      </c>
      <c r="B11" s="2218"/>
      <c r="C11" s="2218"/>
      <c r="D11" s="2218"/>
      <c r="E11" s="2218"/>
      <c r="F11" s="2218"/>
      <c r="G11" s="2218"/>
      <c r="H11" s="2218"/>
      <c r="I11" s="2218"/>
      <c r="J11" s="2218"/>
      <c r="K11" s="2218"/>
      <c r="L11" s="2218"/>
      <c r="M11" s="2218"/>
      <c r="N11" s="2218"/>
      <c r="O11" s="2218"/>
      <c r="P11" s="2218"/>
      <c r="Q11" s="2218"/>
      <c r="R11" s="2218"/>
      <c r="S11" s="2218"/>
      <c r="T11" s="2218"/>
      <c r="U11" s="2218"/>
      <c r="V11" s="2218"/>
      <c r="W11" s="2219"/>
      <c r="X11" s="331"/>
      <c r="Y11" s="2217" t="str">
        <f>+CONCATENATE(+ZAKL_DATA!B4)</f>
        <v/>
      </c>
      <c r="Z11" s="2218"/>
      <c r="AA11" s="2218"/>
      <c r="AB11" s="2218"/>
      <c r="AC11" s="2218"/>
      <c r="AD11" s="2218"/>
      <c r="AE11" s="2218"/>
      <c r="AF11" s="2218"/>
      <c r="AG11" s="2218"/>
      <c r="AH11" s="2218"/>
      <c r="AI11" s="2218"/>
      <c r="AJ11" s="2218"/>
      <c r="AK11" s="2218"/>
      <c r="AL11" s="2219"/>
      <c r="AM11" s="331"/>
      <c r="AN11" s="2237" t="str">
        <f>+CONCATENATE(+ZAKL_DATA!B7)</f>
        <v/>
      </c>
      <c r="AO11" s="2148"/>
      <c r="AP11" s="2148"/>
      <c r="AQ11" s="2148"/>
      <c r="AR11" s="2149"/>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1"/>
      <c r="BR11" s="351"/>
      <c r="BS11" s="351"/>
      <c r="BT11" s="351"/>
      <c r="BU11" s="351"/>
      <c r="BV11" s="351"/>
      <c r="BW11" s="351"/>
      <c r="BX11" s="351"/>
      <c r="BY11" s="351"/>
      <c r="BZ11" s="351"/>
      <c r="CA11" s="351"/>
    </row>
    <row r="12" spans="1:79" s="345" customFormat="1" ht="9.95" customHeight="1">
      <c r="A12" s="2234" t="s">
        <v>329</v>
      </c>
      <c r="B12" s="2235"/>
      <c r="C12" s="2235"/>
      <c r="D12" s="2235"/>
      <c r="E12" s="2235"/>
      <c r="F12" s="2235"/>
      <c r="G12" s="2235"/>
      <c r="H12" s="2235"/>
      <c r="I12" s="2235"/>
      <c r="J12" s="2235"/>
      <c r="K12" s="2235"/>
      <c r="L12" s="2235"/>
      <c r="M12" s="2235"/>
      <c r="N12" s="2235"/>
      <c r="O12" s="2235"/>
      <c r="P12" s="2235"/>
      <c r="Q12" s="2235"/>
      <c r="R12" s="2235"/>
      <c r="S12" s="2235"/>
      <c r="T12" s="2235"/>
      <c r="U12" s="2235"/>
      <c r="V12" s="2235"/>
      <c r="W12" s="2235"/>
      <c r="X12" s="343"/>
      <c r="Y12" s="2238" t="s">
        <v>3777</v>
      </c>
      <c r="Z12" s="2238"/>
      <c r="AA12" s="2238"/>
      <c r="AB12" s="2238"/>
      <c r="AC12" s="2239"/>
      <c r="AD12" s="2239"/>
      <c r="AE12" s="2239"/>
      <c r="AF12" s="2239"/>
      <c r="AG12" s="346"/>
      <c r="AH12" s="2240" t="s">
        <v>3641</v>
      </c>
      <c r="AI12" s="2241"/>
      <c r="AJ12" s="2241"/>
      <c r="AK12" s="2241"/>
      <c r="AL12" s="2241"/>
      <c r="AM12" s="2241"/>
      <c r="AN12" s="2241"/>
      <c r="AO12" s="2241"/>
      <c r="AP12" s="2241"/>
      <c r="AQ12" s="2241"/>
      <c r="AR12" s="2242"/>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50"/>
      <c r="BR12" s="350"/>
      <c r="BS12" s="350"/>
      <c r="BT12" s="350"/>
      <c r="BU12" s="350"/>
      <c r="BV12" s="350"/>
      <c r="BW12" s="350"/>
      <c r="BX12" s="350"/>
      <c r="BY12" s="350"/>
      <c r="BZ12" s="350"/>
      <c r="CA12" s="350"/>
    </row>
    <row r="13" spans="1:79" s="157" customFormat="1" ht="24" customHeight="1">
      <c r="A13" s="2217" t="str">
        <f>+CONCATENATE(+ZAKL_DATA!B16)</f>
        <v/>
      </c>
      <c r="B13" s="2218"/>
      <c r="C13" s="2218"/>
      <c r="D13" s="2218"/>
      <c r="E13" s="2218"/>
      <c r="F13" s="2218"/>
      <c r="G13" s="2218"/>
      <c r="H13" s="2218"/>
      <c r="I13" s="2218"/>
      <c r="J13" s="2218"/>
      <c r="K13" s="2218"/>
      <c r="L13" s="2218"/>
      <c r="M13" s="2218"/>
      <c r="N13" s="2218"/>
      <c r="O13" s="2218"/>
      <c r="P13" s="2218"/>
      <c r="Q13" s="2218"/>
      <c r="R13" s="2218"/>
      <c r="S13" s="2218"/>
      <c r="T13" s="2218"/>
      <c r="U13" s="2218"/>
      <c r="V13" s="2218"/>
      <c r="W13" s="2219"/>
      <c r="X13" s="331"/>
      <c r="Y13" s="2209" t="str">
        <f>+CONCATENATE(ZAKL_DATA!B17)</f>
        <v/>
      </c>
      <c r="Z13" s="2254"/>
      <c r="AA13" s="2254"/>
      <c r="AB13" s="2254"/>
      <c r="AC13" s="2255"/>
      <c r="AD13" s="2255"/>
      <c r="AE13" s="2255"/>
      <c r="AF13" s="2256"/>
      <c r="AG13" s="331"/>
      <c r="AH13" s="2257" t="str">
        <f>+CONCATENATE('DAP1'!A9)</f>
        <v/>
      </c>
      <c r="AI13" s="2258"/>
      <c r="AJ13" s="2258"/>
      <c r="AK13" s="2258"/>
      <c r="AL13" s="2258"/>
      <c r="AM13" s="2258"/>
      <c r="AN13" s="2259"/>
      <c r="AO13" s="2259"/>
      <c r="AP13" s="2259"/>
      <c r="AQ13" s="2259"/>
      <c r="AR13" s="2260"/>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1"/>
      <c r="BR13" s="351"/>
      <c r="BS13" s="351"/>
      <c r="BT13" s="351"/>
      <c r="BU13" s="351"/>
      <c r="BV13" s="351"/>
      <c r="BW13" s="351"/>
      <c r="BX13" s="351"/>
      <c r="BY13" s="351"/>
      <c r="BZ13" s="351"/>
      <c r="CA13" s="351"/>
    </row>
    <row r="14" spans="1:79" s="345" customFormat="1" ht="12.6" customHeight="1">
      <c r="A14" s="2246" t="s">
        <v>263</v>
      </c>
      <c r="B14" s="2243"/>
      <c r="C14" s="2243"/>
      <c r="D14" s="2243"/>
      <c r="E14" s="2243"/>
      <c r="F14" s="2243"/>
      <c r="G14" s="343"/>
      <c r="H14" s="2089" t="s">
        <v>330</v>
      </c>
      <c r="I14" s="2089"/>
      <c r="J14" s="2089"/>
      <c r="K14" s="2089"/>
      <c r="L14" s="2089"/>
      <c r="M14" s="2089"/>
      <c r="N14" s="2089"/>
      <c r="O14" s="2089"/>
      <c r="P14" s="2089"/>
      <c r="Q14" s="2089"/>
      <c r="R14" s="2089"/>
      <c r="S14" s="2089"/>
      <c r="T14" s="2089"/>
      <c r="U14" s="2089"/>
      <c r="V14" s="2089"/>
      <c r="W14" s="2089"/>
      <c r="X14" s="2089"/>
      <c r="Y14" s="2089"/>
      <c r="Z14" s="2089"/>
      <c r="AA14" s="2089"/>
      <c r="AB14" s="2089"/>
      <c r="AC14" s="2089"/>
      <c r="AD14" s="2089"/>
      <c r="AE14" s="2089"/>
      <c r="AF14" s="2089"/>
      <c r="AG14" s="2089"/>
      <c r="AH14" s="2089"/>
      <c r="AI14" s="2089"/>
      <c r="AJ14" s="343"/>
      <c r="AK14" s="2215" t="s">
        <v>3642</v>
      </c>
      <c r="AL14" s="2215"/>
      <c r="AM14" s="2215"/>
      <c r="AN14" s="2215"/>
      <c r="AO14" s="2215"/>
      <c r="AP14" s="2215"/>
      <c r="AQ14" s="2215"/>
      <c r="AR14" s="2216"/>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50"/>
      <c r="BR14" s="350"/>
      <c r="BS14" s="350"/>
      <c r="BT14" s="350"/>
      <c r="BU14" s="350"/>
      <c r="BV14" s="350"/>
      <c r="BW14" s="350"/>
      <c r="BX14" s="350"/>
      <c r="BY14" s="350"/>
      <c r="BZ14" s="350"/>
      <c r="CA14" s="350"/>
    </row>
    <row r="15" spans="1:79" s="157" customFormat="1" ht="24" customHeight="1">
      <c r="A15" s="2209" t="str">
        <f>CONCATENATE(+ZAKL_DATA!B19)</f>
        <v/>
      </c>
      <c r="B15" s="2210"/>
      <c r="C15" s="2210"/>
      <c r="D15" s="2210"/>
      <c r="E15" s="2210"/>
      <c r="F15" s="2211"/>
      <c r="G15" s="331"/>
      <c r="H15" s="2247" t="str">
        <f>+CONCATENATE(ZAKL_DATA!B18)</f>
        <v/>
      </c>
      <c r="I15" s="2248"/>
      <c r="J15" s="2248"/>
      <c r="K15" s="2248"/>
      <c r="L15" s="2248"/>
      <c r="M15" s="2248"/>
      <c r="N15" s="2248"/>
      <c r="O15" s="2248"/>
      <c r="P15" s="2248"/>
      <c r="Q15" s="2248"/>
      <c r="R15" s="2248"/>
      <c r="S15" s="2248"/>
      <c r="T15" s="2248"/>
      <c r="U15" s="2248"/>
      <c r="V15" s="2248"/>
      <c r="W15" s="2248"/>
      <c r="X15" s="2248"/>
      <c r="Y15" s="2248"/>
      <c r="Z15" s="2248"/>
      <c r="AA15" s="2248"/>
      <c r="AB15" s="2248"/>
      <c r="AC15" s="2248"/>
      <c r="AD15" s="2248"/>
      <c r="AE15" s="2248"/>
      <c r="AF15" s="2248"/>
      <c r="AG15" s="2248"/>
      <c r="AH15" s="2248"/>
      <c r="AI15" s="2249"/>
      <c r="AJ15" s="331"/>
      <c r="AK15" s="2212" t="str">
        <f>+CONCATENATE(+ZAKL_DATA!B10)</f>
        <v/>
      </c>
      <c r="AL15" s="2213"/>
      <c r="AM15" s="2213"/>
      <c r="AN15" s="2213"/>
      <c r="AO15" s="2213"/>
      <c r="AP15" s="2213"/>
      <c r="AQ15" s="2213"/>
      <c r="AR15" s="2214"/>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1"/>
      <c r="BR15" s="351"/>
      <c r="BS15" s="351"/>
      <c r="BT15" s="351"/>
      <c r="BU15" s="351"/>
      <c r="BV15" s="351"/>
      <c r="BW15" s="351"/>
      <c r="BX15" s="351"/>
      <c r="BY15" s="351"/>
      <c r="BZ15" s="351"/>
      <c r="CA15" s="351"/>
    </row>
    <row r="16" spans="1:79" s="345" customFormat="1" ht="9.95" customHeight="1">
      <c r="A16" s="2221" t="s">
        <v>3644</v>
      </c>
      <c r="B16" s="2245"/>
      <c r="C16" s="2245"/>
      <c r="D16" s="2245"/>
      <c r="E16" s="2245"/>
      <c r="F16" s="2245"/>
      <c r="G16" s="2245"/>
      <c r="H16" s="2245"/>
      <c r="I16" s="2245"/>
      <c r="J16" s="2245"/>
      <c r="K16" s="2243" t="s">
        <v>3643</v>
      </c>
      <c r="L16" s="2244"/>
      <c r="M16" s="2244"/>
      <c r="N16" s="2244"/>
      <c r="O16" s="2244"/>
      <c r="P16" s="2244"/>
      <c r="Q16" s="2244"/>
      <c r="R16" s="2244"/>
      <c r="S16" s="2244"/>
      <c r="T16" s="2244"/>
      <c r="U16" s="2244"/>
      <c r="V16" s="2244"/>
      <c r="W16" s="2244"/>
      <c r="X16" s="2244"/>
      <c r="Y16" s="2244"/>
      <c r="Z16" s="2244"/>
      <c r="AA16" s="2244"/>
      <c r="AB16" s="2244"/>
      <c r="AC16" s="2244"/>
      <c r="AD16" s="2244"/>
      <c r="AE16" s="2244"/>
      <c r="AF16" s="343"/>
      <c r="AG16" s="2089" t="s">
        <v>34</v>
      </c>
      <c r="AH16" s="2089"/>
      <c r="AI16" s="2089"/>
      <c r="AJ16" s="2089"/>
      <c r="AK16" s="2089"/>
      <c r="AL16" s="2089"/>
      <c r="AM16" s="2089"/>
      <c r="AN16" s="2089"/>
      <c r="AO16" s="2089"/>
      <c r="AP16" s="2089"/>
      <c r="AQ16" s="2089"/>
      <c r="AR16" s="2220"/>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Q16" s="350"/>
      <c r="BR16" s="350"/>
      <c r="BS16" s="350"/>
      <c r="BT16" s="350"/>
      <c r="BU16" s="350"/>
      <c r="BV16" s="350"/>
      <c r="BW16" s="350"/>
      <c r="BX16" s="350"/>
      <c r="BY16" s="350"/>
      <c r="BZ16" s="350"/>
      <c r="CA16" s="350"/>
    </row>
    <row r="17" spans="1:79" s="157" customFormat="1" ht="24" customHeight="1">
      <c r="A17" s="298"/>
      <c r="B17" s="2208" t="s">
        <v>264</v>
      </c>
      <c r="C17" s="1156"/>
      <c r="D17" s="2053"/>
      <c r="E17" s="298" t="s">
        <v>316</v>
      </c>
      <c r="F17" s="2208" t="s">
        <v>265</v>
      </c>
      <c r="G17" s="1156"/>
      <c r="H17" s="1156"/>
      <c r="I17" s="1156"/>
      <c r="J17" s="1156"/>
      <c r="K17" s="2250" t="str">
        <f>+CONCATENATE(ZAKL_DATA!B32," / ",ZAKL_DATA!B33)</f>
        <v xml:space="preserve"> / </v>
      </c>
      <c r="L17" s="2251"/>
      <c r="M17" s="2251"/>
      <c r="N17" s="2251"/>
      <c r="O17" s="2251"/>
      <c r="P17" s="2251"/>
      <c r="Q17" s="2251"/>
      <c r="R17" s="2251"/>
      <c r="S17" s="2251"/>
      <c r="T17" s="2251"/>
      <c r="U17" s="2251"/>
      <c r="V17" s="2251"/>
      <c r="W17" s="2251"/>
      <c r="X17" s="2251"/>
      <c r="Y17" s="2251"/>
      <c r="Z17" s="2251"/>
      <c r="AA17" s="2252"/>
      <c r="AB17" s="2252"/>
      <c r="AC17" s="2252"/>
      <c r="AD17" s="2252"/>
      <c r="AE17" s="2253"/>
      <c r="AF17" s="332"/>
      <c r="AG17" s="2227" t="str">
        <f>++CONCATENATE(ZAKL_DATA!B25)</f>
        <v/>
      </c>
      <c r="AH17" s="2228"/>
      <c r="AI17" s="2228"/>
      <c r="AJ17" s="2228"/>
      <c r="AK17" s="2228"/>
      <c r="AL17" s="2228"/>
      <c r="AM17" s="2228"/>
      <c r="AN17" s="2228"/>
      <c r="AO17" s="2228"/>
      <c r="AP17" s="2228"/>
      <c r="AQ17" s="2228"/>
      <c r="AR17" s="2229"/>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1"/>
      <c r="BR17" s="351"/>
      <c r="BS17" s="351"/>
      <c r="BT17" s="351"/>
      <c r="BU17" s="351"/>
      <c r="BV17" s="351"/>
      <c r="BW17" s="351"/>
      <c r="BX17" s="351"/>
      <c r="BY17" s="351"/>
      <c r="BZ17" s="351"/>
      <c r="CA17" s="351"/>
    </row>
    <row r="18" spans="1:79" s="345" customFormat="1" ht="9.95" customHeight="1">
      <c r="A18" s="2221" t="s">
        <v>266</v>
      </c>
      <c r="B18" s="2222"/>
      <c r="C18" s="2222"/>
      <c r="D18" s="2222"/>
      <c r="E18" s="2222"/>
      <c r="F18" s="2222"/>
      <c r="G18" s="2222"/>
      <c r="H18" s="2222"/>
      <c r="I18" s="2222"/>
      <c r="J18" s="2222"/>
      <c r="K18" s="2222"/>
      <c r="L18" s="2222"/>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3"/>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50"/>
      <c r="BR18" s="350"/>
      <c r="BS18" s="350"/>
      <c r="BT18" s="350"/>
      <c r="BU18" s="350"/>
      <c r="BV18" s="350"/>
      <c r="BW18" s="350"/>
      <c r="BX18" s="350"/>
      <c r="BY18" s="350"/>
      <c r="BZ18" s="350"/>
      <c r="CA18" s="350"/>
    </row>
    <row r="19" spans="1:79" s="157" customFormat="1" ht="24" customHeight="1">
      <c r="A19" s="2147" t="str">
        <f>+CONCATENATE(ZAKL_DATA!B27)</f>
        <v/>
      </c>
      <c r="B19" s="2148"/>
      <c r="C19" s="2148"/>
      <c r="D19" s="2148"/>
      <c r="E19" s="2148"/>
      <c r="F19" s="2148"/>
      <c r="G19" s="2148"/>
      <c r="H19" s="2148"/>
      <c r="I19" s="2148"/>
      <c r="J19" s="2148"/>
      <c r="K19" s="2148"/>
      <c r="L19" s="2148"/>
      <c r="M19" s="2148"/>
      <c r="N19" s="2148"/>
      <c r="O19" s="2148"/>
      <c r="P19" s="2148"/>
      <c r="Q19" s="2148"/>
      <c r="R19" s="2148"/>
      <c r="S19" s="2148"/>
      <c r="T19" s="2148"/>
      <c r="U19" s="2148"/>
      <c r="V19" s="2148"/>
      <c r="W19" s="2148"/>
      <c r="X19" s="2148"/>
      <c r="Y19" s="2148"/>
      <c r="Z19" s="2148"/>
      <c r="AA19" s="2148"/>
      <c r="AB19" s="2148"/>
      <c r="AC19" s="2148"/>
      <c r="AD19" s="2148"/>
      <c r="AE19" s="2148"/>
      <c r="AF19" s="2148"/>
      <c r="AG19" s="2148"/>
      <c r="AH19" s="2148"/>
      <c r="AI19" s="2148"/>
      <c r="AJ19" s="2148"/>
      <c r="AK19" s="2148"/>
      <c r="AL19" s="2148"/>
      <c r="AM19" s="2148"/>
      <c r="AN19" s="2148"/>
      <c r="AO19" s="2148"/>
      <c r="AP19" s="2148"/>
      <c r="AQ19" s="2148"/>
      <c r="AR19" s="2149"/>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1"/>
      <c r="BR19" s="351"/>
      <c r="BS19" s="351"/>
      <c r="BT19" s="351"/>
      <c r="BU19" s="351"/>
      <c r="BV19" s="351"/>
      <c r="BW19" s="351"/>
      <c r="BX19" s="351"/>
      <c r="BY19" s="351"/>
      <c r="BZ19" s="351"/>
      <c r="CA19" s="351"/>
    </row>
    <row r="20" spans="1:44" ht="5.1" customHeight="1">
      <c r="A20" s="2224"/>
      <c r="B20" s="2225"/>
      <c r="C20" s="2225"/>
      <c r="D20" s="2225"/>
      <c r="E20" s="2225"/>
      <c r="F20" s="2225"/>
      <c r="G20" s="2225"/>
      <c r="H20" s="2225"/>
      <c r="I20" s="2225"/>
      <c r="J20" s="2225"/>
      <c r="K20" s="2225"/>
      <c r="L20" s="2225"/>
      <c r="M20" s="2225"/>
      <c r="N20" s="2225"/>
      <c r="O20" s="2225"/>
      <c r="P20" s="2225"/>
      <c r="Q20" s="2225"/>
      <c r="R20" s="2225"/>
      <c r="S20" s="2225"/>
      <c r="T20" s="2225"/>
      <c r="U20" s="2225"/>
      <c r="V20" s="2225"/>
      <c r="W20" s="2225"/>
      <c r="X20" s="2225"/>
      <c r="Y20" s="2225"/>
      <c r="Z20" s="2225"/>
      <c r="AA20" s="2225"/>
      <c r="AB20" s="2225"/>
      <c r="AC20" s="2225"/>
      <c r="AD20" s="2225"/>
      <c r="AE20" s="2225"/>
      <c r="AF20" s="2225"/>
      <c r="AG20" s="2225"/>
      <c r="AH20" s="2225"/>
      <c r="AI20" s="2225"/>
      <c r="AJ20" s="2225"/>
      <c r="AK20" s="2225"/>
      <c r="AL20" s="2225"/>
      <c r="AM20" s="2225"/>
      <c r="AN20" s="2225"/>
      <c r="AO20" s="2225"/>
      <c r="AP20" s="2225"/>
      <c r="AQ20" s="2225"/>
      <c r="AR20" s="2226"/>
    </row>
    <row r="21" spans="1:44" ht="12" customHeight="1">
      <c r="A21" s="2164" t="s">
        <v>267</v>
      </c>
      <c r="B21" s="2164"/>
      <c r="C21" s="2164"/>
      <c r="D21" s="2164"/>
      <c r="E21" s="2164"/>
      <c r="F21" s="2164"/>
      <c r="G21" s="2164"/>
      <c r="H21" s="2164"/>
      <c r="I21" s="2164"/>
      <c r="J21" s="2164"/>
      <c r="K21" s="2164"/>
      <c r="L21" s="2164"/>
      <c r="M21" s="2164"/>
      <c r="N21" s="2164"/>
      <c r="O21" s="2164"/>
      <c r="P21" s="2164"/>
      <c r="Q21" s="2164"/>
      <c r="R21" s="2164"/>
      <c r="S21" s="2164"/>
      <c r="T21" s="2164"/>
      <c r="U21" s="2164"/>
      <c r="V21" s="2164"/>
      <c r="W21" s="2164"/>
      <c r="X21" s="2164"/>
      <c r="Y21" s="2164"/>
      <c r="Z21" s="2164"/>
      <c r="AA21" s="2164"/>
      <c r="AB21" s="2164"/>
      <c r="AC21" s="2164" t="s">
        <v>277</v>
      </c>
      <c r="AD21" s="2164"/>
      <c r="AE21" s="2164"/>
      <c r="AF21" s="2164"/>
      <c r="AG21" s="2164"/>
      <c r="AH21" s="2164"/>
      <c r="AI21" s="2164"/>
      <c r="AJ21" s="2164"/>
      <c r="AK21" s="2164"/>
      <c r="AL21" s="2164"/>
      <c r="AM21" s="2164"/>
      <c r="AN21" s="2164"/>
      <c r="AO21" s="2164"/>
      <c r="AP21" s="2164"/>
      <c r="AQ21" s="2164"/>
      <c r="AR21" s="2164"/>
    </row>
    <row r="22" spans="1:44" ht="12" customHeight="1">
      <c r="A22" s="298"/>
      <c r="B22" s="2165" t="s">
        <v>3958</v>
      </c>
      <c r="C22" s="2166"/>
      <c r="D22" s="2166"/>
      <c r="E22" s="2166"/>
      <c r="F22" s="2166"/>
      <c r="G22" s="2166"/>
      <c r="H22" s="2166"/>
      <c r="I22" s="2166"/>
      <c r="J22" s="2166"/>
      <c r="K22" s="2166"/>
      <c r="L22" s="2166"/>
      <c r="M22" s="2166"/>
      <c r="N22" s="2166"/>
      <c r="O22" s="2166"/>
      <c r="P22" s="2166"/>
      <c r="Q22" s="2166"/>
      <c r="R22" s="2166"/>
      <c r="S22" s="2166"/>
      <c r="T22" s="2166"/>
      <c r="U22" s="2166"/>
      <c r="V22" s="2166"/>
      <c r="W22" s="2166"/>
      <c r="X22" s="2166"/>
      <c r="Y22" s="2166"/>
      <c r="Z22" s="2166"/>
      <c r="AA22" s="2166"/>
      <c r="AB22" s="2167"/>
      <c r="AC22" s="2200"/>
      <c r="AD22" s="2201"/>
      <c r="AE22" s="2201"/>
      <c r="AF22" s="2201"/>
      <c r="AG22" s="2201"/>
      <c r="AH22" s="2201"/>
      <c r="AI22" s="2201"/>
      <c r="AJ22" s="2201"/>
      <c r="AK22" s="2202"/>
      <c r="AL22" s="2202"/>
      <c r="AM22" s="2202"/>
      <c r="AN22" s="2202"/>
      <c r="AO22" s="2202"/>
      <c r="AP22" s="2202"/>
      <c r="AQ22" s="2202"/>
      <c r="AR22" s="2203"/>
    </row>
    <row r="23" spans="1:44" ht="12" customHeight="1">
      <c r="A23" s="292"/>
      <c r="B23" s="290">
        <v>1</v>
      </c>
      <c r="C23" s="290">
        <v>2</v>
      </c>
      <c r="D23" s="290">
        <v>3</v>
      </c>
      <c r="E23" s="290">
        <v>4</v>
      </c>
      <c r="F23" s="290">
        <v>5</v>
      </c>
      <c r="G23" s="290">
        <v>6</v>
      </c>
      <c r="H23" s="290">
        <v>7</v>
      </c>
      <c r="I23" s="290">
        <v>8</v>
      </c>
      <c r="J23" s="290">
        <v>9</v>
      </c>
      <c r="K23" s="290">
        <v>10</v>
      </c>
      <c r="L23" s="290">
        <v>11</v>
      </c>
      <c r="M23" s="290">
        <v>12</v>
      </c>
      <c r="N23" s="2162" t="s">
        <v>297</v>
      </c>
      <c r="O23" s="2163"/>
      <c r="P23" s="1104"/>
      <c r="Q23" s="1104"/>
      <c r="R23" s="1104"/>
      <c r="S23" s="1104"/>
      <c r="T23" s="2206" t="s">
        <v>268</v>
      </c>
      <c r="U23" s="793"/>
      <c r="V23" s="793"/>
      <c r="W23" s="793"/>
      <c r="X23" s="2207" t="s">
        <v>269</v>
      </c>
      <c r="Y23" s="793"/>
      <c r="Z23" s="793"/>
      <c r="AA23" s="793"/>
      <c r="AB23" s="2111"/>
      <c r="AC23" s="2204"/>
      <c r="AD23" s="1636"/>
      <c r="AE23" s="1636"/>
      <c r="AF23" s="1636"/>
      <c r="AG23" s="1636"/>
      <c r="AH23" s="1636"/>
      <c r="AI23" s="1636"/>
      <c r="AJ23" s="1636"/>
      <c r="AK23" s="1636"/>
      <c r="AL23" s="1636"/>
      <c r="AM23" s="1636"/>
      <c r="AN23" s="1636"/>
      <c r="AO23" s="1636"/>
      <c r="AP23" s="1636"/>
      <c r="AQ23" s="1636"/>
      <c r="AR23" s="2205"/>
    </row>
    <row r="24" spans="1:44" ht="12" customHeight="1">
      <c r="A24" s="292"/>
      <c r="B24" s="291"/>
      <c r="C24" s="291"/>
      <c r="D24" s="291"/>
      <c r="E24" s="291"/>
      <c r="F24" s="291"/>
      <c r="G24" s="291"/>
      <c r="H24" s="291"/>
      <c r="I24" s="291"/>
      <c r="J24" s="291"/>
      <c r="K24" s="291"/>
      <c r="L24" s="291"/>
      <c r="M24" s="291"/>
      <c r="N24" s="293"/>
      <c r="O24" s="291"/>
      <c r="P24" s="2114" t="s">
        <v>3645</v>
      </c>
      <c r="Q24" s="2115"/>
      <c r="R24" s="2115"/>
      <c r="S24" s="2116"/>
      <c r="T24" s="291"/>
      <c r="U24" s="2190"/>
      <c r="V24" s="1104"/>
      <c r="W24" s="2191"/>
      <c r="X24" s="291"/>
      <c r="Y24" s="2190"/>
      <c r="Z24" s="1104"/>
      <c r="AA24" s="793"/>
      <c r="AB24" s="2111"/>
      <c r="AC24" s="2154" t="s">
        <v>278</v>
      </c>
      <c r="AD24" s="2155"/>
      <c r="AE24" s="2155"/>
      <c r="AF24" s="2155"/>
      <c r="AG24" s="2155"/>
      <c r="AH24" s="2155"/>
      <c r="AI24" s="2155"/>
      <c r="AJ24" s="2156"/>
      <c r="AK24" s="291" t="s">
        <v>316</v>
      </c>
      <c r="AL24" s="2152" t="s">
        <v>294</v>
      </c>
      <c r="AM24" s="2153"/>
      <c r="AN24" s="285"/>
      <c r="AO24" s="2152" t="s">
        <v>178</v>
      </c>
      <c r="AP24" s="1156"/>
      <c r="AQ24" s="1156"/>
      <c r="AR24" s="2053"/>
    </row>
    <row r="25" spans="1:44" ht="12" customHeight="1">
      <c r="A25" s="298"/>
      <c r="B25" s="2152" t="s">
        <v>3959</v>
      </c>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2053"/>
      <c r="AC25" s="2094"/>
      <c r="AD25" s="793"/>
      <c r="AE25" s="793"/>
      <c r="AF25" s="793"/>
      <c r="AG25" s="793"/>
      <c r="AH25" s="793"/>
      <c r="AI25" s="793"/>
      <c r="AJ25" s="793"/>
      <c r="AK25" s="793"/>
      <c r="AL25" s="793"/>
      <c r="AM25" s="793"/>
      <c r="AN25" s="793"/>
      <c r="AO25" s="793"/>
      <c r="AP25" s="793"/>
      <c r="AQ25" s="793"/>
      <c r="AR25" s="2111"/>
    </row>
    <row r="26" spans="1:44" ht="12" customHeight="1">
      <c r="A26" s="292"/>
      <c r="B26" s="290">
        <v>1</v>
      </c>
      <c r="C26" s="290">
        <v>2</v>
      </c>
      <c r="D26" s="290">
        <v>3</v>
      </c>
      <c r="E26" s="290">
        <v>4</v>
      </c>
      <c r="F26" s="290">
        <v>5</v>
      </c>
      <c r="G26" s="290">
        <v>6</v>
      </c>
      <c r="H26" s="290">
        <v>7</v>
      </c>
      <c r="I26" s="290">
        <v>8</v>
      </c>
      <c r="J26" s="290">
        <v>9</v>
      </c>
      <c r="K26" s="290">
        <v>10</v>
      </c>
      <c r="L26" s="290">
        <v>11</v>
      </c>
      <c r="M26" s="290">
        <v>12</v>
      </c>
      <c r="N26" s="2162" t="s">
        <v>297</v>
      </c>
      <c r="O26" s="2163"/>
      <c r="P26" s="293"/>
      <c r="Q26" s="293"/>
      <c r="R26" s="293"/>
      <c r="S26" s="293"/>
      <c r="T26" s="295" t="s">
        <v>292</v>
      </c>
      <c r="U26" s="295" t="s">
        <v>293</v>
      </c>
      <c r="V26" s="295" t="s">
        <v>270</v>
      </c>
      <c r="W26" s="295" t="s">
        <v>271</v>
      </c>
      <c r="X26" s="295" t="s">
        <v>272</v>
      </c>
      <c r="Y26" s="295" t="s">
        <v>273</v>
      </c>
      <c r="Z26" s="293"/>
      <c r="AA26" s="293"/>
      <c r="AB26" s="294"/>
      <c r="AC26" s="2094"/>
      <c r="AD26" s="793"/>
      <c r="AE26" s="793"/>
      <c r="AF26" s="793"/>
      <c r="AG26" s="793"/>
      <c r="AH26" s="793"/>
      <c r="AI26" s="793"/>
      <c r="AJ26" s="793"/>
      <c r="AK26" s="793"/>
      <c r="AL26" s="793"/>
      <c r="AM26" s="793"/>
      <c r="AN26" s="793"/>
      <c r="AO26" s="793"/>
      <c r="AP26" s="793"/>
      <c r="AQ26" s="793"/>
      <c r="AR26" s="2111"/>
    </row>
    <row r="27" spans="1:44" ht="12" customHeight="1">
      <c r="A27" s="292"/>
      <c r="B27" s="291"/>
      <c r="C27" s="291"/>
      <c r="D27" s="291"/>
      <c r="E27" s="291"/>
      <c r="F27" s="291"/>
      <c r="G27" s="291"/>
      <c r="H27" s="291"/>
      <c r="I27" s="291"/>
      <c r="J27" s="291"/>
      <c r="K27" s="291"/>
      <c r="L27" s="291"/>
      <c r="M27" s="291"/>
      <c r="N27" s="293"/>
      <c r="O27" s="291"/>
      <c r="P27" s="2114" t="s">
        <v>3645</v>
      </c>
      <c r="Q27" s="2115"/>
      <c r="R27" s="2115"/>
      <c r="S27" s="2116"/>
      <c r="T27" s="291"/>
      <c r="U27" s="291"/>
      <c r="V27" s="291"/>
      <c r="W27" s="291"/>
      <c r="X27" s="291"/>
      <c r="Y27" s="291"/>
      <c r="Z27" s="293"/>
      <c r="AA27" s="293"/>
      <c r="AB27" s="294"/>
      <c r="AC27" s="2154" t="s">
        <v>279</v>
      </c>
      <c r="AD27" s="2155"/>
      <c r="AE27" s="2155"/>
      <c r="AF27" s="2155"/>
      <c r="AG27" s="2155"/>
      <c r="AH27" s="2155"/>
      <c r="AI27" s="2155"/>
      <c r="AJ27" s="2156"/>
      <c r="AK27" s="291"/>
      <c r="AL27" s="2152" t="s">
        <v>294</v>
      </c>
      <c r="AM27" s="2153"/>
      <c r="AN27" s="291" t="s">
        <v>316</v>
      </c>
      <c r="AO27" s="2152" t="s">
        <v>178</v>
      </c>
      <c r="AP27" s="1156"/>
      <c r="AQ27" s="1156"/>
      <c r="AR27" s="2053"/>
    </row>
    <row r="28" spans="1:44" ht="9.95" customHeight="1">
      <c r="A28" s="2157" t="s">
        <v>274</v>
      </c>
      <c r="B28" s="2158"/>
      <c r="C28" s="2158"/>
      <c r="D28" s="2158"/>
      <c r="E28" s="2158"/>
      <c r="F28" s="2160" t="s">
        <v>275</v>
      </c>
      <c r="G28" s="2160"/>
      <c r="H28" s="2160"/>
      <c r="I28" s="2160"/>
      <c r="J28" s="2160"/>
      <c r="K28" s="2160"/>
      <c r="L28" s="2160"/>
      <c r="M28" s="2160"/>
      <c r="N28" s="2160"/>
      <c r="O28" s="2160"/>
      <c r="P28" s="2160"/>
      <c r="Q28" s="347"/>
      <c r="R28" s="2160" t="s">
        <v>276</v>
      </c>
      <c r="S28" s="2160"/>
      <c r="T28" s="2160"/>
      <c r="U28" s="2160"/>
      <c r="V28" s="2160"/>
      <c r="W28" s="2160"/>
      <c r="X28" s="2160"/>
      <c r="Y28" s="2160"/>
      <c r="Z28" s="2160"/>
      <c r="AA28" s="2160"/>
      <c r="AB28" s="2161"/>
      <c r="AC28" s="2142"/>
      <c r="AD28" s="888"/>
      <c r="AE28" s="888"/>
      <c r="AF28" s="888"/>
      <c r="AG28" s="888"/>
      <c r="AH28" s="888"/>
      <c r="AI28" s="888"/>
      <c r="AJ28" s="888"/>
      <c r="AK28" s="888"/>
      <c r="AL28" s="888"/>
      <c r="AM28" s="888"/>
      <c r="AN28" s="888"/>
      <c r="AO28" s="888"/>
      <c r="AP28" s="888"/>
      <c r="AQ28" s="888"/>
      <c r="AR28" s="2143"/>
    </row>
    <row r="29" spans="1:44" ht="24" customHeight="1">
      <c r="A29" s="2159"/>
      <c r="B29" s="2158"/>
      <c r="C29" s="2158"/>
      <c r="D29" s="2158"/>
      <c r="E29" s="2158"/>
      <c r="F29" s="2117"/>
      <c r="G29" s="2118"/>
      <c r="H29" s="2118"/>
      <c r="I29" s="2118"/>
      <c r="J29" s="2118"/>
      <c r="K29" s="2118"/>
      <c r="L29" s="2118"/>
      <c r="M29" s="2118"/>
      <c r="N29" s="2118"/>
      <c r="O29" s="2118"/>
      <c r="P29" s="2119"/>
      <c r="Q29" s="333"/>
      <c r="R29" s="2117"/>
      <c r="S29" s="2120"/>
      <c r="T29" s="2120"/>
      <c r="U29" s="2120"/>
      <c r="V29" s="2120"/>
      <c r="W29" s="2120"/>
      <c r="X29" s="2121"/>
      <c r="Y29" s="2121"/>
      <c r="Z29" s="2121"/>
      <c r="AA29" s="2121"/>
      <c r="AB29" s="2122"/>
      <c r="AC29" s="2142"/>
      <c r="AD29" s="888"/>
      <c r="AE29" s="888"/>
      <c r="AF29" s="888"/>
      <c r="AG29" s="888"/>
      <c r="AH29" s="888"/>
      <c r="AI29" s="888"/>
      <c r="AJ29" s="888"/>
      <c r="AK29" s="888"/>
      <c r="AL29" s="888"/>
      <c r="AM29" s="888"/>
      <c r="AN29" s="888"/>
      <c r="AO29" s="888"/>
      <c r="AP29" s="888"/>
      <c r="AQ29" s="888"/>
      <c r="AR29" s="2143"/>
    </row>
    <row r="30" spans="1:44" ht="5.25" customHeight="1">
      <c r="A30" s="2102"/>
      <c r="B30" s="2096"/>
      <c r="C30" s="2096"/>
      <c r="D30" s="2096"/>
      <c r="E30" s="2096"/>
      <c r="F30" s="2096"/>
      <c r="G30" s="2096"/>
      <c r="H30" s="2096"/>
      <c r="I30" s="2096"/>
      <c r="J30" s="2096"/>
      <c r="K30" s="2096"/>
      <c r="L30" s="2096"/>
      <c r="M30" s="2096"/>
      <c r="N30" s="2096"/>
      <c r="O30" s="2096"/>
      <c r="P30" s="2096"/>
      <c r="Q30" s="2096"/>
      <c r="R30" s="2096"/>
      <c r="S30" s="2096"/>
      <c r="T30" s="2096"/>
      <c r="U30" s="2096"/>
      <c r="V30" s="2096"/>
      <c r="W30" s="2096"/>
      <c r="X30" s="2096"/>
      <c r="Y30" s="2096"/>
      <c r="Z30" s="2096"/>
      <c r="AA30" s="2096"/>
      <c r="AB30" s="2097"/>
      <c r="AC30" s="2144"/>
      <c r="AD30" s="2145"/>
      <c r="AE30" s="2145"/>
      <c r="AF30" s="2145"/>
      <c r="AG30" s="2145"/>
      <c r="AH30" s="2145"/>
      <c r="AI30" s="2145"/>
      <c r="AJ30" s="2145"/>
      <c r="AK30" s="2145"/>
      <c r="AL30" s="2145"/>
      <c r="AM30" s="2145"/>
      <c r="AN30" s="2145"/>
      <c r="AO30" s="2145"/>
      <c r="AP30" s="2145"/>
      <c r="AQ30" s="2145"/>
      <c r="AR30" s="2146"/>
    </row>
    <row r="31" spans="1:44" ht="12" customHeight="1">
      <c r="A31" s="2066" t="s">
        <v>415</v>
      </c>
      <c r="B31" s="2067"/>
      <c r="C31" s="2067"/>
      <c r="D31" s="2067"/>
      <c r="E31" s="2067"/>
      <c r="F31" s="2067"/>
      <c r="G31" s="2067"/>
      <c r="H31" s="2067"/>
      <c r="I31" s="2067"/>
      <c r="J31" s="2067"/>
      <c r="K31" s="2067"/>
      <c r="L31" s="2067"/>
      <c r="M31" s="2067"/>
      <c r="N31" s="2067"/>
      <c r="O31" s="2067"/>
      <c r="P31" s="2067"/>
      <c r="Q31" s="2067"/>
      <c r="R31" s="2067"/>
      <c r="S31" s="2067"/>
      <c r="T31" s="2067"/>
      <c r="U31" s="2067"/>
      <c r="V31" s="2067"/>
      <c r="W31" s="2068" t="s">
        <v>3646</v>
      </c>
      <c r="X31" s="2069"/>
      <c r="Y31" s="2069"/>
      <c r="Z31" s="2069"/>
      <c r="AA31" s="2069"/>
      <c r="AB31" s="2069"/>
      <c r="AC31" s="2069"/>
      <c r="AD31" s="2069"/>
      <c r="AE31" s="2069"/>
      <c r="AF31" s="2069"/>
      <c r="AG31" s="2069"/>
      <c r="AH31" s="2069"/>
      <c r="AI31" s="2069"/>
      <c r="AJ31" s="2069"/>
      <c r="AK31" s="2069"/>
      <c r="AL31" s="2069"/>
      <c r="AM31" s="2070"/>
      <c r="AN31" s="2070"/>
      <c r="AO31" s="2070"/>
      <c r="AP31" s="2070"/>
      <c r="AQ31" s="2070"/>
      <c r="AR31" s="2071"/>
    </row>
    <row r="32" spans="1:68" ht="12" customHeight="1">
      <c r="A32" s="2083"/>
      <c r="B32" s="2084"/>
      <c r="C32" s="2084"/>
      <c r="D32" s="2084"/>
      <c r="E32" s="2084"/>
      <c r="F32" s="2084"/>
      <c r="G32" s="2084"/>
      <c r="H32" s="2084"/>
      <c r="I32" s="2084"/>
      <c r="J32" s="2084"/>
      <c r="K32" s="2084"/>
      <c r="L32" s="2084"/>
      <c r="M32" s="2084"/>
      <c r="N32" s="2084"/>
      <c r="O32" s="2084"/>
      <c r="P32" s="2084"/>
      <c r="Q32" s="2084"/>
      <c r="R32" s="2084"/>
      <c r="S32" s="2084"/>
      <c r="T32" s="2084"/>
      <c r="U32" s="2084"/>
      <c r="V32" s="2085"/>
      <c r="W32" s="2079"/>
      <c r="X32" s="2080"/>
      <c r="Y32" s="2080"/>
      <c r="Z32" s="2080"/>
      <c r="AA32" s="2080"/>
      <c r="AB32" s="2080"/>
      <c r="AC32" s="2080"/>
      <c r="AD32" s="2080"/>
      <c r="AE32" s="2080"/>
      <c r="AF32" s="2080"/>
      <c r="AG32" s="2080"/>
      <c r="AH32" s="2080"/>
      <c r="AI32" s="2080"/>
      <c r="AJ32" s="2080"/>
      <c r="AK32" s="2080"/>
      <c r="AL32" s="2080"/>
      <c r="AM32" s="2080"/>
      <c r="AN32" s="2080"/>
      <c r="AO32" s="2080"/>
      <c r="AP32" s="2080"/>
      <c r="AQ32" s="2080"/>
      <c r="AR32" s="2081"/>
      <c r="BG32" s="28"/>
      <c r="BH32" s="28"/>
      <c r="BI32" s="28"/>
      <c r="BJ32" s="28"/>
      <c r="BK32" s="28"/>
      <c r="BL32" s="28"/>
      <c r="BM32" s="28"/>
      <c r="BN32" s="28"/>
      <c r="BO32" s="28"/>
      <c r="BP32" s="28"/>
    </row>
    <row r="33" spans="1:68" ht="24" customHeight="1">
      <c r="A33" s="2086"/>
      <c r="B33" s="2087"/>
      <c r="C33" s="2087"/>
      <c r="D33" s="2087"/>
      <c r="E33" s="2087"/>
      <c r="F33" s="2087"/>
      <c r="G33" s="2087"/>
      <c r="H33" s="2087"/>
      <c r="I33" s="2087"/>
      <c r="J33" s="2087"/>
      <c r="K33" s="2087"/>
      <c r="L33" s="2087"/>
      <c r="M33" s="2087"/>
      <c r="N33" s="2087"/>
      <c r="O33" s="2087"/>
      <c r="P33" s="2087"/>
      <c r="Q33" s="2087"/>
      <c r="R33" s="2087"/>
      <c r="S33" s="2087"/>
      <c r="T33" s="2087"/>
      <c r="U33" s="2087"/>
      <c r="V33" s="2088"/>
      <c r="W33" s="2082"/>
      <c r="X33" s="1156"/>
      <c r="Y33" s="1156"/>
      <c r="Z33" s="1156"/>
      <c r="AA33" s="1156"/>
      <c r="AB33" s="1156"/>
      <c r="AC33" s="1156"/>
      <c r="AD33" s="1156"/>
      <c r="AE33" s="1156"/>
      <c r="AF33" s="1156"/>
      <c r="AG33" s="1156"/>
      <c r="AH33" s="1156"/>
      <c r="AI33" s="1156"/>
      <c r="AJ33" s="1156"/>
      <c r="AK33" s="1156"/>
      <c r="AL33" s="1156"/>
      <c r="AM33" s="1156"/>
      <c r="AN33" s="1156"/>
      <c r="AO33" s="1156"/>
      <c r="AP33" s="1156"/>
      <c r="AQ33" s="1156"/>
      <c r="AR33" s="2053"/>
      <c r="BG33" s="28"/>
      <c r="BH33" s="28"/>
      <c r="BI33" s="28"/>
      <c r="BJ33" s="28"/>
      <c r="BK33" s="28"/>
      <c r="BL33" s="28"/>
      <c r="BM33" s="28"/>
      <c r="BN33" s="28"/>
      <c r="BO33" s="28"/>
      <c r="BP33" s="28"/>
    </row>
    <row r="34" spans="1:68" ht="12" customHeight="1">
      <c r="A34" s="296"/>
      <c r="B34" s="2090"/>
      <c r="C34" s="2090"/>
      <c r="D34" s="2090"/>
      <c r="E34" s="2090"/>
      <c r="F34" s="2090"/>
      <c r="G34" s="2090"/>
      <c r="H34" s="2090"/>
      <c r="I34" s="2089" t="s">
        <v>3960</v>
      </c>
      <c r="J34" s="2089"/>
      <c r="K34" s="2089"/>
      <c r="L34" s="2089"/>
      <c r="M34" s="2089"/>
      <c r="N34" s="2089"/>
      <c r="O34" s="2089"/>
      <c r="P34" s="2089"/>
      <c r="Q34" s="2089"/>
      <c r="R34" s="2089"/>
      <c r="S34" s="2089"/>
      <c r="T34" s="2061"/>
      <c r="U34" s="1156"/>
      <c r="V34" s="2053"/>
      <c r="W34" s="2052" t="s">
        <v>3966</v>
      </c>
      <c r="X34" s="2128"/>
      <c r="Y34" s="2128"/>
      <c r="Z34" s="2128"/>
      <c r="AA34" s="2128"/>
      <c r="AB34" s="2128"/>
      <c r="AC34" s="2128"/>
      <c r="AD34" s="2128"/>
      <c r="AE34" s="2128"/>
      <c r="AF34" s="2128"/>
      <c r="AG34" s="2128"/>
      <c r="AH34" s="2128"/>
      <c r="AI34" s="2128"/>
      <c r="AJ34" s="2128"/>
      <c r="AK34" s="2128"/>
      <c r="AL34" s="2128"/>
      <c r="AM34" s="2128"/>
      <c r="AN34" s="2128"/>
      <c r="AO34" s="2128"/>
      <c r="AP34" s="2128"/>
      <c r="AQ34" s="2128"/>
      <c r="AR34" s="2141"/>
      <c r="BG34" s="28"/>
      <c r="BH34" s="28"/>
      <c r="BI34" s="28"/>
      <c r="BJ34" s="28"/>
      <c r="BK34" s="28"/>
      <c r="BL34" s="28"/>
      <c r="BM34" s="28"/>
      <c r="BN34" s="28"/>
      <c r="BO34" s="28"/>
      <c r="BP34" s="28"/>
    </row>
    <row r="35" spans="1:68" ht="24" customHeight="1">
      <c r="A35" s="296"/>
      <c r="B35" s="2072" t="s">
        <v>416</v>
      </c>
      <c r="C35" s="2073"/>
      <c r="D35" s="2073"/>
      <c r="E35" s="2073"/>
      <c r="F35" s="2073"/>
      <c r="G35" s="2073"/>
      <c r="H35" s="2074"/>
      <c r="I35" s="2193">
        <f>+IF(AND('1Př1'!F13=0,'1Př1'!F14=0),+'1Př1'!F16+'1Př1'!F17-'1Př1'!F19+'1Př1'!F21+'1Př1'!F24,+'1Př1'!F13+'1Př1'!F17-'1Př1'!F19+'1Př1'!F21+'1Př1'!F24)</f>
        <v>0</v>
      </c>
      <c r="J35" s="2194"/>
      <c r="K35" s="2194"/>
      <c r="L35" s="2194"/>
      <c r="M35" s="2194"/>
      <c r="N35" s="2194"/>
      <c r="O35" s="2194"/>
      <c r="P35" s="2194"/>
      <c r="Q35" s="2194"/>
      <c r="R35" s="2194"/>
      <c r="S35" s="2195"/>
      <c r="T35" s="2078" t="s">
        <v>250</v>
      </c>
      <c r="U35" s="1156"/>
      <c r="V35" s="2053"/>
      <c r="W35" s="296"/>
      <c r="X35" s="2072" t="s">
        <v>426</v>
      </c>
      <c r="Y35" s="2073"/>
      <c r="Z35" s="2073"/>
      <c r="AA35" s="2073"/>
      <c r="AB35" s="2073"/>
      <c r="AC35" s="2073"/>
      <c r="AD35" s="2074"/>
      <c r="AE35" s="2075">
        <v>0</v>
      </c>
      <c r="AF35" s="2076"/>
      <c r="AG35" s="2076"/>
      <c r="AH35" s="2076"/>
      <c r="AI35" s="2076"/>
      <c r="AJ35" s="2076"/>
      <c r="AK35" s="2076"/>
      <c r="AL35" s="2076"/>
      <c r="AM35" s="2076"/>
      <c r="AN35" s="2077"/>
      <c r="AO35" s="2078" t="s">
        <v>250</v>
      </c>
      <c r="AP35" s="1156"/>
      <c r="AQ35" s="1156"/>
      <c r="AR35" s="2053"/>
      <c r="BG35" s="28"/>
      <c r="BH35" s="28"/>
      <c r="BI35" s="28"/>
      <c r="BJ35" s="28"/>
      <c r="BK35" s="28"/>
      <c r="BL35" s="28"/>
      <c r="BM35" s="28"/>
      <c r="BN35" s="28"/>
      <c r="BO35" s="28"/>
      <c r="BP35" s="28"/>
    </row>
    <row r="36" spans="1:68" ht="15">
      <c r="A36" s="296"/>
      <c r="B36" s="2192"/>
      <c r="C36" s="2192"/>
      <c r="D36" s="2192"/>
      <c r="E36" s="2192"/>
      <c r="F36" s="2192"/>
      <c r="G36" s="2192"/>
      <c r="H36" s="2192"/>
      <c r="I36" s="2089" t="s">
        <v>3961</v>
      </c>
      <c r="J36" s="2089"/>
      <c r="K36" s="2089"/>
      <c r="L36" s="2089"/>
      <c r="M36" s="2089"/>
      <c r="N36" s="2089"/>
      <c r="O36" s="2089"/>
      <c r="P36" s="2089"/>
      <c r="Q36" s="2089"/>
      <c r="R36" s="2089"/>
      <c r="S36" s="2089"/>
      <c r="T36" s="2061"/>
      <c r="U36" s="1156"/>
      <c r="V36" s="2053"/>
      <c r="W36" s="2052" t="s">
        <v>3647</v>
      </c>
      <c r="X36" s="2128"/>
      <c r="Y36" s="2128"/>
      <c r="Z36" s="2128"/>
      <c r="AA36" s="2128"/>
      <c r="AB36" s="2128"/>
      <c r="AC36" s="2128"/>
      <c r="AD36" s="2128"/>
      <c r="AE36" s="2128"/>
      <c r="AF36" s="2128"/>
      <c r="AG36" s="2128"/>
      <c r="AH36" s="2128"/>
      <c r="AI36" s="2128"/>
      <c r="AJ36" s="2128"/>
      <c r="AK36" s="2128"/>
      <c r="AL36" s="2128"/>
      <c r="AM36" s="2128"/>
      <c r="AN36" s="2128"/>
      <c r="AO36" s="2128"/>
      <c r="AP36" s="2128"/>
      <c r="AQ36" s="2128"/>
      <c r="AR36" s="2141"/>
      <c r="BG36" s="28"/>
      <c r="BH36" s="28"/>
      <c r="BI36" s="28"/>
      <c r="BJ36" s="28"/>
      <c r="BK36" s="28"/>
      <c r="BL36" s="28"/>
      <c r="BM36" s="28"/>
      <c r="BN36" s="28"/>
      <c r="BO36" s="28"/>
      <c r="BP36" s="28"/>
    </row>
    <row r="37" spans="1:68" ht="24" customHeight="1">
      <c r="A37" s="296"/>
      <c r="B37" s="2072" t="s">
        <v>417</v>
      </c>
      <c r="C37" s="2073"/>
      <c r="D37" s="2073"/>
      <c r="E37" s="2073"/>
      <c r="F37" s="2073"/>
      <c r="G37" s="2073"/>
      <c r="H37" s="2074"/>
      <c r="I37" s="2193">
        <f>+'1Př1'!F14+'1Př1'!F18-'1Př1'!F20+'1Př1'!F22</f>
        <v>0</v>
      </c>
      <c r="J37" s="2194"/>
      <c r="K37" s="2194"/>
      <c r="L37" s="2194"/>
      <c r="M37" s="2194"/>
      <c r="N37" s="2194"/>
      <c r="O37" s="2194"/>
      <c r="P37" s="2194"/>
      <c r="Q37" s="2194"/>
      <c r="R37" s="2194"/>
      <c r="S37" s="2195"/>
      <c r="T37" s="2078" t="s">
        <v>250</v>
      </c>
      <c r="U37" s="1156"/>
      <c r="V37" s="2053"/>
      <c r="W37" s="296"/>
      <c r="X37" s="2072" t="s">
        <v>234</v>
      </c>
      <c r="Y37" s="2073"/>
      <c r="Z37" s="2073"/>
      <c r="AA37" s="2073"/>
      <c r="AB37" s="2073"/>
      <c r="AC37" s="2073"/>
      <c r="AD37" s="2074"/>
      <c r="AE37" s="2178">
        <f>AE35-+I51</f>
        <v>0</v>
      </c>
      <c r="AF37" s="2179"/>
      <c r="AG37" s="2179"/>
      <c r="AH37" s="2179"/>
      <c r="AI37" s="2179"/>
      <c r="AJ37" s="2179"/>
      <c r="AK37" s="2179"/>
      <c r="AL37" s="2179"/>
      <c r="AM37" s="2179"/>
      <c r="AN37" s="2180"/>
      <c r="AO37" s="2078" t="s">
        <v>250</v>
      </c>
      <c r="AP37" s="1156"/>
      <c r="AQ37" s="1156"/>
      <c r="AR37" s="2053"/>
      <c r="BG37" s="28"/>
      <c r="BH37" s="28"/>
      <c r="BI37" s="28"/>
      <c r="BJ37" s="28"/>
      <c r="BK37" s="28"/>
      <c r="BL37" s="28"/>
      <c r="BM37" s="28"/>
      <c r="BN37" s="28"/>
      <c r="BO37" s="28"/>
      <c r="BP37" s="28"/>
    </row>
    <row r="38" spans="1:68" ht="12" customHeight="1">
      <c r="A38" s="296"/>
      <c r="B38" s="2128" t="s">
        <v>3962</v>
      </c>
      <c r="C38" s="2139"/>
      <c r="D38" s="2139"/>
      <c r="E38" s="2139"/>
      <c r="F38" s="2139"/>
      <c r="G38" s="2139"/>
      <c r="H38" s="2139"/>
      <c r="I38" s="2139"/>
      <c r="J38" s="2139"/>
      <c r="K38" s="2139"/>
      <c r="L38" s="2139"/>
      <c r="M38" s="2139"/>
      <c r="N38" s="2139"/>
      <c r="O38" s="2139"/>
      <c r="P38" s="2139"/>
      <c r="Q38" s="2139"/>
      <c r="R38" s="2139"/>
      <c r="S38" s="2139"/>
      <c r="T38" s="2139"/>
      <c r="U38" s="2139"/>
      <c r="V38" s="2140"/>
      <c r="W38" s="2060"/>
      <c r="X38" s="1156"/>
      <c r="Y38" s="1156"/>
      <c r="Z38" s="1156"/>
      <c r="AA38" s="1156"/>
      <c r="AB38" s="1156"/>
      <c r="AC38" s="1156"/>
      <c r="AD38" s="1156"/>
      <c r="AE38" s="1156"/>
      <c r="AF38" s="1156"/>
      <c r="AG38" s="1156"/>
      <c r="AH38" s="1156"/>
      <c r="AI38" s="1156"/>
      <c r="AJ38" s="1156"/>
      <c r="AK38" s="1156"/>
      <c r="AL38" s="1156"/>
      <c r="AM38" s="1156"/>
      <c r="AN38" s="1156"/>
      <c r="AO38" s="1156"/>
      <c r="AP38" s="1156"/>
      <c r="AQ38" s="1156"/>
      <c r="AR38" s="2053"/>
      <c r="BG38" s="28"/>
      <c r="BH38" s="28"/>
      <c r="BI38" s="28"/>
      <c r="BJ38" s="28"/>
      <c r="BK38" s="28"/>
      <c r="BL38" s="28"/>
      <c r="BM38" s="28"/>
      <c r="BN38" s="28"/>
      <c r="BO38" s="28"/>
      <c r="BP38" s="28"/>
    </row>
    <row r="39" spans="1:68" ht="18" customHeight="1">
      <c r="A39" s="296"/>
      <c r="B39" s="2072" t="s">
        <v>418</v>
      </c>
      <c r="C39" s="2073"/>
      <c r="D39" s="2073"/>
      <c r="E39" s="2073"/>
      <c r="F39" s="2073"/>
      <c r="G39" s="2073"/>
      <c r="H39" s="2073"/>
      <c r="I39" s="2073"/>
      <c r="J39" s="2073"/>
      <c r="K39" s="2073"/>
      <c r="L39" s="2073"/>
      <c r="M39" s="2074"/>
      <c r="N39" s="2091">
        <f>+'1Př2'!G3</f>
        <v>12</v>
      </c>
      <c r="O39" s="2092"/>
      <c r="P39" s="2060"/>
      <c r="Q39" s="1156"/>
      <c r="R39" s="1156"/>
      <c r="S39" s="1156"/>
      <c r="T39" s="1156"/>
      <c r="U39" s="1156"/>
      <c r="V39" s="2053"/>
      <c r="W39" s="2082"/>
      <c r="X39" s="1156"/>
      <c r="Y39" s="1156"/>
      <c r="Z39" s="1156"/>
      <c r="AA39" s="1156"/>
      <c r="AB39" s="1156"/>
      <c r="AC39" s="1156"/>
      <c r="AD39" s="1156"/>
      <c r="AE39" s="1156"/>
      <c r="AF39" s="1156"/>
      <c r="AG39" s="1156"/>
      <c r="AH39" s="1156"/>
      <c r="AI39" s="1156"/>
      <c r="AJ39" s="1156"/>
      <c r="AK39" s="1156"/>
      <c r="AL39" s="1156"/>
      <c r="AM39" s="1156"/>
      <c r="AN39" s="1156"/>
      <c r="AO39" s="1156"/>
      <c r="AP39" s="1156"/>
      <c r="AQ39" s="1156"/>
      <c r="AR39" s="2053"/>
      <c r="BG39" s="28"/>
      <c r="BH39" s="28"/>
      <c r="BI39" s="28"/>
      <c r="BJ39" s="28"/>
      <c r="BK39" s="28"/>
      <c r="BL39" s="28"/>
      <c r="BM39" s="28"/>
      <c r="BN39" s="28"/>
      <c r="BO39" s="28"/>
      <c r="BP39" s="28"/>
    </row>
    <row r="40" spans="1:68" ht="18" customHeight="1">
      <c r="A40" s="296"/>
      <c r="B40" s="2128" t="s">
        <v>160</v>
      </c>
      <c r="C40" s="2139"/>
      <c r="D40" s="2139"/>
      <c r="E40" s="2139"/>
      <c r="F40" s="2139"/>
      <c r="G40" s="2139"/>
      <c r="H40" s="2139"/>
      <c r="I40" s="2139"/>
      <c r="J40" s="2139"/>
      <c r="K40" s="2139"/>
      <c r="L40" s="2139"/>
      <c r="M40" s="2139"/>
      <c r="N40" s="2139"/>
      <c r="O40" s="2139"/>
      <c r="P40" s="2139"/>
      <c r="Q40" s="2139"/>
      <c r="R40" s="2139"/>
      <c r="S40" s="2139"/>
      <c r="T40" s="2139"/>
      <c r="U40" s="2139"/>
      <c r="V40" s="2140"/>
      <c r="W40" s="296"/>
      <c r="X40" s="2171" t="s">
        <v>427</v>
      </c>
      <c r="Y40" s="2171"/>
      <c r="Z40" s="2171"/>
      <c r="AA40" s="2171"/>
      <c r="AB40" s="2171"/>
      <c r="AC40" s="2171"/>
      <c r="AD40" s="2171"/>
      <c r="AE40" s="2171"/>
      <c r="AF40" s="2171"/>
      <c r="AG40" s="2171"/>
      <c r="AH40" s="2171"/>
      <c r="AI40" s="2171"/>
      <c r="AJ40" s="2171"/>
      <c r="AK40" s="2171"/>
      <c r="AL40" s="2171"/>
      <c r="AM40" s="2171"/>
      <c r="AN40" s="2171"/>
      <c r="AO40" s="2171"/>
      <c r="AP40" s="2171"/>
      <c r="AQ40" s="2171"/>
      <c r="AR40" s="2153"/>
      <c r="BG40" s="28"/>
      <c r="BH40" s="28"/>
      <c r="BI40" s="28"/>
      <c r="BJ40" s="28"/>
      <c r="BK40" s="28"/>
      <c r="BL40" s="28"/>
      <c r="BM40" s="28"/>
      <c r="BN40" s="28"/>
      <c r="BO40" s="28"/>
      <c r="BP40" s="28"/>
    </row>
    <row r="41" spans="1:68" ht="18" customHeight="1">
      <c r="A41" s="296"/>
      <c r="B41" s="2072" t="s">
        <v>419</v>
      </c>
      <c r="C41" s="2073"/>
      <c r="D41" s="2073"/>
      <c r="E41" s="2073"/>
      <c r="F41" s="2073"/>
      <c r="G41" s="2073"/>
      <c r="H41" s="2073"/>
      <c r="I41" s="2073"/>
      <c r="J41" s="2073"/>
      <c r="K41" s="2073"/>
      <c r="L41" s="2073"/>
      <c r="M41" s="2074"/>
      <c r="N41" s="2091">
        <f>+N39</f>
        <v>12</v>
      </c>
      <c r="O41" s="2092"/>
      <c r="P41" s="2060"/>
      <c r="Q41" s="1156"/>
      <c r="R41" s="1156"/>
      <c r="S41" s="1156"/>
      <c r="T41" s="1156"/>
      <c r="U41" s="1156"/>
      <c r="V41" s="2053"/>
      <c r="W41" s="296"/>
      <c r="X41" s="291" t="s">
        <v>316</v>
      </c>
      <c r="Y41" s="2152" t="s">
        <v>428</v>
      </c>
      <c r="Z41" s="2171"/>
      <c r="AA41" s="2171"/>
      <c r="AB41" s="2171"/>
      <c r="AC41" s="2171"/>
      <c r="AD41" s="2171"/>
      <c r="AE41" s="2171"/>
      <c r="AF41" s="2171"/>
      <c r="AG41" s="2171"/>
      <c r="AH41" s="2171"/>
      <c r="AI41" s="2171"/>
      <c r="AJ41" s="2171"/>
      <c r="AK41" s="2171"/>
      <c r="AL41" s="2171"/>
      <c r="AM41" s="2171"/>
      <c r="AN41" s="2171"/>
      <c r="AO41" s="2171"/>
      <c r="AP41" s="2171"/>
      <c r="AQ41" s="2171"/>
      <c r="AR41" s="2153"/>
      <c r="BG41" s="28"/>
      <c r="BH41" s="28"/>
      <c r="BI41" s="28"/>
      <c r="BJ41" s="28"/>
      <c r="BK41" s="28"/>
      <c r="BL41" s="28"/>
      <c r="BM41" s="28"/>
      <c r="BN41" s="28"/>
      <c r="BO41" s="28"/>
      <c r="BP41" s="28"/>
    </row>
    <row r="42" spans="1:68" ht="18" customHeight="1">
      <c r="A42" s="296"/>
      <c r="B42" s="2196" t="s">
        <v>420</v>
      </c>
      <c r="C42" s="2197"/>
      <c r="D42" s="2197"/>
      <c r="E42" s="2197"/>
      <c r="F42" s="2197"/>
      <c r="G42" s="2197"/>
      <c r="H42" s="2197"/>
      <c r="I42" s="2197"/>
      <c r="J42" s="2197"/>
      <c r="K42" s="2197"/>
      <c r="L42" s="2197"/>
      <c r="M42" s="2197"/>
      <c r="N42" s="2197"/>
      <c r="O42" s="2197"/>
      <c r="P42" s="2197"/>
      <c r="Q42" s="2197"/>
      <c r="R42" s="2197"/>
      <c r="S42" s="2197"/>
      <c r="T42" s="2197"/>
      <c r="U42" s="2197"/>
      <c r="V42" s="2198"/>
      <c r="W42" s="296"/>
      <c r="X42" s="291"/>
      <c r="Y42" s="2152" t="s">
        <v>3779</v>
      </c>
      <c r="Z42" s="2171"/>
      <c r="AA42" s="2171"/>
      <c r="AB42" s="2171"/>
      <c r="AC42" s="2171"/>
      <c r="AD42" s="2171"/>
      <c r="AE42" s="2171"/>
      <c r="AF42" s="2171"/>
      <c r="AG42" s="2171"/>
      <c r="AH42" s="2171"/>
      <c r="AI42" s="2171"/>
      <c r="AJ42" s="2171"/>
      <c r="AK42" s="2171"/>
      <c r="AL42" s="2171"/>
      <c r="AM42" s="2171"/>
      <c r="AN42" s="2171"/>
      <c r="AO42" s="2171"/>
      <c r="AP42" s="2171"/>
      <c r="AQ42" s="2171"/>
      <c r="AR42" s="2153"/>
      <c r="BG42" s="28"/>
      <c r="BH42" s="28"/>
      <c r="BI42" s="28"/>
      <c r="BJ42" s="28"/>
      <c r="BK42" s="28"/>
      <c r="BL42" s="28"/>
      <c r="BM42" s="28"/>
      <c r="BN42" s="28"/>
      <c r="BO42" s="28"/>
      <c r="BP42" s="28"/>
    </row>
    <row r="43" spans="1:68" ht="18" customHeight="1">
      <c r="A43" s="296"/>
      <c r="B43" s="2072" t="s">
        <v>421</v>
      </c>
      <c r="C43" s="2073"/>
      <c r="D43" s="2073"/>
      <c r="E43" s="2073"/>
      <c r="F43" s="2073"/>
      <c r="G43" s="2073"/>
      <c r="H43" s="2073"/>
      <c r="I43" s="2073"/>
      <c r="J43" s="2073"/>
      <c r="K43" s="2073"/>
      <c r="L43" s="2073"/>
      <c r="M43" s="2074"/>
      <c r="N43" s="2091">
        <v>0</v>
      </c>
      <c r="O43" s="2092"/>
      <c r="P43" s="2060"/>
      <c r="Q43" s="1156"/>
      <c r="R43" s="1156"/>
      <c r="S43" s="1156"/>
      <c r="T43" s="1156"/>
      <c r="U43" s="1156"/>
      <c r="V43" s="2053"/>
      <c r="W43" s="296"/>
      <c r="X43" s="291"/>
      <c r="Y43" s="2152" t="s">
        <v>3778</v>
      </c>
      <c r="Z43" s="1156"/>
      <c r="AA43" s="1156"/>
      <c r="AB43" s="1156"/>
      <c r="AC43" s="1156"/>
      <c r="AD43" s="1156"/>
      <c r="AE43" s="1156"/>
      <c r="AF43" s="1156"/>
      <c r="AG43" s="2053"/>
      <c r="AH43" s="2075">
        <f>+MAX(0,AE37)</f>
        <v>0</v>
      </c>
      <c r="AI43" s="2172"/>
      <c r="AJ43" s="2172"/>
      <c r="AK43" s="2172"/>
      <c r="AL43" s="2172"/>
      <c r="AM43" s="2172"/>
      <c r="AN43" s="2172"/>
      <c r="AO43" s="2173"/>
      <c r="AP43" s="2078" t="s">
        <v>250</v>
      </c>
      <c r="AQ43" s="1156"/>
      <c r="AR43" s="2053"/>
      <c r="BG43" s="28"/>
      <c r="BH43" s="28"/>
      <c r="BI43" s="28"/>
      <c r="BJ43" s="28"/>
      <c r="BK43" s="28"/>
      <c r="BL43" s="28"/>
      <c r="BM43" s="28"/>
      <c r="BN43" s="28"/>
      <c r="BO43" s="28"/>
      <c r="BP43" s="28"/>
    </row>
    <row r="44" spans="1:68" ht="12" customHeight="1">
      <c r="A44" s="296"/>
      <c r="B44" s="2090"/>
      <c r="C44" s="2090"/>
      <c r="D44" s="2090"/>
      <c r="E44" s="2090"/>
      <c r="F44" s="2090"/>
      <c r="G44" s="2090"/>
      <c r="H44" s="2090"/>
      <c r="I44" s="2199" t="s">
        <v>3963</v>
      </c>
      <c r="J44" s="2199"/>
      <c r="K44" s="2199"/>
      <c r="L44" s="2199"/>
      <c r="M44" s="2199"/>
      <c r="N44" s="2199"/>
      <c r="O44" s="2199"/>
      <c r="P44" s="2199"/>
      <c r="Q44" s="2199"/>
      <c r="R44" s="2199"/>
      <c r="S44" s="2199"/>
      <c r="T44" s="2061"/>
      <c r="U44" s="1156"/>
      <c r="V44" s="2053"/>
      <c r="W44" s="2060"/>
      <c r="X44" s="2061"/>
      <c r="Y44" s="2061"/>
      <c r="Z44" s="2061"/>
      <c r="AA44" s="2061"/>
      <c r="AB44" s="2061"/>
      <c r="AC44" s="2061"/>
      <c r="AD44" s="2061"/>
      <c r="AE44" s="2061"/>
      <c r="AF44" s="2061"/>
      <c r="AG44" s="2061"/>
      <c r="AH44" s="2061"/>
      <c r="AI44" s="2061"/>
      <c r="AJ44" s="2061"/>
      <c r="AK44" s="2061"/>
      <c r="AL44" s="2061"/>
      <c r="AM44" s="2061"/>
      <c r="AN44" s="2061"/>
      <c r="AO44" s="2061"/>
      <c r="AP44" s="2061"/>
      <c r="AQ44" s="2061"/>
      <c r="AR44" s="2062"/>
      <c r="BG44" s="28"/>
      <c r="BH44" s="28"/>
      <c r="BI44" s="28"/>
      <c r="BJ44" s="28"/>
      <c r="BK44" s="28"/>
      <c r="BL44" s="28"/>
      <c r="BM44" s="28"/>
      <c r="BN44" s="28"/>
      <c r="BO44" s="28"/>
      <c r="BP44" s="28"/>
    </row>
    <row r="45" spans="1:68" ht="24" customHeight="1">
      <c r="A45" s="296"/>
      <c r="B45" s="2072" t="s">
        <v>422</v>
      </c>
      <c r="C45" s="1156"/>
      <c r="D45" s="1156"/>
      <c r="E45" s="1156"/>
      <c r="F45" s="1156"/>
      <c r="G45" s="1156"/>
      <c r="H45" s="2053"/>
      <c r="I45" s="2063">
        <f>+N43*14116</f>
        <v>0</v>
      </c>
      <c r="J45" s="2135"/>
      <c r="K45" s="2135"/>
      <c r="L45" s="2135"/>
      <c r="M45" s="2135"/>
      <c r="N45" s="2135"/>
      <c r="O45" s="2135"/>
      <c r="P45" s="2135"/>
      <c r="Q45" s="2135"/>
      <c r="R45" s="2135"/>
      <c r="S45" s="2136"/>
      <c r="T45" s="2078" t="s">
        <v>250</v>
      </c>
      <c r="U45" s="1156"/>
      <c r="V45" s="2053"/>
      <c r="W45" s="2066" t="s">
        <v>3648</v>
      </c>
      <c r="X45" s="2174"/>
      <c r="Y45" s="2174"/>
      <c r="Z45" s="2174"/>
      <c r="AA45" s="2174"/>
      <c r="AB45" s="2174"/>
      <c r="AC45" s="2174"/>
      <c r="AD45" s="2174"/>
      <c r="AE45" s="2174"/>
      <c r="AF45" s="2174"/>
      <c r="AG45" s="2174"/>
      <c r="AH45" s="2174"/>
      <c r="AI45" s="2174"/>
      <c r="AJ45" s="2174"/>
      <c r="AK45" s="2174"/>
      <c r="AL45" s="2174"/>
      <c r="AM45" s="2067"/>
      <c r="AN45" s="2067"/>
      <c r="AO45" s="2067"/>
      <c r="AP45" s="2067"/>
      <c r="AQ45" s="2067"/>
      <c r="AR45" s="2175"/>
      <c r="BG45" s="28"/>
      <c r="BH45" s="28"/>
      <c r="BI45" s="28"/>
      <c r="BJ45" s="28"/>
      <c r="BK45" s="28"/>
      <c r="BL45" s="28"/>
      <c r="BM45" s="28"/>
      <c r="BN45" s="28"/>
      <c r="BO45" s="28"/>
      <c r="BP45" s="28"/>
    </row>
    <row r="46" spans="1:68" ht="12" customHeight="1">
      <c r="A46" s="338"/>
      <c r="B46" s="2090"/>
      <c r="C46" s="2090"/>
      <c r="D46" s="2090"/>
      <c r="E46" s="2090"/>
      <c r="F46" s="2090"/>
      <c r="G46" s="2090"/>
      <c r="H46" s="2090"/>
      <c r="I46" s="2089" t="s">
        <v>424</v>
      </c>
      <c r="J46" s="2089"/>
      <c r="K46" s="2089"/>
      <c r="L46" s="2089"/>
      <c r="M46" s="2089"/>
      <c r="N46" s="2089"/>
      <c r="O46" s="2089"/>
      <c r="P46" s="2089"/>
      <c r="Q46" s="2089"/>
      <c r="R46" s="2089"/>
      <c r="S46" s="2089"/>
      <c r="T46" s="2061"/>
      <c r="U46" s="1156"/>
      <c r="V46" s="2053"/>
      <c r="W46" s="2052" t="s">
        <v>3649</v>
      </c>
      <c r="X46" s="2128"/>
      <c r="Y46" s="2128"/>
      <c r="Z46" s="2128"/>
      <c r="AA46" s="2128"/>
      <c r="AB46" s="2128"/>
      <c r="AC46" s="2128"/>
      <c r="AD46" s="2128"/>
      <c r="AE46" s="2128"/>
      <c r="AF46" s="2128"/>
      <c r="AG46" s="2128"/>
      <c r="AH46" s="2128"/>
      <c r="AI46" s="2128"/>
      <c r="AJ46" s="2128"/>
      <c r="AK46" s="2128"/>
      <c r="AL46" s="2128"/>
      <c r="AM46" s="2128"/>
      <c r="AN46" s="2128"/>
      <c r="AO46" s="2128"/>
      <c r="AP46" s="2128"/>
      <c r="AQ46" s="2128"/>
      <c r="AR46" s="2141"/>
      <c r="BG46" s="28"/>
      <c r="BH46" s="28"/>
      <c r="BI46" s="28"/>
      <c r="BJ46" s="28"/>
      <c r="BK46" s="28"/>
      <c r="BL46" s="28"/>
      <c r="BM46" s="28"/>
      <c r="BN46" s="28"/>
      <c r="BO46" s="28"/>
      <c r="BP46" s="28"/>
    </row>
    <row r="47" spans="1:68" ht="24" customHeight="1">
      <c r="A47" s="296"/>
      <c r="B47" s="2072" t="s">
        <v>423</v>
      </c>
      <c r="C47" s="2073"/>
      <c r="D47" s="2073"/>
      <c r="E47" s="2073"/>
      <c r="F47" s="2073"/>
      <c r="G47" s="2073"/>
      <c r="H47" s="2074"/>
      <c r="I47" s="2063">
        <f>+I35-I37</f>
        <v>0</v>
      </c>
      <c r="J47" s="2064"/>
      <c r="K47" s="2064"/>
      <c r="L47" s="2064"/>
      <c r="M47" s="2064"/>
      <c r="N47" s="2064"/>
      <c r="O47" s="2064"/>
      <c r="P47" s="2064"/>
      <c r="Q47" s="2064"/>
      <c r="R47" s="2064"/>
      <c r="S47" s="2065"/>
      <c r="T47" s="2078" t="s">
        <v>250</v>
      </c>
      <c r="U47" s="1156"/>
      <c r="V47" s="2053"/>
      <c r="W47" s="296"/>
      <c r="X47" s="2072" t="s">
        <v>429</v>
      </c>
      <c r="Y47" s="2176"/>
      <c r="Z47" s="2176"/>
      <c r="AA47" s="2176"/>
      <c r="AB47" s="2176"/>
      <c r="AC47" s="2176"/>
      <c r="AD47" s="2177"/>
      <c r="AE47" s="2176"/>
      <c r="AF47" s="2176"/>
      <c r="AG47" s="2178">
        <f>+CEILING(0.135*0.5*MAX(0,I47)/N39,1)</f>
        <v>0</v>
      </c>
      <c r="AH47" s="2179"/>
      <c r="AI47" s="2179"/>
      <c r="AJ47" s="2179"/>
      <c r="AK47" s="2179"/>
      <c r="AL47" s="2179"/>
      <c r="AM47" s="2179"/>
      <c r="AN47" s="2180"/>
      <c r="AO47" s="2078" t="s">
        <v>250</v>
      </c>
      <c r="AP47" s="2061"/>
      <c r="AQ47" s="2061"/>
      <c r="AR47" s="2062"/>
      <c r="BG47" s="28"/>
      <c r="BH47" s="28"/>
      <c r="BI47" s="28"/>
      <c r="BJ47" s="28"/>
      <c r="BK47" s="28"/>
      <c r="BL47" s="28"/>
      <c r="BM47" s="28"/>
      <c r="BN47" s="28"/>
      <c r="BO47" s="28"/>
      <c r="BP47" s="28"/>
    </row>
    <row r="48" spans="1:68" ht="12" customHeight="1">
      <c r="A48" s="2052" t="s">
        <v>3964</v>
      </c>
      <c r="B48" s="1156"/>
      <c r="C48" s="1156"/>
      <c r="D48" s="1156"/>
      <c r="E48" s="1156"/>
      <c r="F48" s="1156"/>
      <c r="G48" s="1156"/>
      <c r="H48" s="1156"/>
      <c r="I48" s="1156"/>
      <c r="J48" s="1156"/>
      <c r="K48" s="1156"/>
      <c r="L48" s="1156"/>
      <c r="M48" s="1156"/>
      <c r="N48" s="1156"/>
      <c r="O48" s="1156"/>
      <c r="P48" s="1156"/>
      <c r="Q48" s="1156"/>
      <c r="R48" s="1156"/>
      <c r="S48" s="1156"/>
      <c r="T48" s="1156"/>
      <c r="U48" s="1156"/>
      <c r="V48" s="2053"/>
      <c r="W48" s="2054" t="s">
        <v>3651</v>
      </c>
      <c r="X48" s="2055"/>
      <c r="Y48" s="2055"/>
      <c r="Z48" s="2055"/>
      <c r="AA48" s="2055"/>
      <c r="AB48" s="2055"/>
      <c r="AC48" s="2055"/>
      <c r="AD48" s="2055"/>
      <c r="AE48" s="2055"/>
      <c r="AF48" s="2055"/>
      <c r="AG48" s="2055"/>
      <c r="AH48" s="2055"/>
      <c r="AI48" s="2055"/>
      <c r="AJ48" s="2055"/>
      <c r="AK48" s="2055"/>
      <c r="AL48" s="2055"/>
      <c r="AM48" s="2055"/>
      <c r="AN48" s="2055"/>
      <c r="AO48" s="2055"/>
      <c r="AP48" s="2055"/>
      <c r="AQ48" s="2055"/>
      <c r="AR48" s="2056"/>
      <c r="BG48" s="28"/>
      <c r="BH48" s="28"/>
      <c r="BI48" s="28"/>
      <c r="BJ48" s="28"/>
      <c r="BK48" s="28"/>
      <c r="BL48" s="28"/>
      <c r="BM48" s="28"/>
      <c r="BN48" s="28"/>
      <c r="BO48" s="28"/>
      <c r="BP48" s="28"/>
    </row>
    <row r="49" spans="1:68" ht="24" customHeight="1">
      <c r="A49" s="296"/>
      <c r="B49" s="2072" t="s">
        <v>155</v>
      </c>
      <c r="C49" s="2073"/>
      <c r="D49" s="2073"/>
      <c r="E49" s="2073"/>
      <c r="F49" s="2073"/>
      <c r="G49" s="2073"/>
      <c r="H49" s="2074"/>
      <c r="I49" s="2063">
        <f>+MAX(I45,+I47*0.5)</f>
        <v>0</v>
      </c>
      <c r="J49" s="2064"/>
      <c r="K49" s="2064"/>
      <c r="L49" s="2064"/>
      <c r="M49" s="2064"/>
      <c r="N49" s="2064"/>
      <c r="O49" s="2064"/>
      <c r="P49" s="2064"/>
      <c r="Q49" s="2064"/>
      <c r="R49" s="2064"/>
      <c r="S49" s="2065"/>
      <c r="T49" s="2078" t="s">
        <v>250</v>
      </c>
      <c r="U49" s="1156"/>
      <c r="V49" s="2053"/>
      <c r="W49" s="2057"/>
      <c r="X49" s="2058"/>
      <c r="Y49" s="2058"/>
      <c r="Z49" s="2058"/>
      <c r="AA49" s="2058"/>
      <c r="AB49" s="2058"/>
      <c r="AC49" s="2058"/>
      <c r="AD49" s="2058"/>
      <c r="AE49" s="2058"/>
      <c r="AF49" s="2058"/>
      <c r="AG49" s="2058"/>
      <c r="AH49" s="2058"/>
      <c r="AI49" s="2058"/>
      <c r="AJ49" s="2058"/>
      <c r="AK49" s="2058"/>
      <c r="AL49" s="2058"/>
      <c r="AM49" s="2058"/>
      <c r="AN49" s="2058"/>
      <c r="AO49" s="2058"/>
      <c r="AP49" s="2058"/>
      <c r="AQ49" s="2058"/>
      <c r="AR49" s="2059"/>
      <c r="BG49" s="28"/>
      <c r="BH49" s="28"/>
      <c r="BI49" s="28"/>
      <c r="BJ49" s="28"/>
      <c r="BK49" s="28"/>
      <c r="BL49" s="28"/>
      <c r="BM49" s="28"/>
      <c r="BN49" s="28"/>
      <c r="BO49" s="28"/>
      <c r="BP49" s="28"/>
    </row>
    <row r="50" spans="1:44" ht="12.75" customHeight="1">
      <c r="A50" s="296"/>
      <c r="B50" s="2128" t="s">
        <v>3965</v>
      </c>
      <c r="C50" s="1156"/>
      <c r="D50" s="1156"/>
      <c r="E50" s="1156"/>
      <c r="F50" s="1156"/>
      <c r="G50" s="1156"/>
      <c r="H50" s="1156"/>
      <c r="I50" s="1156"/>
      <c r="J50" s="1156"/>
      <c r="K50" s="1156"/>
      <c r="L50" s="1156"/>
      <c r="M50" s="1156"/>
      <c r="N50" s="1156"/>
      <c r="O50" s="1156"/>
      <c r="P50" s="1156"/>
      <c r="Q50" s="1156"/>
      <c r="R50" s="1156"/>
      <c r="S50" s="1156"/>
      <c r="T50" s="1156"/>
      <c r="U50" s="1156"/>
      <c r="V50" s="2053"/>
      <c r="W50" s="2057"/>
      <c r="X50" s="2058"/>
      <c r="Y50" s="2058"/>
      <c r="Z50" s="2058"/>
      <c r="AA50" s="2058"/>
      <c r="AB50" s="2058"/>
      <c r="AC50" s="2058"/>
      <c r="AD50" s="2058"/>
      <c r="AE50" s="2058"/>
      <c r="AF50" s="2058"/>
      <c r="AG50" s="2058"/>
      <c r="AH50" s="2058"/>
      <c r="AI50" s="2058"/>
      <c r="AJ50" s="2058"/>
      <c r="AK50" s="2058"/>
      <c r="AL50" s="2058"/>
      <c r="AM50" s="2058"/>
      <c r="AN50" s="2058"/>
      <c r="AO50" s="2058"/>
      <c r="AP50" s="2058"/>
      <c r="AQ50" s="2058"/>
      <c r="AR50" s="2059"/>
    </row>
    <row r="51" spans="1:44" ht="24" customHeight="1">
      <c r="A51" s="341"/>
      <c r="B51" s="2072" t="s">
        <v>425</v>
      </c>
      <c r="C51" s="2073"/>
      <c r="D51" s="2073"/>
      <c r="E51" s="2073"/>
      <c r="F51" s="2073"/>
      <c r="G51" s="2073"/>
      <c r="H51" s="2074"/>
      <c r="I51" s="2063">
        <f>+CEILING(0.135*(I49*N41)/N39,1)</f>
        <v>0</v>
      </c>
      <c r="J51" s="2064"/>
      <c r="K51" s="2064"/>
      <c r="L51" s="2064"/>
      <c r="M51" s="2064"/>
      <c r="N51" s="2064"/>
      <c r="O51" s="2064"/>
      <c r="P51" s="2064"/>
      <c r="Q51" s="2064"/>
      <c r="R51" s="2064"/>
      <c r="S51" s="2065"/>
      <c r="T51" s="2078" t="s">
        <v>250</v>
      </c>
      <c r="U51" s="1156"/>
      <c r="V51" s="2053"/>
      <c r="W51" s="296"/>
      <c r="X51" s="291" t="s">
        <v>316</v>
      </c>
      <c r="Y51" s="2152" t="s">
        <v>3968</v>
      </c>
      <c r="Z51" s="2061"/>
      <c r="AA51" s="2061"/>
      <c r="AB51" s="291"/>
      <c r="AC51" s="2152" t="s">
        <v>3650</v>
      </c>
      <c r="AD51" s="2061"/>
      <c r="AE51" s="2061"/>
      <c r="AF51" s="291"/>
      <c r="AG51" s="2152" t="s">
        <v>430</v>
      </c>
      <c r="AH51" s="2061"/>
      <c r="AI51" s="2061"/>
      <c r="AJ51" s="2075">
        <f>+IF(OR(EXACT(X51,"X"),EXACT(X51,"x")),MAX(AG47,2024),IF(OR(EXACT(AF51,"X"),EXACT(AF51,"x")),0,+AG47))</f>
        <v>2024</v>
      </c>
      <c r="AK51" s="2076"/>
      <c r="AL51" s="2076"/>
      <c r="AM51" s="2076"/>
      <c r="AN51" s="2077"/>
      <c r="AO51" s="2078" t="s">
        <v>250</v>
      </c>
      <c r="AP51" s="2061"/>
      <c r="AQ51" s="2061"/>
      <c r="AR51" s="2062"/>
    </row>
    <row r="52" spans="1:44" ht="21" customHeight="1">
      <c r="A52" s="2102"/>
      <c r="B52" s="2096"/>
      <c r="C52" s="2096"/>
      <c r="D52" s="2096"/>
      <c r="E52" s="2096"/>
      <c r="F52" s="2096"/>
      <c r="G52" s="2096"/>
      <c r="H52" s="2096"/>
      <c r="I52" s="2096"/>
      <c r="J52" s="2096"/>
      <c r="K52" s="2096"/>
      <c r="L52" s="2096"/>
      <c r="M52" s="2096"/>
      <c r="N52" s="2096"/>
      <c r="O52" s="2096"/>
      <c r="P52" s="2096"/>
      <c r="Q52" s="2096"/>
      <c r="R52" s="2096"/>
      <c r="S52" s="2096"/>
      <c r="T52" s="2096"/>
      <c r="U52" s="2096"/>
      <c r="V52" s="2097"/>
      <c r="W52" s="2103"/>
      <c r="X52" s="2104"/>
      <c r="Y52" s="2104"/>
      <c r="Z52" s="2104"/>
      <c r="AA52" s="2104"/>
      <c r="AB52" s="2104"/>
      <c r="AC52" s="2104"/>
      <c r="AD52" s="2104"/>
      <c r="AE52" s="2104"/>
      <c r="AF52" s="2104"/>
      <c r="AG52" s="2104"/>
      <c r="AH52" s="2104"/>
      <c r="AI52" s="2104"/>
      <c r="AJ52" s="2104"/>
      <c r="AK52" s="2104"/>
      <c r="AL52" s="2104"/>
      <c r="AM52" s="2104"/>
      <c r="AN52" s="2104"/>
      <c r="AO52" s="2104"/>
      <c r="AP52" s="2104"/>
      <c r="AQ52" s="2104"/>
      <c r="AR52" s="2105"/>
    </row>
    <row r="53" spans="1:44" ht="12.75" customHeight="1">
      <c r="A53" s="2066" t="s">
        <v>3652</v>
      </c>
      <c r="B53" s="2135"/>
      <c r="C53" s="2135"/>
      <c r="D53" s="2135"/>
      <c r="E53" s="2135"/>
      <c r="F53" s="2135"/>
      <c r="G53" s="2135"/>
      <c r="H53" s="2135"/>
      <c r="I53" s="2135"/>
      <c r="J53" s="2135"/>
      <c r="K53" s="2135"/>
      <c r="L53" s="2135"/>
      <c r="M53" s="2135"/>
      <c r="N53" s="2135"/>
      <c r="O53" s="2135"/>
      <c r="P53" s="2135"/>
      <c r="Q53" s="2135"/>
      <c r="R53" s="2135"/>
      <c r="S53" s="2135"/>
      <c r="T53" s="2135"/>
      <c r="U53" s="2135"/>
      <c r="V53" s="2135"/>
      <c r="W53" s="2135"/>
      <c r="X53" s="2135"/>
      <c r="Y53" s="2135"/>
      <c r="Z53" s="2135"/>
      <c r="AA53" s="2135"/>
      <c r="AB53" s="2135"/>
      <c r="AC53" s="2135"/>
      <c r="AD53" s="2135"/>
      <c r="AE53" s="2135"/>
      <c r="AF53" s="2135"/>
      <c r="AG53" s="2135"/>
      <c r="AH53" s="2135"/>
      <c r="AI53" s="2135"/>
      <c r="AJ53" s="2135"/>
      <c r="AK53" s="2135"/>
      <c r="AL53" s="2135"/>
      <c r="AM53" s="2135"/>
      <c r="AN53" s="2135"/>
      <c r="AO53" s="2135"/>
      <c r="AP53" s="2135"/>
      <c r="AQ53" s="2135"/>
      <c r="AR53" s="2136"/>
    </row>
    <row r="54" spans="1:44" ht="9.95" customHeight="1">
      <c r="A54" s="2093" t="s">
        <v>432</v>
      </c>
      <c r="B54" s="793"/>
      <c r="C54" s="793"/>
      <c r="D54" s="793"/>
      <c r="E54" s="793"/>
      <c r="F54" s="793"/>
      <c r="G54" s="793"/>
      <c r="H54" s="793"/>
      <c r="I54" s="793"/>
      <c r="J54" s="793"/>
      <c r="K54" s="793"/>
      <c r="L54" s="793"/>
      <c r="M54" s="793"/>
      <c r="N54" s="793"/>
      <c r="O54" s="793"/>
      <c r="P54" s="793"/>
      <c r="Q54" s="793"/>
      <c r="R54" s="793"/>
      <c r="S54" s="793"/>
      <c r="T54" s="793"/>
      <c r="U54" s="793"/>
      <c r="V54" s="793"/>
      <c r="W54" s="793"/>
      <c r="X54" s="793"/>
      <c r="Y54" s="793"/>
      <c r="Z54" s="793"/>
      <c r="AA54" s="115"/>
      <c r="AB54" s="115"/>
      <c r="AC54" s="115"/>
      <c r="AD54" s="115"/>
      <c r="AE54" s="115"/>
      <c r="AF54" s="115"/>
      <c r="AG54" s="115"/>
      <c r="AH54" s="115"/>
      <c r="AI54" s="115"/>
      <c r="AJ54" s="115"/>
      <c r="AK54" s="115"/>
      <c r="AL54" s="115"/>
      <c r="AM54" s="115"/>
      <c r="AN54" s="115"/>
      <c r="AO54" s="115"/>
      <c r="AP54" s="115"/>
      <c r="AQ54" s="115"/>
      <c r="AR54" s="342"/>
    </row>
    <row r="55" spans="1:44" ht="9.95" customHeight="1">
      <c r="A55" s="2094"/>
      <c r="B55" s="793"/>
      <c r="C55" s="793"/>
      <c r="D55" s="793"/>
      <c r="E55" s="793"/>
      <c r="F55" s="793"/>
      <c r="G55" s="793"/>
      <c r="H55" s="793"/>
      <c r="I55" s="793"/>
      <c r="J55" s="793"/>
      <c r="K55" s="793"/>
      <c r="L55" s="793"/>
      <c r="M55" s="793"/>
      <c r="N55" s="793"/>
      <c r="O55" s="793"/>
      <c r="P55" s="793"/>
      <c r="Q55" s="793"/>
      <c r="R55" s="793"/>
      <c r="S55" s="793"/>
      <c r="T55" s="793"/>
      <c r="U55" s="793"/>
      <c r="V55" s="793"/>
      <c r="W55" s="793"/>
      <c r="X55" s="793"/>
      <c r="Y55" s="793"/>
      <c r="Z55" s="793"/>
      <c r="AA55" s="293"/>
      <c r="AB55" s="2181" t="s">
        <v>431</v>
      </c>
      <c r="AC55" s="2182"/>
      <c r="AD55" s="2182"/>
      <c r="AE55" s="2182"/>
      <c r="AF55" s="2182"/>
      <c r="AG55" s="2182"/>
      <c r="AH55" s="2182"/>
      <c r="AI55" s="2182"/>
      <c r="AJ55" s="2182"/>
      <c r="AK55" s="2182"/>
      <c r="AL55" s="2182"/>
      <c r="AM55" s="2182"/>
      <c r="AN55" s="2183"/>
      <c r="AO55" s="2190"/>
      <c r="AP55" s="1104"/>
      <c r="AQ55" s="1104"/>
      <c r="AR55" s="2191"/>
    </row>
    <row r="56" spans="1:44" ht="9.95" customHeight="1">
      <c r="A56" s="2094"/>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c r="AA56" s="293"/>
      <c r="AB56" s="2184"/>
      <c r="AC56" s="2185"/>
      <c r="AD56" s="2185"/>
      <c r="AE56" s="2185"/>
      <c r="AF56" s="2185"/>
      <c r="AG56" s="2185"/>
      <c r="AH56" s="2185"/>
      <c r="AI56" s="2185"/>
      <c r="AJ56" s="2185"/>
      <c r="AK56" s="2185"/>
      <c r="AL56" s="2185"/>
      <c r="AM56" s="2185"/>
      <c r="AN56" s="2186"/>
      <c r="AO56" s="2190"/>
      <c r="AP56" s="1104"/>
      <c r="AQ56" s="1104"/>
      <c r="AR56" s="2191"/>
    </row>
    <row r="57" spans="1:44" ht="9.95" customHeight="1">
      <c r="A57" s="2094"/>
      <c r="B57" s="793"/>
      <c r="C57" s="793"/>
      <c r="D57" s="793"/>
      <c r="E57" s="793"/>
      <c r="F57" s="793"/>
      <c r="G57" s="793"/>
      <c r="H57" s="793"/>
      <c r="I57" s="793"/>
      <c r="J57" s="793"/>
      <c r="K57" s="793"/>
      <c r="L57" s="793"/>
      <c r="M57" s="793"/>
      <c r="N57" s="793"/>
      <c r="O57" s="793"/>
      <c r="P57" s="793"/>
      <c r="Q57" s="793"/>
      <c r="R57" s="793"/>
      <c r="S57" s="793"/>
      <c r="T57" s="793"/>
      <c r="U57" s="793"/>
      <c r="V57" s="793"/>
      <c r="W57" s="793"/>
      <c r="X57" s="793"/>
      <c r="Y57" s="793"/>
      <c r="Z57" s="793"/>
      <c r="AA57" s="293"/>
      <c r="AB57" s="2184"/>
      <c r="AC57" s="2185"/>
      <c r="AD57" s="2185"/>
      <c r="AE57" s="2185"/>
      <c r="AF57" s="2185"/>
      <c r="AG57" s="2185"/>
      <c r="AH57" s="2185"/>
      <c r="AI57" s="2185"/>
      <c r="AJ57" s="2185"/>
      <c r="AK57" s="2185"/>
      <c r="AL57" s="2185"/>
      <c r="AM57" s="2185"/>
      <c r="AN57" s="2186"/>
      <c r="AO57" s="2190"/>
      <c r="AP57" s="1104"/>
      <c r="AQ57" s="1104"/>
      <c r="AR57" s="2191"/>
    </row>
    <row r="58" spans="1:44" ht="12.75">
      <c r="A58" s="292"/>
      <c r="B58" s="2112" t="s">
        <v>3969</v>
      </c>
      <c r="C58" s="2113"/>
      <c r="D58" s="2113"/>
      <c r="E58" s="2113"/>
      <c r="F58" s="2113"/>
      <c r="G58" s="2113"/>
      <c r="H58" s="2113"/>
      <c r="I58" s="2113"/>
      <c r="J58" s="2113"/>
      <c r="K58" s="2113"/>
      <c r="L58" s="2113"/>
      <c r="M58" s="2113"/>
      <c r="N58" s="2113"/>
      <c r="O58" s="2113"/>
      <c r="P58" s="2113"/>
      <c r="Q58" s="339" t="s">
        <v>433</v>
      </c>
      <c r="R58" s="339"/>
      <c r="S58" s="339"/>
      <c r="T58" s="339"/>
      <c r="U58" s="339"/>
      <c r="V58" s="339"/>
      <c r="W58" s="339"/>
      <c r="X58" s="339"/>
      <c r="Y58" s="339"/>
      <c r="Z58" s="339"/>
      <c r="AA58" s="340"/>
      <c r="AB58" s="2184"/>
      <c r="AC58" s="2185"/>
      <c r="AD58" s="2185"/>
      <c r="AE58" s="2185"/>
      <c r="AF58" s="2185"/>
      <c r="AG58" s="2185"/>
      <c r="AH58" s="2185"/>
      <c r="AI58" s="2185"/>
      <c r="AJ58" s="2185"/>
      <c r="AK58" s="2185"/>
      <c r="AL58" s="2185"/>
      <c r="AM58" s="2185"/>
      <c r="AN58" s="2186"/>
      <c r="AO58" s="2190"/>
      <c r="AP58" s="1104"/>
      <c r="AQ58" s="1104"/>
      <c r="AR58" s="2191"/>
    </row>
    <row r="59" spans="1:44" ht="15" customHeight="1">
      <c r="A59" s="341"/>
      <c r="B59" s="297"/>
      <c r="C59" s="1104"/>
      <c r="D59" s="1104"/>
      <c r="E59" s="1104"/>
      <c r="F59" s="1104"/>
      <c r="G59" s="1104"/>
      <c r="H59" s="1104"/>
      <c r="I59" s="1104"/>
      <c r="J59" s="1104"/>
      <c r="K59" s="1104"/>
      <c r="L59" s="1104"/>
      <c r="M59" s="1104"/>
      <c r="N59" s="1104"/>
      <c r="O59" s="1104"/>
      <c r="P59" s="1104"/>
      <c r="Q59" s="2098">
        <f ca="1">+TODAY()</f>
        <v>43231</v>
      </c>
      <c r="R59" s="2099"/>
      <c r="S59" s="2099"/>
      <c r="T59" s="2099"/>
      <c r="U59" s="2099"/>
      <c r="V59" s="2099"/>
      <c r="W59" s="2099"/>
      <c r="X59" s="2099"/>
      <c r="Y59" s="2100"/>
      <c r="Z59" s="293"/>
      <c r="AA59" s="293"/>
      <c r="AB59" s="2184"/>
      <c r="AC59" s="2185"/>
      <c r="AD59" s="2185"/>
      <c r="AE59" s="2185"/>
      <c r="AF59" s="2185"/>
      <c r="AG59" s="2185"/>
      <c r="AH59" s="2185"/>
      <c r="AI59" s="2185"/>
      <c r="AJ59" s="2185"/>
      <c r="AK59" s="2185"/>
      <c r="AL59" s="2185"/>
      <c r="AM59" s="2185"/>
      <c r="AN59" s="2186"/>
      <c r="AO59" s="2190"/>
      <c r="AP59" s="1104"/>
      <c r="AQ59" s="297"/>
      <c r="AR59" s="2191"/>
    </row>
    <row r="60" spans="1:44" ht="12.75">
      <c r="A60" s="348"/>
      <c r="B60" s="293"/>
      <c r="C60" s="293"/>
      <c r="D60" s="293"/>
      <c r="E60" s="293"/>
      <c r="F60" s="293"/>
      <c r="G60" s="293"/>
      <c r="H60" s="293"/>
      <c r="I60" s="293"/>
      <c r="J60" s="293"/>
      <c r="K60" s="293"/>
      <c r="L60" s="293"/>
      <c r="M60" s="293"/>
      <c r="N60" s="293"/>
      <c r="O60" s="293"/>
      <c r="P60" s="293"/>
      <c r="Q60" s="2101"/>
      <c r="R60" s="2096"/>
      <c r="S60" s="2096"/>
      <c r="T60" s="2096"/>
      <c r="U60" s="2096"/>
      <c r="V60" s="2096"/>
      <c r="W60" s="2096"/>
      <c r="X60" s="2096"/>
      <c r="Y60" s="2097"/>
      <c r="Z60" s="293"/>
      <c r="AA60" s="293"/>
      <c r="AB60" s="2187"/>
      <c r="AC60" s="2188"/>
      <c r="AD60" s="2188"/>
      <c r="AE60" s="2188"/>
      <c r="AF60" s="2188"/>
      <c r="AG60" s="2188"/>
      <c r="AH60" s="2188"/>
      <c r="AI60" s="2188"/>
      <c r="AJ60" s="2188"/>
      <c r="AK60" s="2188"/>
      <c r="AL60" s="2188"/>
      <c r="AM60" s="2188"/>
      <c r="AN60" s="2189"/>
      <c r="AO60" s="2190"/>
      <c r="AP60" s="1104"/>
      <c r="AQ60" s="293"/>
      <c r="AR60" s="2191"/>
    </row>
    <row r="61" spans="1:44" ht="8.1" customHeight="1">
      <c r="A61" s="2095"/>
      <c r="B61" s="2096"/>
      <c r="C61" s="2096"/>
      <c r="D61" s="2096"/>
      <c r="E61" s="2096"/>
      <c r="F61" s="2096"/>
      <c r="G61" s="2096"/>
      <c r="H61" s="2096"/>
      <c r="I61" s="2096"/>
      <c r="J61" s="2096"/>
      <c r="K61" s="2096"/>
      <c r="L61" s="2096"/>
      <c r="M61" s="2096"/>
      <c r="N61" s="2096"/>
      <c r="O61" s="2096"/>
      <c r="P61" s="2096"/>
      <c r="Q61" s="2096"/>
      <c r="R61" s="2096"/>
      <c r="S61" s="2096"/>
      <c r="T61" s="2096"/>
      <c r="U61" s="2096"/>
      <c r="V61" s="2096"/>
      <c r="W61" s="2096"/>
      <c r="X61" s="2096"/>
      <c r="Y61" s="2096"/>
      <c r="Z61" s="2096"/>
      <c r="AA61" s="2096"/>
      <c r="AB61" s="2096"/>
      <c r="AC61" s="2096"/>
      <c r="AD61" s="2096"/>
      <c r="AE61" s="2096"/>
      <c r="AF61" s="2096"/>
      <c r="AG61" s="2096"/>
      <c r="AH61" s="2096"/>
      <c r="AI61" s="2096"/>
      <c r="AJ61" s="2096"/>
      <c r="AK61" s="2096"/>
      <c r="AL61" s="2096"/>
      <c r="AM61" s="2096"/>
      <c r="AN61" s="2096"/>
      <c r="AO61" s="2096"/>
      <c r="AP61" s="2096"/>
      <c r="AQ61" s="2096"/>
      <c r="AR61" s="2097"/>
    </row>
    <row r="62" spans="1:44" ht="12.75">
      <c r="A62" s="2168" t="str">
        <f>+'SP1'!A74</f>
        <v>Formulář zpracovala ASPEKT HM, daňová, účetní a auditorská kancelář, www.danovapriznani.cz, business.center.cz</v>
      </c>
      <c r="B62" s="2169"/>
      <c r="C62" s="2169"/>
      <c r="D62" s="2169"/>
      <c r="E62" s="2169"/>
      <c r="F62" s="2169"/>
      <c r="G62" s="2169"/>
      <c r="H62" s="2169"/>
      <c r="I62" s="2169"/>
      <c r="J62" s="2169"/>
      <c r="K62" s="2169"/>
      <c r="L62" s="2169"/>
      <c r="M62" s="2169"/>
      <c r="N62" s="2169"/>
      <c r="O62" s="2169"/>
      <c r="P62" s="2169"/>
      <c r="Q62" s="2169"/>
      <c r="R62" s="2169"/>
      <c r="S62" s="2169"/>
      <c r="T62" s="2169"/>
      <c r="U62" s="2169"/>
      <c r="V62" s="2169"/>
      <c r="W62" s="2169"/>
      <c r="X62" s="2169"/>
      <c r="Y62" s="2169"/>
      <c r="Z62" s="2169"/>
      <c r="AA62" s="2169"/>
      <c r="AB62" s="2169"/>
      <c r="AC62" s="2169"/>
      <c r="AD62" s="2169"/>
      <c r="AE62" s="2169"/>
      <c r="AF62" s="2169"/>
      <c r="AG62" s="2169"/>
      <c r="AH62" s="2169"/>
      <c r="AI62" s="2169"/>
      <c r="AJ62" s="2169"/>
      <c r="AK62" s="2169"/>
      <c r="AL62" s="2169"/>
      <c r="AM62" s="2169"/>
      <c r="AN62" s="2169"/>
      <c r="AO62" s="2169"/>
      <c r="AP62" s="2169"/>
      <c r="AQ62" s="2169"/>
      <c r="AR62" s="2169"/>
    </row>
    <row r="63" spans="1:44" ht="12.75">
      <c r="A63" s="2170">
        <f>+ZAKL_DATA!A46</f>
        <v>0</v>
      </c>
      <c r="B63" s="745"/>
      <c r="C63" s="745"/>
      <c r="D63" s="745"/>
      <c r="E63" s="745"/>
      <c r="F63" s="745"/>
      <c r="G63" s="745"/>
      <c r="H63" s="745"/>
      <c r="I63" s="745"/>
      <c r="J63" s="745"/>
      <c r="K63" s="745"/>
      <c r="L63" s="745"/>
      <c r="M63" s="745"/>
      <c r="N63" s="745"/>
      <c r="O63" s="745"/>
      <c r="P63" s="745"/>
      <c r="Q63" s="745"/>
      <c r="R63" s="745"/>
      <c r="S63" s="745"/>
      <c r="T63" s="745"/>
      <c r="U63" s="745"/>
      <c r="V63" s="745"/>
      <c r="W63" s="745"/>
      <c r="X63" s="745"/>
      <c r="Y63" s="745"/>
      <c r="Z63" s="745"/>
      <c r="AA63" s="745"/>
      <c r="AB63" s="745"/>
      <c r="AC63" s="745"/>
      <c r="AD63" s="745"/>
      <c r="AE63" s="745"/>
      <c r="AF63" s="745"/>
      <c r="AG63" s="745"/>
      <c r="AH63" s="745"/>
      <c r="AI63" s="745"/>
      <c r="AJ63" s="745"/>
      <c r="AK63" s="745"/>
      <c r="AL63" s="745"/>
      <c r="AM63" s="745"/>
      <c r="AN63" s="745"/>
      <c r="AO63" s="745"/>
      <c r="AP63" s="745"/>
      <c r="AQ63" s="745"/>
      <c r="AR63" s="745"/>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A8:AR8"/>
    <mergeCell ref="Y51:AA51"/>
    <mergeCell ref="AC51:AE51"/>
    <mergeCell ref="AG51:AI51"/>
    <mergeCell ref="AJ51:AN51"/>
    <mergeCell ref="A9:AR9"/>
    <mergeCell ref="A10:W10"/>
    <mergeCell ref="Y10:AL10"/>
    <mergeCell ref="AN10:AR10"/>
    <mergeCell ref="A11:W11"/>
    <mergeCell ref="Y11:AL11"/>
    <mergeCell ref="AN11:AR11"/>
    <mergeCell ref="A12:W12"/>
    <mergeCell ref="Y12:AF12"/>
    <mergeCell ref="AH12:AR12"/>
    <mergeCell ref="K16:AE16"/>
    <mergeCell ref="A16:J16"/>
    <mergeCell ref="A14:F14"/>
    <mergeCell ref="H15:AI15"/>
    <mergeCell ref="H14:AI14"/>
    <mergeCell ref="K17:AE17"/>
    <mergeCell ref="Y13:AF13"/>
    <mergeCell ref="AH13:AR13"/>
    <mergeCell ref="B17:D17"/>
    <mergeCell ref="F17:J17"/>
    <mergeCell ref="A15:F15"/>
    <mergeCell ref="AK15:AR15"/>
    <mergeCell ref="AK14:AR14"/>
    <mergeCell ref="A13:W13"/>
    <mergeCell ref="AG16:AR16"/>
    <mergeCell ref="A18:AR18"/>
    <mergeCell ref="A20:AR20"/>
    <mergeCell ref="AG17:AR17"/>
    <mergeCell ref="AC21:AR21"/>
    <mergeCell ref="AC22:AR23"/>
    <mergeCell ref="T23:W23"/>
    <mergeCell ref="X23:AB23"/>
    <mergeCell ref="U24:W24"/>
    <mergeCell ref="AC24:AJ24"/>
    <mergeCell ref="AL24:AM24"/>
    <mergeCell ref="Y24:AB24"/>
    <mergeCell ref="AO24:AR24"/>
    <mergeCell ref="T46:V46"/>
    <mergeCell ref="B36:H36"/>
    <mergeCell ref="B37:H37"/>
    <mergeCell ref="W34:AR34"/>
    <mergeCell ref="T36:V36"/>
    <mergeCell ref="T37:V37"/>
    <mergeCell ref="I36:S36"/>
    <mergeCell ref="I37:S37"/>
    <mergeCell ref="I35:S35"/>
    <mergeCell ref="X40:AR40"/>
    <mergeCell ref="B35:H35"/>
    <mergeCell ref="T34:V34"/>
    <mergeCell ref="B42:V42"/>
    <mergeCell ref="Y41:AR41"/>
    <mergeCell ref="B40:V40"/>
    <mergeCell ref="P39:V39"/>
    <mergeCell ref="AE37:AN37"/>
    <mergeCell ref="N39:O39"/>
    <mergeCell ref="AO37:AR37"/>
    <mergeCell ref="B45:H45"/>
    <mergeCell ref="W38:AR39"/>
    <mergeCell ref="I44:S44"/>
    <mergeCell ref="A62:AR62"/>
    <mergeCell ref="A63:AR63"/>
    <mergeCell ref="Y42:AR42"/>
    <mergeCell ref="AH43:AO43"/>
    <mergeCell ref="AP43:AR43"/>
    <mergeCell ref="Y43:AG43"/>
    <mergeCell ref="W45:AR45"/>
    <mergeCell ref="N43:O43"/>
    <mergeCell ref="I47:S47"/>
    <mergeCell ref="X47:AF47"/>
    <mergeCell ref="AG47:AN47"/>
    <mergeCell ref="AO47:AR47"/>
    <mergeCell ref="B43:M43"/>
    <mergeCell ref="P43:V43"/>
    <mergeCell ref="W46:AR46"/>
    <mergeCell ref="B46:H46"/>
    <mergeCell ref="B47:H47"/>
    <mergeCell ref="B51:H51"/>
    <mergeCell ref="AB55:AN60"/>
    <mergeCell ref="AO55:AR58"/>
    <mergeCell ref="AO59:AP60"/>
    <mergeCell ref="AR59:AR60"/>
    <mergeCell ref="A53:AR53"/>
    <mergeCell ref="T51:V51"/>
    <mergeCell ref="T1:AA1"/>
    <mergeCell ref="T2:AA2"/>
    <mergeCell ref="B38:V38"/>
    <mergeCell ref="B39:M39"/>
    <mergeCell ref="W36:AR36"/>
    <mergeCell ref="X37:AD37"/>
    <mergeCell ref="AC28:AR30"/>
    <mergeCell ref="A19:AR19"/>
    <mergeCell ref="A5:R6"/>
    <mergeCell ref="AL27:AM27"/>
    <mergeCell ref="AC25:AR26"/>
    <mergeCell ref="AO27:AR27"/>
    <mergeCell ref="P24:S24"/>
    <mergeCell ref="AC27:AJ27"/>
    <mergeCell ref="A30:AB30"/>
    <mergeCell ref="A28:E29"/>
    <mergeCell ref="F28:P28"/>
    <mergeCell ref="R28:AB28"/>
    <mergeCell ref="B25:AB25"/>
    <mergeCell ref="N26:O26"/>
    <mergeCell ref="N23:O23"/>
    <mergeCell ref="P23:S23"/>
    <mergeCell ref="A21:AB21"/>
    <mergeCell ref="B22:AB22"/>
    <mergeCell ref="I51:S51"/>
    <mergeCell ref="A54:Z57"/>
    <mergeCell ref="C59:P59"/>
    <mergeCell ref="A61:AR61"/>
    <mergeCell ref="Q59:Y60"/>
    <mergeCell ref="A52:V52"/>
    <mergeCell ref="W52:AR52"/>
    <mergeCell ref="AF1:AR7"/>
    <mergeCell ref="B58:P58"/>
    <mergeCell ref="AO51:AR51"/>
    <mergeCell ref="P27:S27"/>
    <mergeCell ref="F29:P29"/>
    <mergeCell ref="R29:AB29"/>
    <mergeCell ref="T3:AA3"/>
    <mergeCell ref="T4:AA4"/>
    <mergeCell ref="A7:S7"/>
    <mergeCell ref="U6:Z6"/>
    <mergeCell ref="T7:V7"/>
    <mergeCell ref="X7:Y7"/>
    <mergeCell ref="A4:E4"/>
    <mergeCell ref="F4:S4"/>
    <mergeCell ref="U5:Z5"/>
    <mergeCell ref="I45:S45"/>
    <mergeCell ref="B50:V50"/>
    <mergeCell ref="A48:V48"/>
    <mergeCell ref="W48:AR50"/>
    <mergeCell ref="W44:AR44"/>
    <mergeCell ref="I49:S49"/>
    <mergeCell ref="A31:V31"/>
    <mergeCell ref="W31:AR31"/>
    <mergeCell ref="X35:AD35"/>
    <mergeCell ref="AE35:AN35"/>
    <mergeCell ref="AO35:AR35"/>
    <mergeCell ref="W32:AR33"/>
    <mergeCell ref="A32:V33"/>
    <mergeCell ref="I34:S34"/>
    <mergeCell ref="B34:H34"/>
    <mergeCell ref="T35:V35"/>
    <mergeCell ref="N41:O41"/>
    <mergeCell ref="B41:M41"/>
    <mergeCell ref="P41:V41"/>
    <mergeCell ref="T47:V47"/>
    <mergeCell ref="I46:S46"/>
    <mergeCell ref="B44:H44"/>
    <mergeCell ref="T49:V49"/>
    <mergeCell ref="T45:V45"/>
    <mergeCell ref="T44:V44"/>
    <mergeCell ref="B49:H49"/>
  </mergeCells>
  <printOptions horizontalCentered="1" verticalCentered="1"/>
  <pageMargins left="0.275590551181102" right="0.275590551181102" top="0.31496062992126" bottom="0" header="0.511811023622047" footer="0"/>
  <pageSetup orientation="portrait" paperSize="9" scale="83" r:id="rId4"/>
  <headerFooter alignWithMargins="0"/>
  <drawing r:id="rId2"/>
  <legacyDrawing r:id="rId3"/>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900-000000000000}">
  <sheetPr>
    <tabColor theme="6" tint="0.599990010261536"/>
    <pageSetUpPr fitToPage="1"/>
  </sheetPr>
  <dimension ref="A1:CA115"/>
  <sheetViews>
    <sheetView workbookViewId="0" topLeftCell="A1">
      <selection pane="topLeft" activeCell="A11" sqref="A11:W11"/>
    </sheetView>
  </sheetViews>
  <sheetFormatPr defaultRowHeight="12.75"/>
  <cols>
    <col min="1" max="17" width="2.71428571428571" customWidth="1"/>
    <col min="18" max="18" width="3.28571428571429" customWidth="1"/>
    <col min="19" max="24" width="2.71428571428571" customWidth="1"/>
    <col min="25" max="25" width="3.71428571428571" customWidth="1"/>
    <col min="26" max="28" width="2.71428571428571" customWidth="1"/>
    <col min="29" max="29" width="3.28571428571429" customWidth="1"/>
    <col min="30" max="44" width="2.71428571428571" customWidth="1"/>
    <col min="45" max="68" width="9.14285714285714" style="29"/>
    <col min="69" max="79" width="9.14285714285714" style="28"/>
  </cols>
  <sheetData>
    <row r="1" spans="1:50" ht="21.95" customHeight="1">
      <c r="A1" s="2261" t="s">
        <v>3690</v>
      </c>
      <c r="B1" s="2261"/>
      <c r="C1" s="2261"/>
      <c r="D1" s="2261"/>
      <c r="E1" s="2261"/>
      <c r="F1" s="2261"/>
      <c r="G1" s="2261"/>
      <c r="H1" s="2261"/>
      <c r="I1" s="2261"/>
      <c r="J1" s="2261"/>
      <c r="K1" s="2261"/>
      <c r="L1" s="2261"/>
      <c r="M1" s="2261"/>
      <c r="N1" s="2261"/>
      <c r="O1" s="2261"/>
      <c r="P1" s="2261"/>
      <c r="Q1" s="84"/>
      <c r="R1" s="84"/>
      <c r="S1" s="84"/>
      <c r="T1" s="2137" t="s">
        <v>435</v>
      </c>
      <c r="U1" s="790"/>
      <c r="V1" s="790"/>
      <c r="W1" s="790"/>
      <c r="X1" s="790"/>
      <c r="Y1" s="790"/>
      <c r="Z1" s="790"/>
      <c r="AA1" s="791"/>
      <c r="AB1" s="84"/>
      <c r="AC1" s="84"/>
      <c r="AD1" s="330"/>
      <c r="AE1" s="330"/>
      <c r="AF1" s="2106" t="s">
        <v>3691</v>
      </c>
      <c r="AG1" s="2107"/>
      <c r="AH1" s="2107"/>
      <c r="AI1" s="2107"/>
      <c r="AJ1" s="2107"/>
      <c r="AK1" s="2107"/>
      <c r="AL1" s="2107"/>
      <c r="AM1" s="2107"/>
      <c r="AN1" s="2107"/>
      <c r="AO1" s="2107"/>
      <c r="AP1" s="2107"/>
      <c r="AQ1" s="2107"/>
      <c r="AR1" s="2108"/>
      <c r="AT1" s="578"/>
      <c r="AU1" s="2230" t="s">
        <v>3780</v>
      </c>
      <c r="AV1" s="2231"/>
      <c r="AW1" s="2231"/>
      <c r="AX1" s="578"/>
    </row>
    <row r="2" spans="1:50" ht="18" customHeight="1">
      <c r="A2" s="2261"/>
      <c r="B2" s="2261"/>
      <c r="C2" s="2261"/>
      <c r="D2" s="2261"/>
      <c r="E2" s="2261"/>
      <c r="F2" s="2261"/>
      <c r="G2" s="2261"/>
      <c r="H2" s="2261"/>
      <c r="I2" s="2261"/>
      <c r="J2" s="2261"/>
      <c r="K2" s="2261"/>
      <c r="L2" s="2261"/>
      <c r="M2" s="2261"/>
      <c r="N2" s="2261"/>
      <c r="O2" s="2261"/>
      <c r="P2" s="2261"/>
      <c r="Q2" s="84"/>
      <c r="R2" s="297"/>
      <c r="S2" s="84"/>
      <c r="T2" s="2138" t="s">
        <v>436</v>
      </c>
      <c r="U2" s="793"/>
      <c r="V2" s="793"/>
      <c r="W2" s="793"/>
      <c r="X2" s="793"/>
      <c r="Y2" s="793"/>
      <c r="Z2" s="793"/>
      <c r="AA2" s="772"/>
      <c r="AB2" s="84"/>
      <c r="AC2" s="297"/>
      <c r="AD2" s="330"/>
      <c r="AE2" s="330"/>
      <c r="AF2" s="2109"/>
      <c r="AG2" s="833"/>
      <c r="AH2" s="833"/>
      <c r="AI2" s="833"/>
      <c r="AJ2" s="833"/>
      <c r="AK2" s="833"/>
      <c r="AL2" s="833"/>
      <c r="AM2" s="833"/>
      <c r="AN2" s="833"/>
      <c r="AO2" s="833"/>
      <c r="AP2" s="833"/>
      <c r="AQ2" s="833"/>
      <c r="AR2" s="2110"/>
      <c r="AT2" s="578"/>
      <c r="AU2" s="579" t="s">
        <v>3714</v>
      </c>
      <c r="AV2" s="579"/>
      <c r="AW2" s="579" t="s">
        <v>3715</v>
      </c>
      <c r="AX2" s="578"/>
    </row>
    <row r="3" spans="1:50" ht="14.25" customHeight="1">
      <c r="A3" s="2261"/>
      <c r="B3" s="2261"/>
      <c r="C3" s="2261"/>
      <c r="D3" s="2261"/>
      <c r="E3" s="2261"/>
      <c r="F3" s="2261"/>
      <c r="G3" s="2261"/>
      <c r="H3" s="2261"/>
      <c r="I3" s="2261"/>
      <c r="J3" s="2261"/>
      <c r="K3" s="2261"/>
      <c r="L3" s="2261"/>
      <c r="M3" s="2261"/>
      <c r="N3" s="2261"/>
      <c r="O3" s="2261"/>
      <c r="P3" s="2261"/>
      <c r="Q3" s="1476"/>
      <c r="R3" s="745"/>
      <c r="S3" s="772"/>
      <c r="T3" s="2123" t="s">
        <v>437</v>
      </c>
      <c r="U3" s="793"/>
      <c r="V3" s="793"/>
      <c r="W3" s="793"/>
      <c r="X3" s="793"/>
      <c r="Y3" s="793"/>
      <c r="Z3" s="793"/>
      <c r="AA3" s="772"/>
      <c r="AB3" s="84"/>
      <c r="AC3" s="84"/>
      <c r="AD3" s="330"/>
      <c r="AE3" s="330"/>
      <c r="AF3" s="2109"/>
      <c r="AG3" s="833"/>
      <c r="AH3" s="833"/>
      <c r="AI3" s="833"/>
      <c r="AJ3" s="833"/>
      <c r="AK3" s="833"/>
      <c r="AL3" s="833"/>
      <c r="AM3" s="833"/>
      <c r="AN3" s="833"/>
      <c r="AO3" s="833"/>
      <c r="AP3" s="833"/>
      <c r="AQ3" s="833"/>
      <c r="AR3" s="2110"/>
      <c r="AT3" s="578"/>
      <c r="AU3" s="580"/>
      <c r="AV3" s="578"/>
      <c r="AW3" s="580"/>
      <c r="AX3" s="578"/>
    </row>
    <row r="4" spans="1:50" ht="21.95" customHeight="1">
      <c r="A4" s="2262"/>
      <c r="B4" s="2262"/>
      <c r="C4" s="2262"/>
      <c r="D4" s="2262"/>
      <c r="E4" s="2262"/>
      <c r="F4" s="2262"/>
      <c r="G4" s="2262"/>
      <c r="H4" s="2262"/>
      <c r="I4" s="2262"/>
      <c r="J4" s="2262"/>
      <c r="K4" s="2262"/>
      <c r="L4" s="2262"/>
      <c r="M4" s="2262"/>
      <c r="N4" s="2262"/>
      <c r="O4" s="2262"/>
      <c r="P4" s="2262"/>
      <c r="Q4" s="745"/>
      <c r="R4" s="745"/>
      <c r="S4" s="772"/>
      <c r="T4" s="2124">
        <v>2017</v>
      </c>
      <c r="U4" s="795"/>
      <c r="V4" s="795"/>
      <c r="W4" s="795"/>
      <c r="X4" s="795"/>
      <c r="Y4" s="795"/>
      <c r="Z4" s="795"/>
      <c r="AA4" s="796"/>
      <c r="AB4" s="84"/>
      <c r="AC4" s="84"/>
      <c r="AD4" s="330"/>
      <c r="AE4" s="330"/>
      <c r="AF4" s="2109"/>
      <c r="AG4" s="833"/>
      <c r="AH4" s="833"/>
      <c r="AI4" s="833"/>
      <c r="AJ4" s="833"/>
      <c r="AK4" s="833"/>
      <c r="AL4" s="833"/>
      <c r="AM4" s="833"/>
      <c r="AN4" s="833"/>
      <c r="AO4" s="833"/>
      <c r="AP4" s="833"/>
      <c r="AQ4" s="833"/>
      <c r="AR4" s="2110"/>
      <c r="AT4" s="578"/>
      <c r="AU4" s="578"/>
      <c r="AV4" s="578"/>
      <c r="AW4" s="578"/>
      <c r="AX4" s="578"/>
    </row>
    <row r="5" spans="1:44" ht="15" customHeight="1">
      <c r="A5" s="2150" t="s">
        <v>78</v>
      </c>
      <c r="B5" s="2151"/>
      <c r="C5" s="2151"/>
      <c r="D5" s="2151"/>
      <c r="E5" s="2151"/>
      <c r="F5" s="2151"/>
      <c r="G5" s="2151"/>
      <c r="H5" s="2151"/>
      <c r="I5" s="2151"/>
      <c r="J5" s="2151"/>
      <c r="K5" s="2151"/>
      <c r="L5" s="2151"/>
      <c r="M5" s="2151"/>
      <c r="N5" s="2151"/>
      <c r="O5" s="2151"/>
      <c r="P5" s="2151"/>
      <c r="Q5" s="2151"/>
      <c r="R5" s="2151"/>
      <c r="S5" s="158"/>
      <c r="T5" s="84"/>
      <c r="U5" s="2127"/>
      <c r="V5" s="2127"/>
      <c r="W5" s="2127"/>
      <c r="X5" s="2127"/>
      <c r="Y5" s="2127"/>
      <c r="Z5" s="2127"/>
      <c r="AA5" s="84"/>
      <c r="AB5" s="84"/>
      <c r="AC5" s="84"/>
      <c r="AD5" s="330"/>
      <c r="AE5" s="330"/>
      <c r="AF5" s="2109"/>
      <c r="AG5" s="833"/>
      <c r="AH5" s="833"/>
      <c r="AI5" s="833"/>
      <c r="AJ5" s="833"/>
      <c r="AK5" s="833"/>
      <c r="AL5" s="833"/>
      <c r="AM5" s="833"/>
      <c r="AN5" s="833"/>
      <c r="AO5" s="833"/>
      <c r="AP5" s="833"/>
      <c r="AQ5" s="833"/>
      <c r="AR5" s="2110"/>
    </row>
    <row r="6" spans="1:44" ht="15" customHeight="1">
      <c r="A6" s="2151"/>
      <c r="B6" s="2151"/>
      <c r="C6" s="2151"/>
      <c r="D6" s="2151"/>
      <c r="E6" s="2151"/>
      <c r="F6" s="2151"/>
      <c r="G6" s="2151"/>
      <c r="H6" s="2151"/>
      <c r="I6" s="2151"/>
      <c r="J6" s="2151"/>
      <c r="K6" s="2151"/>
      <c r="L6" s="2151"/>
      <c r="M6" s="2151"/>
      <c r="N6" s="2151"/>
      <c r="O6" s="2151"/>
      <c r="P6" s="2151"/>
      <c r="Q6" s="2151"/>
      <c r="R6" s="2151"/>
      <c r="S6" s="158"/>
      <c r="T6" s="84"/>
      <c r="U6" s="2127" t="s">
        <v>77</v>
      </c>
      <c r="V6" s="2127"/>
      <c r="W6" s="2127"/>
      <c r="X6" s="2127"/>
      <c r="Y6" s="2127"/>
      <c r="Z6" s="2127"/>
      <c r="AA6" s="84"/>
      <c r="AB6" s="84"/>
      <c r="AC6" s="84"/>
      <c r="AD6" s="84"/>
      <c r="AE6" s="84"/>
      <c r="AF6" s="2094"/>
      <c r="AG6" s="793"/>
      <c r="AH6" s="793"/>
      <c r="AI6" s="793"/>
      <c r="AJ6" s="793"/>
      <c r="AK6" s="793"/>
      <c r="AL6" s="793"/>
      <c r="AM6" s="793"/>
      <c r="AN6" s="793"/>
      <c r="AO6" s="793"/>
      <c r="AP6" s="793"/>
      <c r="AQ6" s="793"/>
      <c r="AR6" s="2111"/>
    </row>
    <row r="7" spans="1:44" ht="10.5" customHeight="1">
      <c r="A7" s="2125" t="s">
        <v>3640</v>
      </c>
      <c r="B7" s="2126"/>
      <c r="C7" s="2126"/>
      <c r="D7" s="2126"/>
      <c r="E7" s="2126"/>
      <c r="F7" s="2126"/>
      <c r="G7" s="2126"/>
      <c r="H7" s="2126"/>
      <c r="I7" s="2126"/>
      <c r="J7" s="2126"/>
      <c r="K7" s="2126"/>
      <c r="L7" s="2126"/>
      <c r="M7" s="2126"/>
      <c r="N7" s="2126"/>
      <c r="O7" s="2126"/>
      <c r="P7" s="2126"/>
      <c r="Q7" s="2126"/>
      <c r="R7" s="2126"/>
      <c r="S7" s="2126"/>
      <c r="T7" s="2128" t="s">
        <v>400</v>
      </c>
      <c r="U7" s="745"/>
      <c r="V7" s="2111"/>
      <c r="W7" s="298" t="s">
        <v>316</v>
      </c>
      <c r="X7" s="2129" t="s">
        <v>401</v>
      </c>
      <c r="Y7" s="2130"/>
      <c r="Z7" s="298"/>
      <c r="AA7" s="84"/>
      <c r="AB7" s="84"/>
      <c r="AC7" s="84"/>
      <c r="AD7" s="84"/>
      <c r="AE7" s="84"/>
      <c r="AF7" s="2101"/>
      <c r="AG7" s="2096"/>
      <c r="AH7" s="2096"/>
      <c r="AI7" s="2096"/>
      <c r="AJ7" s="2096"/>
      <c r="AK7" s="2096"/>
      <c r="AL7" s="2096"/>
      <c r="AM7" s="2096"/>
      <c r="AN7" s="2096"/>
      <c r="AO7" s="2096"/>
      <c r="AP7" s="2096"/>
      <c r="AQ7" s="2096"/>
      <c r="AR7" s="2097"/>
    </row>
    <row r="8" spans="1:44" ht="12.75">
      <c r="A8" s="2232" t="s">
        <v>121</v>
      </c>
      <c r="B8" s="2232"/>
      <c r="C8" s="2232"/>
      <c r="D8" s="2232"/>
      <c r="E8" s="2232"/>
      <c r="F8" s="2232"/>
      <c r="G8" s="2232"/>
      <c r="H8" s="2232"/>
      <c r="I8" s="2232"/>
      <c r="J8" s="2232"/>
      <c r="K8" s="2232"/>
      <c r="L8" s="2232"/>
      <c r="M8" s="2232"/>
      <c r="N8" s="2232"/>
      <c r="O8" s="2232"/>
      <c r="P8" s="2232"/>
      <c r="Q8" s="2232"/>
      <c r="R8" s="2232"/>
      <c r="S8" s="2232"/>
      <c r="T8" s="2232"/>
      <c r="U8" s="2232"/>
      <c r="V8" s="2232"/>
      <c r="W8" s="2232"/>
      <c r="X8" s="2232"/>
      <c r="Y8" s="2232"/>
      <c r="Z8" s="2232"/>
      <c r="AA8" s="2232"/>
      <c r="AB8" s="2232"/>
      <c r="AC8" s="2232"/>
      <c r="AD8" s="2232"/>
      <c r="AE8" s="2232"/>
      <c r="AF8" s="2232"/>
      <c r="AG8" s="2232"/>
      <c r="AH8" s="2232"/>
      <c r="AI8" s="2232"/>
      <c r="AJ8" s="2232"/>
      <c r="AK8" s="2232"/>
      <c r="AL8" s="2232"/>
      <c r="AM8" s="2232"/>
      <c r="AN8" s="2232"/>
      <c r="AO8" s="2232"/>
      <c r="AP8" s="2232"/>
      <c r="AQ8" s="2232"/>
      <c r="AR8" s="2232"/>
    </row>
    <row r="9" spans="1:44" ht="12" customHeight="1">
      <c r="A9" s="2066" t="s">
        <v>154</v>
      </c>
      <c r="B9" s="2174"/>
      <c r="C9" s="2174"/>
      <c r="D9" s="2174"/>
      <c r="E9" s="2174"/>
      <c r="F9" s="2174"/>
      <c r="G9" s="2174"/>
      <c r="H9" s="2174"/>
      <c r="I9" s="2174"/>
      <c r="J9" s="2174"/>
      <c r="K9" s="2174"/>
      <c r="L9" s="2174"/>
      <c r="M9" s="2174"/>
      <c r="N9" s="2174"/>
      <c r="O9" s="2174"/>
      <c r="P9" s="2174"/>
      <c r="Q9" s="2174"/>
      <c r="R9" s="2174"/>
      <c r="S9" s="2174"/>
      <c r="T9" s="2174"/>
      <c r="U9" s="2174"/>
      <c r="V9" s="2174"/>
      <c r="W9" s="2174"/>
      <c r="X9" s="2174"/>
      <c r="Y9" s="2174"/>
      <c r="Z9" s="2174"/>
      <c r="AA9" s="2174"/>
      <c r="AB9" s="2174"/>
      <c r="AC9" s="2174"/>
      <c r="AD9" s="2174"/>
      <c r="AE9" s="2174"/>
      <c r="AF9" s="2174"/>
      <c r="AG9" s="2174"/>
      <c r="AH9" s="2174"/>
      <c r="AI9" s="2174"/>
      <c r="AJ9" s="2174"/>
      <c r="AK9" s="2174"/>
      <c r="AL9" s="2174"/>
      <c r="AM9" s="2174"/>
      <c r="AN9" s="2174"/>
      <c r="AO9" s="2174"/>
      <c r="AP9" s="2174"/>
      <c r="AQ9" s="2174"/>
      <c r="AR9" s="2233"/>
    </row>
    <row r="10" spans="1:79" s="345" customFormat="1" ht="9.95" customHeight="1">
      <c r="A10" s="2234" t="s">
        <v>128</v>
      </c>
      <c r="B10" s="2235"/>
      <c r="C10" s="2235"/>
      <c r="D10" s="2235"/>
      <c r="E10" s="2235"/>
      <c r="F10" s="2235"/>
      <c r="G10" s="2235"/>
      <c r="H10" s="2235"/>
      <c r="I10" s="2235"/>
      <c r="J10" s="2235"/>
      <c r="K10" s="2235"/>
      <c r="L10" s="2235"/>
      <c r="M10" s="2235"/>
      <c r="N10" s="2235"/>
      <c r="O10" s="2235"/>
      <c r="P10" s="2235"/>
      <c r="Q10" s="2235"/>
      <c r="R10" s="2235"/>
      <c r="S10" s="2235"/>
      <c r="T10" s="2235"/>
      <c r="U10" s="2235"/>
      <c r="V10" s="2235"/>
      <c r="W10" s="2235"/>
      <c r="X10" s="343"/>
      <c r="Y10" s="2235" t="s">
        <v>127</v>
      </c>
      <c r="Z10" s="2235"/>
      <c r="AA10" s="2235"/>
      <c r="AB10" s="2235"/>
      <c r="AC10" s="2235"/>
      <c r="AD10" s="2235"/>
      <c r="AE10" s="2235"/>
      <c r="AF10" s="2235"/>
      <c r="AG10" s="2235"/>
      <c r="AH10" s="2235"/>
      <c r="AI10" s="2235"/>
      <c r="AJ10" s="2235"/>
      <c r="AK10" s="2235"/>
      <c r="AL10" s="2235"/>
      <c r="AM10" s="343"/>
      <c r="AN10" s="2235" t="s">
        <v>148</v>
      </c>
      <c r="AO10" s="2235"/>
      <c r="AP10" s="2235"/>
      <c r="AQ10" s="2235"/>
      <c r="AR10" s="2236"/>
      <c r="AS10" s="344"/>
      <c r="AT10" s="344"/>
      <c r="AU10" s="344"/>
      <c r="AV10" s="344"/>
      <c r="AW10" s="344"/>
      <c r="AX10" s="344"/>
      <c r="AY10" s="344"/>
      <c r="AZ10" s="344"/>
      <c r="BA10" s="344"/>
      <c r="BB10" s="344"/>
      <c r="BC10" s="344"/>
      <c r="BD10" s="344"/>
      <c r="BE10" s="344"/>
      <c r="BF10" s="344"/>
      <c r="BG10" s="344"/>
      <c r="BH10" s="344"/>
      <c r="BI10" s="344"/>
      <c r="BJ10" s="344"/>
      <c r="BK10" s="344"/>
      <c r="BL10" s="344"/>
      <c r="BM10" s="344"/>
      <c r="BN10" s="344"/>
      <c r="BO10" s="344"/>
      <c r="BP10" s="344"/>
      <c r="BQ10" s="350"/>
      <c r="BR10" s="350"/>
      <c r="BS10" s="350"/>
      <c r="BT10" s="350"/>
      <c r="BU10" s="350"/>
      <c r="BV10" s="350"/>
      <c r="BW10" s="350"/>
      <c r="BX10" s="350"/>
      <c r="BY10" s="350"/>
      <c r="BZ10" s="350"/>
      <c r="CA10" s="350"/>
    </row>
    <row r="11" spans="1:79" s="546" customFormat="1" ht="24" customHeight="1">
      <c r="A11" s="2217" t="str">
        <f>+CONCATENATE(ZAKL_DATA!B5)</f>
        <v/>
      </c>
      <c r="B11" s="2218"/>
      <c r="C11" s="2218"/>
      <c r="D11" s="2218"/>
      <c r="E11" s="2218"/>
      <c r="F11" s="2218"/>
      <c r="G11" s="2218"/>
      <c r="H11" s="2218"/>
      <c r="I11" s="2218"/>
      <c r="J11" s="2218"/>
      <c r="K11" s="2218"/>
      <c r="L11" s="2218"/>
      <c r="M11" s="2218"/>
      <c r="N11" s="2218"/>
      <c r="O11" s="2218"/>
      <c r="P11" s="2218"/>
      <c r="Q11" s="2218"/>
      <c r="R11" s="2218"/>
      <c r="S11" s="2218"/>
      <c r="T11" s="2218"/>
      <c r="U11" s="2218"/>
      <c r="V11" s="2218"/>
      <c r="W11" s="2219"/>
      <c r="X11" s="331"/>
      <c r="Y11" s="2217" t="str">
        <f>+CONCATENATE(+ZAKL_DATA!B4)</f>
        <v/>
      </c>
      <c r="Z11" s="2218"/>
      <c r="AA11" s="2218"/>
      <c r="AB11" s="2218"/>
      <c r="AC11" s="2218"/>
      <c r="AD11" s="2218"/>
      <c r="AE11" s="2218"/>
      <c r="AF11" s="2218"/>
      <c r="AG11" s="2218"/>
      <c r="AH11" s="2218"/>
      <c r="AI11" s="2218"/>
      <c r="AJ11" s="2218"/>
      <c r="AK11" s="2218"/>
      <c r="AL11" s="2219"/>
      <c r="AM11" s="331"/>
      <c r="AN11" s="2237" t="str">
        <f>+CONCATENATE(+ZAKL_DATA!B7)</f>
        <v/>
      </c>
      <c r="AO11" s="2148"/>
      <c r="AP11" s="2148"/>
      <c r="AQ11" s="2148"/>
      <c r="AR11" s="2149"/>
      <c r="AS11" s="122"/>
      <c r="AT11" s="122"/>
      <c r="AU11" s="122"/>
      <c r="AV11" s="122"/>
      <c r="AW11" s="122"/>
      <c r="AX11" s="122"/>
      <c r="AY11" s="122"/>
      <c r="AZ11" s="122"/>
      <c r="BA11" s="122"/>
      <c r="BB11" s="122"/>
      <c r="BC11" s="122"/>
      <c r="BD11" s="122"/>
      <c r="BE11" s="122"/>
      <c r="BF11" s="122"/>
      <c r="BG11" s="122"/>
      <c r="BH11" s="122"/>
      <c r="BI11" s="122"/>
      <c r="BJ11" s="122"/>
      <c r="BK11" s="122"/>
      <c r="BL11" s="122"/>
      <c r="BM11" s="122"/>
      <c r="BN11" s="122"/>
      <c r="BO11" s="122"/>
      <c r="BP11" s="122"/>
      <c r="BQ11" s="351"/>
      <c r="BR11" s="351"/>
      <c r="BS11" s="351"/>
      <c r="BT11" s="351"/>
      <c r="BU11" s="351"/>
      <c r="BV11" s="351"/>
      <c r="BW11" s="351"/>
      <c r="BX11" s="351"/>
      <c r="BY11" s="351"/>
      <c r="BZ11" s="351"/>
      <c r="CA11" s="351"/>
    </row>
    <row r="12" spans="1:79" s="345" customFormat="1" ht="9.95" customHeight="1">
      <c r="A12" s="2234" t="s">
        <v>329</v>
      </c>
      <c r="B12" s="2235"/>
      <c r="C12" s="2235"/>
      <c r="D12" s="2235"/>
      <c r="E12" s="2235"/>
      <c r="F12" s="2235"/>
      <c r="G12" s="2235"/>
      <c r="H12" s="2235"/>
      <c r="I12" s="2235"/>
      <c r="J12" s="2235"/>
      <c r="K12" s="2235"/>
      <c r="L12" s="2235"/>
      <c r="M12" s="2235"/>
      <c r="N12" s="2235"/>
      <c r="O12" s="2235"/>
      <c r="P12" s="2235"/>
      <c r="Q12" s="2235"/>
      <c r="R12" s="2235"/>
      <c r="S12" s="2235"/>
      <c r="T12" s="2235"/>
      <c r="U12" s="2235"/>
      <c r="V12" s="2235"/>
      <c r="W12" s="2235"/>
      <c r="X12" s="343"/>
      <c r="Y12" s="2238" t="s">
        <v>79</v>
      </c>
      <c r="Z12" s="2238"/>
      <c r="AA12" s="2238"/>
      <c r="AB12" s="2238"/>
      <c r="AC12" s="2239"/>
      <c r="AD12" s="2239"/>
      <c r="AE12" s="2239"/>
      <c r="AF12" s="2239"/>
      <c r="AG12" s="547"/>
      <c r="AH12" s="2240" t="s">
        <v>3641</v>
      </c>
      <c r="AI12" s="2241"/>
      <c r="AJ12" s="2241"/>
      <c r="AK12" s="2241"/>
      <c r="AL12" s="2241"/>
      <c r="AM12" s="2241"/>
      <c r="AN12" s="2241"/>
      <c r="AO12" s="2241"/>
      <c r="AP12" s="2241"/>
      <c r="AQ12" s="2241"/>
      <c r="AR12" s="2242"/>
      <c r="AS12" s="344"/>
      <c r="AT12" s="344"/>
      <c r="AU12" s="344"/>
      <c r="AV12" s="344"/>
      <c r="AW12" s="344"/>
      <c r="AX12" s="344"/>
      <c r="AY12" s="344"/>
      <c r="AZ12" s="344"/>
      <c r="BA12" s="344"/>
      <c r="BB12" s="344"/>
      <c r="BC12" s="344"/>
      <c r="BD12" s="344"/>
      <c r="BE12" s="344"/>
      <c r="BF12" s="344"/>
      <c r="BG12" s="344"/>
      <c r="BH12" s="344"/>
      <c r="BI12" s="344"/>
      <c r="BJ12" s="344"/>
      <c r="BK12" s="344"/>
      <c r="BL12" s="344"/>
      <c r="BM12" s="344"/>
      <c r="BN12" s="344"/>
      <c r="BO12" s="344"/>
      <c r="BP12" s="344"/>
      <c r="BQ12" s="350"/>
      <c r="BR12" s="350"/>
      <c r="BS12" s="350"/>
      <c r="BT12" s="350"/>
      <c r="BU12" s="350"/>
      <c r="BV12" s="350"/>
      <c r="BW12" s="350"/>
      <c r="BX12" s="350"/>
      <c r="BY12" s="350"/>
      <c r="BZ12" s="350"/>
      <c r="CA12" s="350"/>
    </row>
    <row r="13" spans="1:79" s="546" customFormat="1" ht="24" customHeight="1">
      <c r="A13" s="2217" t="str">
        <f>+CONCATENATE(+ZAKL_DATA!B16)</f>
        <v/>
      </c>
      <c r="B13" s="2218"/>
      <c r="C13" s="2218"/>
      <c r="D13" s="2218"/>
      <c r="E13" s="2218"/>
      <c r="F13" s="2218"/>
      <c r="G13" s="2218"/>
      <c r="H13" s="2218"/>
      <c r="I13" s="2218"/>
      <c r="J13" s="2218"/>
      <c r="K13" s="2218"/>
      <c r="L13" s="2218"/>
      <c r="M13" s="2218"/>
      <c r="N13" s="2218"/>
      <c r="O13" s="2218"/>
      <c r="P13" s="2218"/>
      <c r="Q13" s="2218"/>
      <c r="R13" s="2218"/>
      <c r="S13" s="2218"/>
      <c r="T13" s="2218"/>
      <c r="U13" s="2218"/>
      <c r="V13" s="2218"/>
      <c r="W13" s="2219"/>
      <c r="X13" s="331"/>
      <c r="Y13" s="2209" t="str">
        <f>+CONCATENATE(ZAKL_DATA!B17)</f>
        <v/>
      </c>
      <c r="Z13" s="2254"/>
      <c r="AA13" s="2254"/>
      <c r="AB13" s="2254"/>
      <c r="AC13" s="2255"/>
      <c r="AD13" s="2255"/>
      <c r="AE13" s="2255"/>
      <c r="AF13" s="2256"/>
      <c r="AG13" s="331"/>
      <c r="AH13" s="2257" t="str">
        <f>+CONCATENATE('DAP1'!A9)</f>
        <v/>
      </c>
      <c r="AI13" s="2258"/>
      <c r="AJ13" s="2258"/>
      <c r="AK13" s="2258"/>
      <c r="AL13" s="2258"/>
      <c r="AM13" s="2258"/>
      <c r="AN13" s="2259"/>
      <c r="AO13" s="2259"/>
      <c r="AP13" s="2259"/>
      <c r="AQ13" s="2259"/>
      <c r="AR13" s="2260"/>
      <c r="AS13" s="122"/>
      <c r="AT13" s="122"/>
      <c r="AU13" s="122"/>
      <c r="AV13" s="122"/>
      <c r="AW13" s="122"/>
      <c r="AX13" s="122"/>
      <c r="AY13" s="122"/>
      <c r="AZ13" s="122"/>
      <c r="BA13" s="122"/>
      <c r="BB13" s="122"/>
      <c r="BC13" s="122"/>
      <c r="BD13" s="122"/>
      <c r="BE13" s="122"/>
      <c r="BF13" s="122"/>
      <c r="BG13" s="122"/>
      <c r="BH13" s="122"/>
      <c r="BI13" s="122"/>
      <c r="BJ13" s="122"/>
      <c r="BK13" s="122"/>
      <c r="BL13" s="122"/>
      <c r="BM13" s="122"/>
      <c r="BN13" s="122"/>
      <c r="BO13" s="122"/>
      <c r="BP13" s="122"/>
      <c r="BQ13" s="351"/>
      <c r="BR13" s="351"/>
      <c r="BS13" s="351"/>
      <c r="BT13" s="351"/>
      <c r="BU13" s="351"/>
      <c r="BV13" s="351"/>
      <c r="BW13" s="351"/>
      <c r="BX13" s="351"/>
      <c r="BY13" s="351"/>
      <c r="BZ13" s="351"/>
      <c r="CA13" s="351"/>
    </row>
    <row r="14" spans="1:79" s="345" customFormat="1" ht="9.95" customHeight="1">
      <c r="A14" s="2246" t="s">
        <v>263</v>
      </c>
      <c r="B14" s="2243"/>
      <c r="C14" s="2243"/>
      <c r="D14" s="2243"/>
      <c r="E14" s="2243"/>
      <c r="F14" s="2243"/>
      <c r="G14" s="343"/>
      <c r="H14" s="2089" t="s">
        <v>330</v>
      </c>
      <c r="I14" s="2089"/>
      <c r="J14" s="2089"/>
      <c r="K14" s="2089"/>
      <c r="L14" s="2089"/>
      <c r="M14" s="2089"/>
      <c r="N14" s="2089"/>
      <c r="O14" s="2089"/>
      <c r="P14" s="2089"/>
      <c r="Q14" s="2089"/>
      <c r="R14" s="2089"/>
      <c r="S14" s="2089"/>
      <c r="T14" s="2089"/>
      <c r="U14" s="2089"/>
      <c r="V14" s="2089"/>
      <c r="W14" s="2089"/>
      <c r="X14" s="2089"/>
      <c r="Y14" s="2089"/>
      <c r="Z14" s="2089"/>
      <c r="AA14" s="2089"/>
      <c r="AB14" s="2089"/>
      <c r="AC14" s="2089"/>
      <c r="AD14" s="2089"/>
      <c r="AE14" s="2089"/>
      <c r="AF14" s="2089"/>
      <c r="AG14" s="2089"/>
      <c r="AH14" s="2089"/>
      <c r="AI14" s="2089"/>
      <c r="AJ14" s="343"/>
      <c r="AK14" s="2215" t="s">
        <v>3642</v>
      </c>
      <c r="AL14" s="2215"/>
      <c r="AM14" s="2215"/>
      <c r="AN14" s="2215"/>
      <c r="AO14" s="2215"/>
      <c r="AP14" s="2215"/>
      <c r="AQ14" s="2215"/>
      <c r="AR14" s="2216"/>
      <c r="AS14" s="344"/>
      <c r="AT14" s="344"/>
      <c r="AU14" s="344"/>
      <c r="AV14" s="344"/>
      <c r="AW14" s="344"/>
      <c r="AX14" s="344"/>
      <c r="AY14" s="344"/>
      <c r="AZ14" s="344"/>
      <c r="BA14" s="344"/>
      <c r="BB14" s="344"/>
      <c r="BC14" s="344"/>
      <c r="BD14" s="344"/>
      <c r="BE14" s="344"/>
      <c r="BF14" s="344"/>
      <c r="BG14" s="344"/>
      <c r="BH14" s="344"/>
      <c r="BI14" s="344"/>
      <c r="BJ14" s="344"/>
      <c r="BK14" s="344"/>
      <c r="BL14" s="344"/>
      <c r="BM14" s="344"/>
      <c r="BN14" s="344"/>
      <c r="BO14" s="344"/>
      <c r="BP14" s="344"/>
      <c r="BQ14" s="350"/>
      <c r="BR14" s="350"/>
      <c r="BS14" s="350"/>
      <c r="BT14" s="350"/>
      <c r="BU14" s="350"/>
      <c r="BV14" s="350"/>
      <c r="BW14" s="350"/>
      <c r="BX14" s="350"/>
      <c r="BY14" s="350"/>
      <c r="BZ14" s="350"/>
      <c r="CA14" s="350"/>
    </row>
    <row r="15" spans="1:79" s="546" customFormat="1" ht="24" customHeight="1">
      <c r="A15" s="2209" t="str">
        <f>CONCATENATE(+ZAKL_DATA!B19)</f>
        <v/>
      </c>
      <c r="B15" s="2210"/>
      <c r="C15" s="2210"/>
      <c r="D15" s="2210"/>
      <c r="E15" s="2210"/>
      <c r="F15" s="2211"/>
      <c r="G15" s="331"/>
      <c r="H15" s="2247" t="str">
        <f>+CONCATENATE(ZAKL_DATA!B18)</f>
        <v/>
      </c>
      <c r="I15" s="2248"/>
      <c r="J15" s="2248"/>
      <c r="K15" s="2248"/>
      <c r="L15" s="2248"/>
      <c r="M15" s="2248"/>
      <c r="N15" s="2248"/>
      <c r="O15" s="2248"/>
      <c r="P15" s="2248"/>
      <c r="Q15" s="2248"/>
      <c r="R15" s="2248"/>
      <c r="S15" s="2248"/>
      <c r="T15" s="2248"/>
      <c r="U15" s="2248"/>
      <c r="V15" s="2248"/>
      <c r="W15" s="2248"/>
      <c r="X15" s="2248"/>
      <c r="Y15" s="2248"/>
      <c r="Z15" s="2248"/>
      <c r="AA15" s="2248"/>
      <c r="AB15" s="2248"/>
      <c r="AC15" s="2248"/>
      <c r="AD15" s="2248"/>
      <c r="AE15" s="2248"/>
      <c r="AF15" s="2248"/>
      <c r="AG15" s="2248"/>
      <c r="AH15" s="2248"/>
      <c r="AI15" s="2249"/>
      <c r="AJ15" s="331"/>
      <c r="AK15" s="2212" t="str">
        <f>+CONCATENATE(+ZAKL_DATA!B10)</f>
        <v/>
      </c>
      <c r="AL15" s="2213"/>
      <c r="AM15" s="2213"/>
      <c r="AN15" s="2213"/>
      <c r="AO15" s="2213"/>
      <c r="AP15" s="2213"/>
      <c r="AQ15" s="2213"/>
      <c r="AR15" s="2214"/>
      <c r="AS15" s="122"/>
      <c r="AT15" s="122"/>
      <c r="AU15" s="122"/>
      <c r="AV15" s="122"/>
      <c r="AW15" s="122"/>
      <c r="AX15" s="122"/>
      <c r="AY15" s="122"/>
      <c r="AZ15" s="122"/>
      <c r="BA15" s="122"/>
      <c r="BB15" s="122"/>
      <c r="BC15" s="122"/>
      <c r="BD15" s="122"/>
      <c r="BE15" s="122"/>
      <c r="BF15" s="122"/>
      <c r="BG15" s="122"/>
      <c r="BH15" s="122"/>
      <c r="BI15" s="122"/>
      <c r="BJ15" s="122"/>
      <c r="BK15" s="122"/>
      <c r="BL15" s="122"/>
      <c r="BM15" s="122"/>
      <c r="BN15" s="122"/>
      <c r="BO15" s="122"/>
      <c r="BP15" s="122"/>
      <c r="BQ15" s="351"/>
      <c r="BR15" s="351"/>
      <c r="BS15" s="351"/>
      <c r="BT15" s="351"/>
      <c r="BU15" s="351"/>
      <c r="BV15" s="351"/>
      <c r="BW15" s="351"/>
      <c r="BX15" s="351"/>
      <c r="BY15" s="351"/>
      <c r="BZ15" s="351"/>
      <c r="CA15" s="351"/>
    </row>
    <row r="16" spans="1:79" s="345" customFormat="1" ht="9.95" customHeight="1">
      <c r="A16" s="2221" t="s">
        <v>3644</v>
      </c>
      <c r="B16" s="2245"/>
      <c r="C16" s="2245"/>
      <c r="D16" s="2245"/>
      <c r="E16" s="2245"/>
      <c r="F16" s="2245"/>
      <c r="G16" s="2245"/>
      <c r="H16" s="2245"/>
      <c r="I16" s="2245"/>
      <c r="J16" s="2245"/>
      <c r="K16" s="2243" t="s">
        <v>3643</v>
      </c>
      <c r="L16" s="2244"/>
      <c r="M16" s="2244"/>
      <c r="N16" s="2244"/>
      <c r="O16" s="2244"/>
      <c r="P16" s="2244"/>
      <c r="Q16" s="2244"/>
      <c r="R16" s="2244"/>
      <c r="S16" s="2244"/>
      <c r="T16" s="2244"/>
      <c r="U16" s="2244"/>
      <c r="V16" s="2244"/>
      <c r="W16" s="2244"/>
      <c r="X16" s="2244"/>
      <c r="Y16" s="2244"/>
      <c r="Z16" s="2244"/>
      <c r="AA16" s="2244"/>
      <c r="AB16" s="2244"/>
      <c r="AC16" s="2244"/>
      <c r="AD16" s="2244"/>
      <c r="AE16" s="2244"/>
      <c r="AF16" s="343"/>
      <c r="AG16" s="2089" t="s">
        <v>34</v>
      </c>
      <c r="AH16" s="2089"/>
      <c r="AI16" s="2089"/>
      <c r="AJ16" s="2089"/>
      <c r="AK16" s="2089"/>
      <c r="AL16" s="2089"/>
      <c r="AM16" s="2089"/>
      <c r="AN16" s="2089"/>
      <c r="AO16" s="2089"/>
      <c r="AP16" s="2089"/>
      <c r="AQ16" s="2089"/>
      <c r="AR16" s="2220"/>
      <c r="AS16" s="344"/>
      <c r="AT16" s="344"/>
      <c r="AU16" s="344"/>
      <c r="AV16" s="344"/>
      <c r="AW16" s="344"/>
      <c r="AX16" s="344"/>
      <c r="AY16" s="344"/>
      <c r="AZ16" s="344"/>
      <c r="BA16" s="344"/>
      <c r="BB16" s="344"/>
      <c r="BC16" s="344"/>
      <c r="BD16" s="344"/>
      <c r="BE16" s="344"/>
      <c r="BF16" s="344"/>
      <c r="BG16" s="344"/>
      <c r="BH16" s="344"/>
      <c r="BI16" s="344"/>
      <c r="BJ16" s="344"/>
      <c r="BK16" s="344"/>
      <c r="BL16" s="344"/>
      <c r="BM16" s="344"/>
      <c r="BN16" s="344"/>
      <c r="BO16" s="344"/>
      <c r="BP16" s="344"/>
      <c r="BQ16" s="350"/>
      <c r="BR16" s="350"/>
      <c r="BS16" s="350"/>
      <c r="BT16" s="350"/>
      <c r="BU16" s="350"/>
      <c r="BV16" s="350"/>
      <c r="BW16" s="350"/>
      <c r="BX16" s="350"/>
      <c r="BY16" s="350"/>
      <c r="BZ16" s="350"/>
      <c r="CA16" s="350"/>
    </row>
    <row r="17" spans="1:79" s="546" customFormat="1" ht="24" customHeight="1">
      <c r="A17" s="298"/>
      <c r="B17" s="2208" t="s">
        <v>264</v>
      </c>
      <c r="C17" s="1156"/>
      <c r="D17" s="2053"/>
      <c r="E17" s="298" t="s">
        <v>316</v>
      </c>
      <c r="F17" s="2208" t="s">
        <v>265</v>
      </c>
      <c r="G17" s="1156"/>
      <c r="H17" s="1156"/>
      <c r="I17" s="1156"/>
      <c r="J17" s="1156"/>
      <c r="K17" s="2250" t="str">
        <f>+CONCATENATE(ZAKL_DATA!B32," / ",ZAKL_DATA!B33)</f>
        <v xml:space="preserve"> / </v>
      </c>
      <c r="L17" s="2251"/>
      <c r="M17" s="2251"/>
      <c r="N17" s="2251"/>
      <c r="O17" s="2251"/>
      <c r="P17" s="2251"/>
      <c r="Q17" s="2251"/>
      <c r="R17" s="2251"/>
      <c r="S17" s="2251"/>
      <c r="T17" s="2251"/>
      <c r="U17" s="2251"/>
      <c r="V17" s="2251"/>
      <c r="W17" s="2251"/>
      <c r="X17" s="2251"/>
      <c r="Y17" s="2251"/>
      <c r="Z17" s="2251"/>
      <c r="AA17" s="2252"/>
      <c r="AB17" s="2252"/>
      <c r="AC17" s="2252"/>
      <c r="AD17" s="2252"/>
      <c r="AE17" s="2253"/>
      <c r="AF17" s="332"/>
      <c r="AG17" s="2227" t="str">
        <f>++CONCATENATE(ZAKL_DATA!B25)</f>
        <v/>
      </c>
      <c r="AH17" s="2228"/>
      <c r="AI17" s="2228"/>
      <c r="AJ17" s="2228"/>
      <c r="AK17" s="2228"/>
      <c r="AL17" s="2228"/>
      <c r="AM17" s="2228"/>
      <c r="AN17" s="2228"/>
      <c r="AO17" s="2228"/>
      <c r="AP17" s="2228"/>
      <c r="AQ17" s="2228"/>
      <c r="AR17" s="2229"/>
      <c r="AS17" s="122"/>
      <c r="AT17" s="122"/>
      <c r="AU17" s="122"/>
      <c r="AV17" s="122"/>
      <c r="AW17" s="122"/>
      <c r="AX17" s="122"/>
      <c r="AY17" s="122"/>
      <c r="AZ17" s="122"/>
      <c r="BA17" s="122"/>
      <c r="BB17" s="122"/>
      <c r="BC17" s="122"/>
      <c r="BD17" s="122"/>
      <c r="BE17" s="122"/>
      <c r="BF17" s="122"/>
      <c r="BG17" s="122"/>
      <c r="BH17" s="122"/>
      <c r="BI17" s="122"/>
      <c r="BJ17" s="122"/>
      <c r="BK17" s="122"/>
      <c r="BL17" s="122"/>
      <c r="BM17" s="122"/>
      <c r="BN17" s="122"/>
      <c r="BO17" s="122"/>
      <c r="BP17" s="122"/>
      <c r="BQ17" s="351"/>
      <c r="BR17" s="351"/>
      <c r="BS17" s="351"/>
      <c r="BT17" s="351"/>
      <c r="BU17" s="351"/>
      <c r="BV17" s="351"/>
      <c r="BW17" s="351"/>
      <c r="BX17" s="351"/>
      <c r="BY17" s="351"/>
      <c r="BZ17" s="351"/>
      <c r="CA17" s="351"/>
    </row>
    <row r="18" spans="1:79" s="345" customFormat="1" ht="9.95" customHeight="1">
      <c r="A18" s="2221" t="s">
        <v>266</v>
      </c>
      <c r="B18" s="2222"/>
      <c r="C18" s="2222"/>
      <c r="D18" s="2222"/>
      <c r="E18" s="2222"/>
      <c r="F18" s="2222"/>
      <c r="G18" s="2222"/>
      <c r="H18" s="2222"/>
      <c r="I18" s="2222"/>
      <c r="J18" s="2222"/>
      <c r="K18" s="2222"/>
      <c r="L18" s="2222"/>
      <c r="M18" s="2222"/>
      <c r="N18" s="2222"/>
      <c r="O18" s="2222"/>
      <c r="P18" s="2222"/>
      <c r="Q18" s="2222"/>
      <c r="R18" s="2222"/>
      <c r="S18" s="2222"/>
      <c r="T18" s="2222"/>
      <c r="U18" s="2222"/>
      <c r="V18" s="2222"/>
      <c r="W18" s="2222"/>
      <c r="X18" s="2222"/>
      <c r="Y18" s="2222"/>
      <c r="Z18" s="2222"/>
      <c r="AA18" s="2222"/>
      <c r="AB18" s="2222"/>
      <c r="AC18" s="2222"/>
      <c r="AD18" s="2222"/>
      <c r="AE18" s="2222"/>
      <c r="AF18" s="2222"/>
      <c r="AG18" s="2222"/>
      <c r="AH18" s="2222"/>
      <c r="AI18" s="2222"/>
      <c r="AJ18" s="2222"/>
      <c r="AK18" s="2222"/>
      <c r="AL18" s="2222"/>
      <c r="AM18" s="2222"/>
      <c r="AN18" s="2222"/>
      <c r="AO18" s="2222"/>
      <c r="AP18" s="2222"/>
      <c r="AQ18" s="2222"/>
      <c r="AR18" s="2223"/>
      <c r="AS18" s="344"/>
      <c r="AT18" s="344"/>
      <c r="AU18" s="344"/>
      <c r="AV18" s="344"/>
      <c r="AW18" s="344"/>
      <c r="AX18" s="344"/>
      <c r="AY18" s="344"/>
      <c r="AZ18" s="344"/>
      <c r="BA18" s="344"/>
      <c r="BB18" s="344"/>
      <c r="BC18" s="344"/>
      <c r="BD18" s="344"/>
      <c r="BE18" s="344"/>
      <c r="BF18" s="344"/>
      <c r="BG18" s="344"/>
      <c r="BH18" s="344"/>
      <c r="BI18" s="344"/>
      <c r="BJ18" s="344"/>
      <c r="BK18" s="344"/>
      <c r="BL18" s="344"/>
      <c r="BM18" s="344"/>
      <c r="BN18" s="344"/>
      <c r="BO18" s="344"/>
      <c r="BP18" s="344"/>
      <c r="BQ18" s="350"/>
      <c r="BR18" s="350"/>
      <c r="BS18" s="350"/>
      <c r="BT18" s="350"/>
      <c r="BU18" s="350"/>
      <c r="BV18" s="350"/>
      <c r="BW18" s="350"/>
      <c r="BX18" s="350"/>
      <c r="BY18" s="350"/>
      <c r="BZ18" s="350"/>
      <c r="CA18" s="350"/>
    </row>
    <row r="19" spans="1:79" s="546" customFormat="1" ht="24" customHeight="1">
      <c r="A19" s="2147" t="str">
        <f>+CONCATENATE(ZAKL_DATA!B27)</f>
        <v/>
      </c>
      <c r="B19" s="2148"/>
      <c r="C19" s="2148"/>
      <c r="D19" s="2148"/>
      <c r="E19" s="2148"/>
      <c r="F19" s="2148"/>
      <c r="G19" s="2148"/>
      <c r="H19" s="2148"/>
      <c r="I19" s="2148"/>
      <c r="J19" s="2148"/>
      <c r="K19" s="2148"/>
      <c r="L19" s="2148"/>
      <c r="M19" s="2148"/>
      <c r="N19" s="2148"/>
      <c r="O19" s="2148"/>
      <c r="P19" s="2148"/>
      <c r="Q19" s="2148"/>
      <c r="R19" s="2148"/>
      <c r="S19" s="2148"/>
      <c r="T19" s="2148"/>
      <c r="U19" s="2148"/>
      <c r="V19" s="2148"/>
      <c r="W19" s="2148"/>
      <c r="X19" s="2148"/>
      <c r="Y19" s="2148"/>
      <c r="Z19" s="2148"/>
      <c r="AA19" s="2148"/>
      <c r="AB19" s="2148"/>
      <c r="AC19" s="2148"/>
      <c r="AD19" s="2148"/>
      <c r="AE19" s="2148"/>
      <c r="AF19" s="2148"/>
      <c r="AG19" s="2148"/>
      <c r="AH19" s="2148"/>
      <c r="AI19" s="2148"/>
      <c r="AJ19" s="2148"/>
      <c r="AK19" s="2148"/>
      <c r="AL19" s="2148"/>
      <c r="AM19" s="2148"/>
      <c r="AN19" s="2148"/>
      <c r="AO19" s="2148"/>
      <c r="AP19" s="2148"/>
      <c r="AQ19" s="2148"/>
      <c r="AR19" s="2149"/>
      <c r="AS19" s="122"/>
      <c r="AT19" s="122"/>
      <c r="AU19" s="122"/>
      <c r="AV19" s="122"/>
      <c r="AW19" s="122"/>
      <c r="AX19" s="122"/>
      <c r="AY19" s="122"/>
      <c r="AZ19" s="122"/>
      <c r="BA19" s="122"/>
      <c r="BB19" s="122"/>
      <c r="BC19" s="122"/>
      <c r="BD19" s="122"/>
      <c r="BE19" s="122"/>
      <c r="BF19" s="122"/>
      <c r="BG19" s="122"/>
      <c r="BH19" s="122"/>
      <c r="BI19" s="122"/>
      <c r="BJ19" s="122"/>
      <c r="BK19" s="122"/>
      <c r="BL19" s="122"/>
      <c r="BM19" s="122"/>
      <c r="BN19" s="122"/>
      <c r="BO19" s="122"/>
      <c r="BP19" s="122"/>
      <c r="BQ19" s="351"/>
      <c r="BR19" s="351"/>
      <c r="BS19" s="351"/>
      <c r="BT19" s="351"/>
      <c r="BU19" s="351"/>
      <c r="BV19" s="351"/>
      <c r="BW19" s="351"/>
      <c r="BX19" s="351"/>
      <c r="BY19" s="351"/>
      <c r="BZ19" s="351"/>
      <c r="CA19" s="351"/>
    </row>
    <row r="20" spans="1:44" ht="5.1" customHeight="1">
      <c r="A20" s="2224"/>
      <c r="B20" s="2225"/>
      <c r="C20" s="2225"/>
      <c r="D20" s="2225"/>
      <c r="E20" s="2225"/>
      <c r="F20" s="2225"/>
      <c r="G20" s="2225"/>
      <c r="H20" s="2225"/>
      <c r="I20" s="2225"/>
      <c r="J20" s="2225"/>
      <c r="K20" s="2225"/>
      <c r="L20" s="2225"/>
      <c r="M20" s="2225"/>
      <c r="N20" s="2225"/>
      <c r="O20" s="2225"/>
      <c r="P20" s="2225"/>
      <c r="Q20" s="2225"/>
      <c r="R20" s="2225"/>
      <c r="S20" s="2225"/>
      <c r="T20" s="2225"/>
      <c r="U20" s="2225"/>
      <c r="V20" s="2225"/>
      <c r="W20" s="2225"/>
      <c r="X20" s="2225"/>
      <c r="Y20" s="2225"/>
      <c r="Z20" s="2225"/>
      <c r="AA20" s="2225"/>
      <c r="AB20" s="2225"/>
      <c r="AC20" s="2225"/>
      <c r="AD20" s="2225"/>
      <c r="AE20" s="2225"/>
      <c r="AF20" s="2225"/>
      <c r="AG20" s="2225"/>
      <c r="AH20" s="2225"/>
      <c r="AI20" s="2225"/>
      <c r="AJ20" s="2225"/>
      <c r="AK20" s="2225"/>
      <c r="AL20" s="2225"/>
      <c r="AM20" s="2225"/>
      <c r="AN20" s="2225"/>
      <c r="AO20" s="2225"/>
      <c r="AP20" s="2225"/>
      <c r="AQ20" s="2225"/>
      <c r="AR20" s="2226"/>
    </row>
    <row r="21" spans="1:44" ht="12" customHeight="1">
      <c r="A21" s="2164" t="s">
        <v>267</v>
      </c>
      <c r="B21" s="2164"/>
      <c r="C21" s="2164"/>
      <c r="D21" s="2164"/>
      <c r="E21" s="2164"/>
      <c r="F21" s="2164"/>
      <c r="G21" s="2164"/>
      <c r="H21" s="2164"/>
      <c r="I21" s="2164"/>
      <c r="J21" s="2164"/>
      <c r="K21" s="2164"/>
      <c r="L21" s="2164"/>
      <c r="M21" s="2164"/>
      <c r="N21" s="2164"/>
      <c r="O21" s="2164"/>
      <c r="P21" s="2164"/>
      <c r="Q21" s="2164"/>
      <c r="R21" s="2164"/>
      <c r="S21" s="2164"/>
      <c r="T21" s="2164"/>
      <c r="U21" s="2164"/>
      <c r="V21" s="2164"/>
      <c r="W21" s="2164"/>
      <c r="X21" s="2164"/>
      <c r="Y21" s="2164"/>
      <c r="Z21" s="2164"/>
      <c r="AA21" s="2164"/>
      <c r="AB21" s="2164"/>
      <c r="AC21" s="2164" t="s">
        <v>277</v>
      </c>
      <c r="AD21" s="2164"/>
      <c r="AE21" s="2164"/>
      <c r="AF21" s="2164"/>
      <c r="AG21" s="2164"/>
      <c r="AH21" s="2164"/>
      <c r="AI21" s="2164"/>
      <c r="AJ21" s="2164"/>
      <c r="AK21" s="2164"/>
      <c r="AL21" s="2164"/>
      <c r="AM21" s="2164"/>
      <c r="AN21" s="2164"/>
      <c r="AO21" s="2164"/>
      <c r="AP21" s="2164"/>
      <c r="AQ21" s="2164"/>
      <c r="AR21" s="2164"/>
    </row>
    <row r="22" spans="1:44" ht="12" customHeight="1">
      <c r="A22" s="298"/>
      <c r="B22" s="2165" t="s">
        <v>3958</v>
      </c>
      <c r="C22" s="2166"/>
      <c r="D22" s="2166"/>
      <c r="E22" s="2166"/>
      <c r="F22" s="2166"/>
      <c r="G22" s="2166"/>
      <c r="H22" s="2166"/>
      <c r="I22" s="2166"/>
      <c r="J22" s="2166"/>
      <c r="K22" s="2166"/>
      <c r="L22" s="2166"/>
      <c r="M22" s="2166"/>
      <c r="N22" s="2166"/>
      <c r="O22" s="2166"/>
      <c r="P22" s="2166"/>
      <c r="Q22" s="2166"/>
      <c r="R22" s="2166"/>
      <c r="S22" s="2166"/>
      <c r="T22" s="2166"/>
      <c r="U22" s="2166"/>
      <c r="V22" s="2166"/>
      <c r="W22" s="2166"/>
      <c r="X22" s="2166"/>
      <c r="Y22" s="2166"/>
      <c r="Z22" s="2166"/>
      <c r="AA22" s="2166"/>
      <c r="AB22" s="2167"/>
      <c r="AC22" s="2200"/>
      <c r="AD22" s="2201"/>
      <c r="AE22" s="2201"/>
      <c r="AF22" s="2201"/>
      <c r="AG22" s="2201"/>
      <c r="AH22" s="2201"/>
      <c r="AI22" s="2201"/>
      <c r="AJ22" s="2201"/>
      <c r="AK22" s="2202"/>
      <c r="AL22" s="2202"/>
      <c r="AM22" s="2202"/>
      <c r="AN22" s="2202"/>
      <c r="AO22" s="2202"/>
      <c r="AP22" s="2202"/>
      <c r="AQ22" s="2202"/>
      <c r="AR22" s="2203"/>
    </row>
    <row r="23" spans="1:44" ht="12" customHeight="1">
      <c r="A23" s="292"/>
      <c r="B23" s="290">
        <v>1</v>
      </c>
      <c r="C23" s="290">
        <v>2</v>
      </c>
      <c r="D23" s="290">
        <v>3</v>
      </c>
      <c r="E23" s="290">
        <v>4</v>
      </c>
      <c r="F23" s="290">
        <v>5</v>
      </c>
      <c r="G23" s="290">
        <v>6</v>
      </c>
      <c r="H23" s="290">
        <v>7</v>
      </c>
      <c r="I23" s="290">
        <v>8</v>
      </c>
      <c r="J23" s="290">
        <v>9</v>
      </c>
      <c r="K23" s="290">
        <v>10</v>
      </c>
      <c r="L23" s="290">
        <v>11</v>
      </c>
      <c r="M23" s="290">
        <v>12</v>
      </c>
      <c r="N23" s="2162" t="s">
        <v>297</v>
      </c>
      <c r="O23" s="2163"/>
      <c r="P23" s="1104"/>
      <c r="Q23" s="1104"/>
      <c r="R23" s="1104"/>
      <c r="S23" s="1104"/>
      <c r="T23" s="2206" t="s">
        <v>268</v>
      </c>
      <c r="U23" s="793"/>
      <c r="V23" s="793"/>
      <c r="W23" s="793"/>
      <c r="X23" s="2207" t="s">
        <v>269</v>
      </c>
      <c r="Y23" s="793"/>
      <c r="Z23" s="793"/>
      <c r="AA23" s="793"/>
      <c r="AB23" s="2111"/>
      <c r="AC23" s="2204"/>
      <c r="AD23" s="1636"/>
      <c r="AE23" s="1636"/>
      <c r="AF23" s="1636"/>
      <c r="AG23" s="1636"/>
      <c r="AH23" s="1636"/>
      <c r="AI23" s="1636"/>
      <c r="AJ23" s="1636"/>
      <c r="AK23" s="1636"/>
      <c r="AL23" s="1636"/>
      <c r="AM23" s="1636"/>
      <c r="AN23" s="1636"/>
      <c r="AO23" s="1636"/>
      <c r="AP23" s="1636"/>
      <c r="AQ23" s="1636"/>
      <c r="AR23" s="2205"/>
    </row>
    <row r="24" spans="1:44" ht="12" customHeight="1">
      <c r="A24" s="292"/>
      <c r="B24" s="291"/>
      <c r="C24" s="291"/>
      <c r="D24" s="291"/>
      <c r="E24" s="291"/>
      <c r="F24" s="291"/>
      <c r="G24" s="291"/>
      <c r="H24" s="291"/>
      <c r="I24" s="291"/>
      <c r="J24" s="291"/>
      <c r="K24" s="291"/>
      <c r="L24" s="291"/>
      <c r="M24" s="291"/>
      <c r="N24" s="293"/>
      <c r="O24" s="291"/>
      <c r="P24" s="2114" t="s">
        <v>3645</v>
      </c>
      <c r="Q24" s="2115"/>
      <c r="R24" s="2115"/>
      <c r="S24" s="2116"/>
      <c r="T24" s="291"/>
      <c r="U24" s="2190"/>
      <c r="V24" s="1104"/>
      <c r="W24" s="2191"/>
      <c r="X24" s="291"/>
      <c r="Y24" s="2190"/>
      <c r="Z24" s="1104"/>
      <c r="AA24" s="793"/>
      <c r="AB24" s="2111"/>
      <c r="AC24" s="2154" t="s">
        <v>278</v>
      </c>
      <c r="AD24" s="2155"/>
      <c r="AE24" s="2155"/>
      <c r="AF24" s="2155"/>
      <c r="AG24" s="2155"/>
      <c r="AH24" s="2155"/>
      <c r="AI24" s="2155"/>
      <c r="AJ24" s="2156"/>
      <c r="AK24" s="291" t="s">
        <v>316</v>
      </c>
      <c r="AL24" s="2152" t="s">
        <v>294</v>
      </c>
      <c r="AM24" s="2153"/>
      <c r="AN24" s="285"/>
      <c r="AO24" s="2152" t="s">
        <v>178</v>
      </c>
      <c r="AP24" s="1156"/>
      <c r="AQ24" s="1156"/>
      <c r="AR24" s="2053"/>
    </row>
    <row r="25" spans="1:44" ht="12" customHeight="1">
      <c r="A25" s="298"/>
      <c r="B25" s="2152" t="s">
        <v>3959</v>
      </c>
      <c r="C25" s="1156"/>
      <c r="D25" s="1156"/>
      <c r="E25" s="1156"/>
      <c r="F25" s="1156"/>
      <c r="G25" s="1156"/>
      <c r="H25" s="1156"/>
      <c r="I25" s="1156"/>
      <c r="J25" s="1156"/>
      <c r="K25" s="1156"/>
      <c r="L25" s="1156"/>
      <c r="M25" s="1156"/>
      <c r="N25" s="1156"/>
      <c r="O25" s="1156"/>
      <c r="P25" s="1156"/>
      <c r="Q25" s="1156"/>
      <c r="R25" s="1156"/>
      <c r="S25" s="1156"/>
      <c r="T25" s="1156"/>
      <c r="U25" s="1156"/>
      <c r="V25" s="1156"/>
      <c r="W25" s="1156"/>
      <c r="X25" s="1156"/>
      <c r="Y25" s="1156"/>
      <c r="Z25" s="1156"/>
      <c r="AA25" s="1156"/>
      <c r="AB25" s="2053"/>
      <c r="AC25" s="2094"/>
      <c r="AD25" s="793"/>
      <c r="AE25" s="793"/>
      <c r="AF25" s="793"/>
      <c r="AG25" s="793"/>
      <c r="AH25" s="793"/>
      <c r="AI25" s="793"/>
      <c r="AJ25" s="793"/>
      <c r="AK25" s="793"/>
      <c r="AL25" s="793"/>
      <c r="AM25" s="793"/>
      <c r="AN25" s="793"/>
      <c r="AO25" s="793"/>
      <c r="AP25" s="793"/>
      <c r="AQ25" s="793"/>
      <c r="AR25" s="2111"/>
    </row>
    <row r="26" spans="1:44" ht="12" customHeight="1">
      <c r="A26" s="292"/>
      <c r="B26" s="290">
        <v>1</v>
      </c>
      <c r="C26" s="290">
        <v>2</v>
      </c>
      <c r="D26" s="290">
        <v>3</v>
      </c>
      <c r="E26" s="290">
        <v>4</v>
      </c>
      <c r="F26" s="290">
        <v>5</v>
      </c>
      <c r="G26" s="290">
        <v>6</v>
      </c>
      <c r="H26" s="290">
        <v>7</v>
      </c>
      <c r="I26" s="290">
        <v>8</v>
      </c>
      <c r="J26" s="290">
        <v>9</v>
      </c>
      <c r="K26" s="290">
        <v>10</v>
      </c>
      <c r="L26" s="290">
        <v>11</v>
      </c>
      <c r="M26" s="290">
        <v>12</v>
      </c>
      <c r="N26" s="2162" t="s">
        <v>297</v>
      </c>
      <c r="O26" s="2163"/>
      <c r="P26" s="293"/>
      <c r="Q26" s="293"/>
      <c r="R26" s="293"/>
      <c r="S26" s="293"/>
      <c r="T26" s="295" t="s">
        <v>292</v>
      </c>
      <c r="U26" s="295" t="s">
        <v>293</v>
      </c>
      <c r="V26" s="295" t="s">
        <v>270</v>
      </c>
      <c r="W26" s="295" t="s">
        <v>271</v>
      </c>
      <c r="X26" s="295" t="s">
        <v>272</v>
      </c>
      <c r="Y26" s="295" t="s">
        <v>273</v>
      </c>
      <c r="Z26" s="293"/>
      <c r="AA26" s="293"/>
      <c r="AB26" s="294"/>
      <c r="AC26" s="2094"/>
      <c r="AD26" s="793"/>
      <c r="AE26" s="793"/>
      <c r="AF26" s="793"/>
      <c r="AG26" s="793"/>
      <c r="AH26" s="793"/>
      <c r="AI26" s="793"/>
      <c r="AJ26" s="793"/>
      <c r="AK26" s="793"/>
      <c r="AL26" s="793"/>
      <c r="AM26" s="793"/>
      <c r="AN26" s="793"/>
      <c r="AO26" s="793"/>
      <c r="AP26" s="793"/>
      <c r="AQ26" s="793"/>
      <c r="AR26" s="2111"/>
    </row>
    <row r="27" spans="1:44" ht="12" customHeight="1">
      <c r="A27" s="292"/>
      <c r="B27" s="291"/>
      <c r="C27" s="291"/>
      <c r="D27" s="291"/>
      <c r="E27" s="291"/>
      <c r="F27" s="291"/>
      <c r="G27" s="291"/>
      <c r="H27" s="291"/>
      <c r="I27" s="291"/>
      <c r="J27" s="291"/>
      <c r="K27" s="291"/>
      <c r="L27" s="291"/>
      <c r="M27" s="291"/>
      <c r="N27" s="293"/>
      <c r="O27" s="291"/>
      <c r="P27" s="2114" t="s">
        <v>3645</v>
      </c>
      <c r="Q27" s="2115"/>
      <c r="R27" s="2115"/>
      <c r="S27" s="2116"/>
      <c r="T27" s="291"/>
      <c r="U27" s="291"/>
      <c r="V27" s="291"/>
      <c r="W27" s="291"/>
      <c r="X27" s="291"/>
      <c r="Y27" s="291"/>
      <c r="Z27" s="293"/>
      <c r="AA27" s="293"/>
      <c r="AB27" s="294"/>
      <c r="AC27" s="2154" t="s">
        <v>279</v>
      </c>
      <c r="AD27" s="2155"/>
      <c r="AE27" s="2155"/>
      <c r="AF27" s="2155"/>
      <c r="AG27" s="2155"/>
      <c r="AH27" s="2155"/>
      <c r="AI27" s="2155"/>
      <c r="AJ27" s="2156"/>
      <c r="AK27" s="291"/>
      <c r="AL27" s="2152" t="s">
        <v>294</v>
      </c>
      <c r="AM27" s="2153"/>
      <c r="AN27" s="291" t="s">
        <v>316</v>
      </c>
      <c r="AO27" s="2152" t="s">
        <v>178</v>
      </c>
      <c r="AP27" s="1156"/>
      <c r="AQ27" s="1156"/>
      <c r="AR27" s="2053"/>
    </row>
    <row r="28" spans="1:44" ht="9.95" customHeight="1">
      <c r="A28" s="2157" t="s">
        <v>274</v>
      </c>
      <c r="B28" s="2158"/>
      <c r="C28" s="2158"/>
      <c r="D28" s="2158"/>
      <c r="E28" s="2158"/>
      <c r="F28" s="2160" t="s">
        <v>275</v>
      </c>
      <c r="G28" s="2160"/>
      <c r="H28" s="2160"/>
      <c r="I28" s="2160"/>
      <c r="J28" s="2160"/>
      <c r="K28" s="2160"/>
      <c r="L28" s="2160"/>
      <c r="M28" s="2160"/>
      <c r="N28" s="2160"/>
      <c r="O28" s="2160"/>
      <c r="P28" s="2160"/>
      <c r="Q28" s="347"/>
      <c r="R28" s="2160" t="s">
        <v>276</v>
      </c>
      <c r="S28" s="2160"/>
      <c r="T28" s="2160"/>
      <c r="U28" s="2160"/>
      <c r="V28" s="2160"/>
      <c r="W28" s="2160"/>
      <c r="X28" s="2160"/>
      <c r="Y28" s="2160"/>
      <c r="Z28" s="2160"/>
      <c r="AA28" s="2160"/>
      <c r="AB28" s="2161"/>
      <c r="AC28" s="2142"/>
      <c r="AD28" s="888"/>
      <c r="AE28" s="888"/>
      <c r="AF28" s="888"/>
      <c r="AG28" s="888"/>
      <c r="AH28" s="888"/>
      <c r="AI28" s="888"/>
      <c r="AJ28" s="888"/>
      <c r="AK28" s="888"/>
      <c r="AL28" s="888"/>
      <c r="AM28" s="888"/>
      <c r="AN28" s="888"/>
      <c r="AO28" s="888"/>
      <c r="AP28" s="888"/>
      <c r="AQ28" s="888"/>
      <c r="AR28" s="2143"/>
    </row>
    <row r="29" spans="1:44" ht="24" customHeight="1">
      <c r="A29" s="2159"/>
      <c r="B29" s="2158"/>
      <c r="C29" s="2158"/>
      <c r="D29" s="2158"/>
      <c r="E29" s="2158"/>
      <c r="F29" s="2117"/>
      <c r="G29" s="2118"/>
      <c r="H29" s="2118"/>
      <c r="I29" s="2118"/>
      <c r="J29" s="2118"/>
      <c r="K29" s="2118"/>
      <c r="L29" s="2118"/>
      <c r="M29" s="2118"/>
      <c r="N29" s="2118"/>
      <c r="O29" s="2118"/>
      <c r="P29" s="2119"/>
      <c r="Q29" s="333"/>
      <c r="R29" s="2117"/>
      <c r="S29" s="2120"/>
      <c r="T29" s="2120"/>
      <c r="U29" s="2120"/>
      <c r="V29" s="2120"/>
      <c r="W29" s="2120"/>
      <c r="X29" s="2121"/>
      <c r="Y29" s="2121"/>
      <c r="Z29" s="2121"/>
      <c r="AA29" s="2121"/>
      <c r="AB29" s="2122"/>
      <c r="AC29" s="2142"/>
      <c r="AD29" s="888"/>
      <c r="AE29" s="888"/>
      <c r="AF29" s="888"/>
      <c r="AG29" s="888"/>
      <c r="AH29" s="888"/>
      <c r="AI29" s="888"/>
      <c r="AJ29" s="888"/>
      <c r="AK29" s="888"/>
      <c r="AL29" s="888"/>
      <c r="AM29" s="888"/>
      <c r="AN29" s="888"/>
      <c r="AO29" s="888"/>
      <c r="AP29" s="888"/>
      <c r="AQ29" s="888"/>
      <c r="AR29" s="2143"/>
    </row>
    <row r="30" spans="1:44" ht="5.25" customHeight="1">
      <c r="A30" s="2102"/>
      <c r="B30" s="2096"/>
      <c r="C30" s="2096"/>
      <c r="D30" s="2096"/>
      <c r="E30" s="2096"/>
      <c r="F30" s="2096"/>
      <c r="G30" s="2096"/>
      <c r="H30" s="2096"/>
      <c r="I30" s="2096"/>
      <c r="J30" s="2096"/>
      <c r="K30" s="2096"/>
      <c r="L30" s="2096"/>
      <c r="M30" s="2096"/>
      <c r="N30" s="2096"/>
      <c r="O30" s="2096"/>
      <c r="P30" s="2096"/>
      <c r="Q30" s="2096"/>
      <c r="R30" s="2096"/>
      <c r="S30" s="2096"/>
      <c r="T30" s="2096"/>
      <c r="U30" s="2096"/>
      <c r="V30" s="2096"/>
      <c r="W30" s="2096"/>
      <c r="X30" s="2096"/>
      <c r="Y30" s="2096"/>
      <c r="Z30" s="2096"/>
      <c r="AA30" s="2096"/>
      <c r="AB30" s="2097"/>
      <c r="AC30" s="2144"/>
      <c r="AD30" s="2145"/>
      <c r="AE30" s="2145"/>
      <c r="AF30" s="2145"/>
      <c r="AG30" s="2145"/>
      <c r="AH30" s="2145"/>
      <c r="AI30" s="2145"/>
      <c r="AJ30" s="2145"/>
      <c r="AK30" s="2145"/>
      <c r="AL30" s="2145"/>
      <c r="AM30" s="2145"/>
      <c r="AN30" s="2145"/>
      <c r="AO30" s="2145"/>
      <c r="AP30" s="2145"/>
      <c r="AQ30" s="2145"/>
      <c r="AR30" s="2146"/>
    </row>
    <row r="31" spans="1:44" ht="12" customHeight="1">
      <c r="A31" s="2066" t="s">
        <v>415</v>
      </c>
      <c r="B31" s="2067"/>
      <c r="C31" s="2067"/>
      <c r="D31" s="2067"/>
      <c r="E31" s="2067"/>
      <c r="F31" s="2067"/>
      <c r="G31" s="2067"/>
      <c r="H31" s="2067"/>
      <c r="I31" s="2067"/>
      <c r="J31" s="2067"/>
      <c r="K31" s="2067"/>
      <c r="L31" s="2067"/>
      <c r="M31" s="2067"/>
      <c r="N31" s="2067"/>
      <c r="O31" s="2067"/>
      <c r="P31" s="2067"/>
      <c r="Q31" s="2067"/>
      <c r="R31" s="2067"/>
      <c r="S31" s="2067"/>
      <c r="T31" s="2067"/>
      <c r="U31" s="2067"/>
      <c r="V31" s="2067"/>
      <c r="W31" s="2068" t="s">
        <v>3646</v>
      </c>
      <c r="X31" s="2069"/>
      <c r="Y31" s="2069"/>
      <c r="Z31" s="2069"/>
      <c r="AA31" s="2069"/>
      <c r="AB31" s="2069"/>
      <c r="AC31" s="2069"/>
      <c r="AD31" s="2069"/>
      <c r="AE31" s="2069"/>
      <c r="AF31" s="2069"/>
      <c r="AG31" s="2069"/>
      <c r="AH31" s="2069"/>
      <c r="AI31" s="2069"/>
      <c r="AJ31" s="2069"/>
      <c r="AK31" s="2069"/>
      <c r="AL31" s="2069"/>
      <c r="AM31" s="2070"/>
      <c r="AN31" s="2070"/>
      <c r="AO31" s="2070"/>
      <c r="AP31" s="2070"/>
      <c r="AQ31" s="2070"/>
      <c r="AR31" s="2071"/>
    </row>
    <row r="32" spans="1:68" ht="12" customHeight="1">
      <c r="A32" s="2083"/>
      <c r="B32" s="2084"/>
      <c r="C32" s="2084"/>
      <c r="D32" s="2084"/>
      <c r="E32" s="2084"/>
      <c r="F32" s="2084"/>
      <c r="G32" s="2084"/>
      <c r="H32" s="2084"/>
      <c r="I32" s="2084"/>
      <c r="J32" s="2084"/>
      <c r="K32" s="2084"/>
      <c r="L32" s="2084"/>
      <c r="M32" s="2084"/>
      <c r="N32" s="2084"/>
      <c r="O32" s="2084"/>
      <c r="P32" s="2084"/>
      <c r="Q32" s="2084"/>
      <c r="R32" s="2084"/>
      <c r="S32" s="2084"/>
      <c r="T32" s="2084"/>
      <c r="U32" s="2084"/>
      <c r="V32" s="2085"/>
      <c r="W32" s="2079"/>
      <c r="X32" s="2080"/>
      <c r="Y32" s="2080"/>
      <c r="Z32" s="2080"/>
      <c r="AA32" s="2080"/>
      <c r="AB32" s="2080"/>
      <c r="AC32" s="2080"/>
      <c r="AD32" s="2080"/>
      <c r="AE32" s="2080"/>
      <c r="AF32" s="2080"/>
      <c r="AG32" s="2080"/>
      <c r="AH32" s="2080"/>
      <c r="AI32" s="2080"/>
      <c r="AJ32" s="2080"/>
      <c r="AK32" s="2080"/>
      <c r="AL32" s="2080"/>
      <c r="AM32" s="2080"/>
      <c r="AN32" s="2080"/>
      <c r="AO32" s="2080"/>
      <c r="AP32" s="2080"/>
      <c r="AQ32" s="2080"/>
      <c r="AR32" s="2081"/>
      <c r="BG32" s="28"/>
      <c r="BH32" s="28"/>
      <c r="BI32" s="28"/>
      <c r="BJ32" s="28"/>
      <c r="BK32" s="28"/>
      <c r="BL32" s="28"/>
      <c r="BM32" s="28"/>
      <c r="BN32" s="28"/>
      <c r="BO32" s="28"/>
      <c r="BP32" s="28"/>
    </row>
    <row r="33" spans="1:68" ht="24" customHeight="1">
      <c r="A33" s="2086"/>
      <c r="B33" s="2087"/>
      <c r="C33" s="2087"/>
      <c r="D33" s="2087"/>
      <c r="E33" s="2087"/>
      <c r="F33" s="2087"/>
      <c r="G33" s="2087"/>
      <c r="H33" s="2087"/>
      <c r="I33" s="2087"/>
      <c r="J33" s="2087"/>
      <c r="K33" s="2087"/>
      <c r="L33" s="2087"/>
      <c r="M33" s="2087"/>
      <c r="N33" s="2087"/>
      <c r="O33" s="2087"/>
      <c r="P33" s="2087"/>
      <c r="Q33" s="2087"/>
      <c r="R33" s="2087"/>
      <c r="S33" s="2087"/>
      <c r="T33" s="2087"/>
      <c r="U33" s="2087"/>
      <c r="V33" s="2088"/>
      <c r="W33" s="2082"/>
      <c r="X33" s="1156"/>
      <c r="Y33" s="1156"/>
      <c r="Z33" s="1156"/>
      <c r="AA33" s="1156"/>
      <c r="AB33" s="1156"/>
      <c r="AC33" s="1156"/>
      <c r="AD33" s="1156"/>
      <c r="AE33" s="1156"/>
      <c r="AF33" s="1156"/>
      <c r="AG33" s="1156"/>
      <c r="AH33" s="1156"/>
      <c r="AI33" s="1156"/>
      <c r="AJ33" s="1156"/>
      <c r="AK33" s="1156"/>
      <c r="AL33" s="1156"/>
      <c r="AM33" s="1156"/>
      <c r="AN33" s="1156"/>
      <c r="AO33" s="1156"/>
      <c r="AP33" s="1156"/>
      <c r="AQ33" s="1156"/>
      <c r="AR33" s="2053"/>
      <c r="BG33" s="28"/>
      <c r="BH33" s="28"/>
      <c r="BI33" s="28"/>
      <c r="BJ33" s="28"/>
      <c r="BK33" s="28"/>
      <c r="BL33" s="28"/>
      <c r="BM33" s="28"/>
      <c r="BN33" s="28"/>
      <c r="BO33" s="28"/>
      <c r="BP33" s="28"/>
    </row>
    <row r="34" spans="1:68" ht="12" customHeight="1">
      <c r="A34" s="551"/>
      <c r="B34" s="2090"/>
      <c r="C34" s="2090"/>
      <c r="D34" s="2090"/>
      <c r="E34" s="2090"/>
      <c r="F34" s="2090"/>
      <c r="G34" s="2090"/>
      <c r="H34" s="2090"/>
      <c r="I34" s="2089" t="s">
        <v>3960</v>
      </c>
      <c r="J34" s="2089"/>
      <c r="K34" s="2089"/>
      <c r="L34" s="2089"/>
      <c r="M34" s="2089"/>
      <c r="N34" s="2089"/>
      <c r="O34" s="2089"/>
      <c r="P34" s="2089"/>
      <c r="Q34" s="2089"/>
      <c r="R34" s="2089"/>
      <c r="S34" s="2089"/>
      <c r="T34" s="2061"/>
      <c r="U34" s="1156"/>
      <c r="V34" s="2053"/>
      <c r="W34" s="2052" t="s">
        <v>3967</v>
      </c>
      <c r="X34" s="2128"/>
      <c r="Y34" s="2128"/>
      <c r="Z34" s="2128"/>
      <c r="AA34" s="2128"/>
      <c r="AB34" s="2128"/>
      <c r="AC34" s="2128"/>
      <c r="AD34" s="2128"/>
      <c r="AE34" s="2128"/>
      <c r="AF34" s="2128"/>
      <c r="AG34" s="2128"/>
      <c r="AH34" s="2128"/>
      <c r="AI34" s="2128"/>
      <c r="AJ34" s="2128"/>
      <c r="AK34" s="2128"/>
      <c r="AL34" s="2128"/>
      <c r="AM34" s="2128"/>
      <c r="AN34" s="2128"/>
      <c r="AO34" s="2128"/>
      <c r="AP34" s="2128"/>
      <c r="AQ34" s="2128"/>
      <c r="AR34" s="2141"/>
      <c r="BG34" s="28"/>
      <c r="BH34" s="28"/>
      <c r="BI34" s="28"/>
      <c r="BJ34" s="28"/>
      <c r="BK34" s="28"/>
      <c r="BL34" s="28"/>
      <c r="BM34" s="28"/>
      <c r="BN34" s="28"/>
      <c r="BO34" s="28"/>
      <c r="BP34" s="28"/>
    </row>
    <row r="35" spans="1:68" ht="24" customHeight="1">
      <c r="A35" s="551"/>
      <c r="B35" s="2072" t="s">
        <v>416</v>
      </c>
      <c r="C35" s="2073"/>
      <c r="D35" s="2073"/>
      <c r="E35" s="2073"/>
      <c r="F35" s="2073"/>
      <c r="G35" s="2073"/>
      <c r="H35" s="2074"/>
      <c r="I35" s="2193">
        <f>+IF(AND('1Př1'!F13=0,'1Př1'!F14=0),+'1Př1'!F16+'1Př1'!F17-'1Př1'!F19+'1Př1'!F21+'1Př1'!F24,+'1Př1'!F13+'1Př1'!F17-'1Př1'!F19+'1Př1'!F21+'1Př1'!F24)</f>
        <v>0</v>
      </c>
      <c r="J35" s="2194"/>
      <c r="K35" s="2194"/>
      <c r="L35" s="2194"/>
      <c r="M35" s="2194"/>
      <c r="N35" s="2194"/>
      <c r="O35" s="2194"/>
      <c r="P35" s="2194"/>
      <c r="Q35" s="2194"/>
      <c r="R35" s="2194"/>
      <c r="S35" s="2195"/>
      <c r="T35" s="2078" t="s">
        <v>250</v>
      </c>
      <c r="U35" s="1156"/>
      <c r="V35" s="2053"/>
      <c r="W35" s="551"/>
      <c r="X35" s="2072" t="s">
        <v>426</v>
      </c>
      <c r="Y35" s="2073"/>
      <c r="Z35" s="2073"/>
      <c r="AA35" s="2073"/>
      <c r="AB35" s="2073"/>
      <c r="AC35" s="2073"/>
      <c r="AD35" s="2074"/>
      <c r="AE35" s="2075">
        <v>0</v>
      </c>
      <c r="AF35" s="2076"/>
      <c r="AG35" s="2076"/>
      <c r="AH35" s="2076"/>
      <c r="AI35" s="2076"/>
      <c r="AJ35" s="2076"/>
      <c r="AK35" s="2076"/>
      <c r="AL35" s="2076"/>
      <c r="AM35" s="2076"/>
      <c r="AN35" s="2077"/>
      <c r="AO35" s="2078" t="s">
        <v>250</v>
      </c>
      <c r="AP35" s="1156"/>
      <c r="AQ35" s="1156"/>
      <c r="AR35" s="2053"/>
      <c r="BG35" s="28"/>
      <c r="BH35" s="28"/>
      <c r="BI35" s="28"/>
      <c r="BJ35" s="28"/>
      <c r="BK35" s="28"/>
      <c r="BL35" s="28"/>
      <c r="BM35" s="28"/>
      <c r="BN35" s="28"/>
      <c r="BO35" s="28"/>
      <c r="BP35" s="28"/>
    </row>
    <row r="36" spans="1:68" ht="15">
      <c r="A36" s="551"/>
      <c r="B36" s="2192"/>
      <c r="C36" s="2192"/>
      <c r="D36" s="2192"/>
      <c r="E36" s="2192"/>
      <c r="F36" s="2192"/>
      <c r="G36" s="2192"/>
      <c r="H36" s="2192"/>
      <c r="I36" s="2089" t="s">
        <v>3961</v>
      </c>
      <c r="J36" s="2089"/>
      <c r="K36" s="2089"/>
      <c r="L36" s="2089"/>
      <c r="M36" s="2089"/>
      <c r="N36" s="2089"/>
      <c r="O36" s="2089"/>
      <c r="P36" s="2089"/>
      <c r="Q36" s="2089"/>
      <c r="R36" s="2089"/>
      <c r="S36" s="2089"/>
      <c r="T36" s="2061"/>
      <c r="U36" s="1156"/>
      <c r="V36" s="2053"/>
      <c r="W36" s="2052" t="s">
        <v>3647</v>
      </c>
      <c r="X36" s="2128"/>
      <c r="Y36" s="2128"/>
      <c r="Z36" s="2128"/>
      <c r="AA36" s="2128"/>
      <c r="AB36" s="2128"/>
      <c r="AC36" s="2128"/>
      <c r="AD36" s="2128"/>
      <c r="AE36" s="2128"/>
      <c r="AF36" s="2128"/>
      <c r="AG36" s="2128"/>
      <c r="AH36" s="2128"/>
      <c r="AI36" s="2128"/>
      <c r="AJ36" s="2128"/>
      <c r="AK36" s="2128"/>
      <c r="AL36" s="2128"/>
      <c r="AM36" s="2128"/>
      <c r="AN36" s="2128"/>
      <c r="AO36" s="2128"/>
      <c r="AP36" s="2128"/>
      <c r="AQ36" s="2128"/>
      <c r="AR36" s="2141"/>
      <c r="BG36" s="28"/>
      <c r="BH36" s="28"/>
      <c r="BI36" s="28"/>
      <c r="BJ36" s="28"/>
      <c r="BK36" s="28"/>
      <c r="BL36" s="28"/>
      <c r="BM36" s="28"/>
      <c r="BN36" s="28"/>
      <c r="BO36" s="28"/>
      <c r="BP36" s="28"/>
    </row>
    <row r="37" spans="1:68" ht="24" customHeight="1">
      <c r="A37" s="551"/>
      <c r="B37" s="2072" t="s">
        <v>417</v>
      </c>
      <c r="C37" s="2073"/>
      <c r="D37" s="2073"/>
      <c r="E37" s="2073"/>
      <c r="F37" s="2073"/>
      <c r="G37" s="2073"/>
      <c r="H37" s="2074"/>
      <c r="I37" s="2193">
        <f>+'1Př1'!F14+'1Př1'!F18-'1Př1'!F20+'1Př1'!F22</f>
        <v>0</v>
      </c>
      <c r="J37" s="2194"/>
      <c r="K37" s="2194"/>
      <c r="L37" s="2194"/>
      <c r="M37" s="2194"/>
      <c r="N37" s="2194"/>
      <c r="O37" s="2194"/>
      <c r="P37" s="2194"/>
      <c r="Q37" s="2194"/>
      <c r="R37" s="2194"/>
      <c r="S37" s="2195"/>
      <c r="T37" s="2078" t="s">
        <v>250</v>
      </c>
      <c r="U37" s="1156"/>
      <c r="V37" s="2053"/>
      <c r="W37" s="551"/>
      <c r="X37" s="2072" t="s">
        <v>234</v>
      </c>
      <c r="Y37" s="2073"/>
      <c r="Z37" s="2073"/>
      <c r="AA37" s="2073"/>
      <c r="AB37" s="2073"/>
      <c r="AC37" s="2073"/>
      <c r="AD37" s="2074"/>
      <c r="AE37" s="2178">
        <f>AE35-+I51</f>
        <v>0</v>
      </c>
      <c r="AF37" s="2179"/>
      <c r="AG37" s="2179"/>
      <c r="AH37" s="2179"/>
      <c r="AI37" s="2179"/>
      <c r="AJ37" s="2179"/>
      <c r="AK37" s="2179"/>
      <c r="AL37" s="2179"/>
      <c r="AM37" s="2179"/>
      <c r="AN37" s="2180"/>
      <c r="AO37" s="2078" t="s">
        <v>250</v>
      </c>
      <c r="AP37" s="1156"/>
      <c r="AQ37" s="1156"/>
      <c r="AR37" s="2053"/>
      <c r="BG37" s="28"/>
      <c r="BH37" s="28"/>
      <c r="BI37" s="28"/>
      <c r="BJ37" s="28"/>
      <c r="BK37" s="28"/>
      <c r="BL37" s="28"/>
      <c r="BM37" s="28"/>
      <c r="BN37" s="28"/>
      <c r="BO37" s="28"/>
      <c r="BP37" s="28"/>
    </row>
    <row r="38" spans="1:68" ht="12" customHeight="1">
      <c r="A38" s="551"/>
      <c r="B38" s="2128" t="s">
        <v>3962</v>
      </c>
      <c r="C38" s="2139"/>
      <c r="D38" s="2139"/>
      <c r="E38" s="2139"/>
      <c r="F38" s="2139"/>
      <c r="G38" s="2139"/>
      <c r="H38" s="2139"/>
      <c r="I38" s="2139"/>
      <c r="J38" s="2139"/>
      <c r="K38" s="2139"/>
      <c r="L38" s="2139"/>
      <c r="M38" s="2139"/>
      <c r="N38" s="2139"/>
      <c r="O38" s="2139"/>
      <c r="P38" s="2139"/>
      <c r="Q38" s="2139"/>
      <c r="R38" s="2139"/>
      <c r="S38" s="2139"/>
      <c r="T38" s="2139"/>
      <c r="U38" s="2139"/>
      <c r="V38" s="2140"/>
      <c r="W38" s="2060"/>
      <c r="X38" s="1156"/>
      <c r="Y38" s="1156"/>
      <c r="Z38" s="1156"/>
      <c r="AA38" s="1156"/>
      <c r="AB38" s="1156"/>
      <c r="AC38" s="1156"/>
      <c r="AD38" s="1156"/>
      <c r="AE38" s="1156"/>
      <c r="AF38" s="1156"/>
      <c r="AG38" s="1156"/>
      <c r="AH38" s="1156"/>
      <c r="AI38" s="1156"/>
      <c r="AJ38" s="1156"/>
      <c r="AK38" s="1156"/>
      <c r="AL38" s="1156"/>
      <c r="AM38" s="1156"/>
      <c r="AN38" s="1156"/>
      <c r="AO38" s="1156"/>
      <c r="AP38" s="1156"/>
      <c r="AQ38" s="1156"/>
      <c r="AR38" s="2053"/>
      <c r="BG38" s="28"/>
      <c r="BH38" s="28"/>
      <c r="BI38" s="28"/>
      <c r="BJ38" s="28"/>
      <c r="BK38" s="28"/>
      <c r="BL38" s="28"/>
      <c r="BM38" s="28"/>
      <c r="BN38" s="28"/>
      <c r="BO38" s="28"/>
      <c r="BP38" s="28"/>
    </row>
    <row r="39" spans="1:68" ht="18" customHeight="1">
      <c r="A39" s="551"/>
      <c r="B39" s="2072" t="s">
        <v>418</v>
      </c>
      <c r="C39" s="2073"/>
      <c r="D39" s="2073"/>
      <c r="E39" s="2073"/>
      <c r="F39" s="2073"/>
      <c r="G39" s="2073"/>
      <c r="H39" s="2073"/>
      <c r="I39" s="2073"/>
      <c r="J39" s="2073"/>
      <c r="K39" s="2073"/>
      <c r="L39" s="2073"/>
      <c r="M39" s="2074"/>
      <c r="N39" s="2091">
        <f>+'1Př2'!G3</f>
        <v>12</v>
      </c>
      <c r="O39" s="2092"/>
      <c r="P39" s="2060"/>
      <c r="Q39" s="1156"/>
      <c r="R39" s="1156"/>
      <c r="S39" s="1156"/>
      <c r="T39" s="1156"/>
      <c r="U39" s="1156"/>
      <c r="V39" s="2053"/>
      <c r="W39" s="2082"/>
      <c r="X39" s="1156"/>
      <c r="Y39" s="1156"/>
      <c r="Z39" s="1156"/>
      <c r="AA39" s="1156"/>
      <c r="AB39" s="1156"/>
      <c r="AC39" s="1156"/>
      <c r="AD39" s="1156"/>
      <c r="AE39" s="1156"/>
      <c r="AF39" s="1156"/>
      <c r="AG39" s="1156"/>
      <c r="AH39" s="1156"/>
      <c r="AI39" s="1156"/>
      <c r="AJ39" s="1156"/>
      <c r="AK39" s="1156"/>
      <c r="AL39" s="1156"/>
      <c r="AM39" s="1156"/>
      <c r="AN39" s="1156"/>
      <c r="AO39" s="1156"/>
      <c r="AP39" s="1156"/>
      <c r="AQ39" s="1156"/>
      <c r="AR39" s="2053"/>
      <c r="BG39" s="28"/>
      <c r="BH39" s="28"/>
      <c r="BI39" s="28"/>
      <c r="BJ39" s="28"/>
      <c r="BK39" s="28"/>
      <c r="BL39" s="28"/>
      <c r="BM39" s="28"/>
      <c r="BN39" s="28"/>
      <c r="BO39" s="28"/>
      <c r="BP39" s="28"/>
    </row>
    <row r="40" spans="1:68" ht="18" customHeight="1">
      <c r="A40" s="551"/>
      <c r="B40" s="2128" t="s">
        <v>3693</v>
      </c>
      <c r="C40" s="2139"/>
      <c r="D40" s="2139"/>
      <c r="E40" s="2139"/>
      <c r="F40" s="2139"/>
      <c r="G40" s="2139"/>
      <c r="H40" s="2139"/>
      <c r="I40" s="2139"/>
      <c r="J40" s="2139"/>
      <c r="K40" s="2139"/>
      <c r="L40" s="2139"/>
      <c r="M40" s="2139"/>
      <c r="N40" s="2139"/>
      <c r="O40" s="2139"/>
      <c r="P40" s="2139"/>
      <c r="Q40" s="2139"/>
      <c r="R40" s="2139"/>
      <c r="S40" s="2139"/>
      <c r="T40" s="2139"/>
      <c r="U40" s="2139"/>
      <c r="V40" s="2140"/>
      <c r="W40" s="551"/>
      <c r="X40" s="2171" t="s">
        <v>427</v>
      </c>
      <c r="Y40" s="2171"/>
      <c r="Z40" s="2171"/>
      <c r="AA40" s="2171"/>
      <c r="AB40" s="2171"/>
      <c r="AC40" s="2171"/>
      <c r="AD40" s="2171"/>
      <c r="AE40" s="2171"/>
      <c r="AF40" s="2171"/>
      <c r="AG40" s="2171"/>
      <c r="AH40" s="2171"/>
      <c r="AI40" s="2171"/>
      <c r="AJ40" s="2171"/>
      <c r="AK40" s="2171"/>
      <c r="AL40" s="2171"/>
      <c r="AM40" s="2171"/>
      <c r="AN40" s="2171"/>
      <c r="AO40" s="2171"/>
      <c r="AP40" s="2171"/>
      <c r="AQ40" s="2171"/>
      <c r="AR40" s="2153"/>
      <c r="BG40" s="28"/>
      <c r="BH40" s="28"/>
      <c r="BI40" s="28"/>
      <c r="BJ40" s="28"/>
      <c r="BK40" s="28"/>
      <c r="BL40" s="28"/>
      <c r="BM40" s="28"/>
      <c r="BN40" s="28"/>
      <c r="BO40" s="28"/>
      <c r="BP40" s="28"/>
    </row>
    <row r="41" spans="1:68" ht="18" customHeight="1">
      <c r="A41" s="551"/>
      <c r="B41" s="2072" t="s">
        <v>419</v>
      </c>
      <c r="C41" s="2073"/>
      <c r="D41" s="2073"/>
      <c r="E41" s="2073"/>
      <c r="F41" s="2073"/>
      <c r="G41" s="2073"/>
      <c r="H41" s="2073"/>
      <c r="I41" s="2073"/>
      <c r="J41" s="2073"/>
      <c r="K41" s="2073"/>
      <c r="L41" s="2073"/>
      <c r="M41" s="2074"/>
      <c r="N41" s="2091">
        <f>+N39</f>
        <v>12</v>
      </c>
      <c r="O41" s="2092"/>
      <c r="P41" s="2060"/>
      <c r="Q41" s="1156"/>
      <c r="R41" s="1156"/>
      <c r="S41" s="1156"/>
      <c r="T41" s="1156"/>
      <c r="U41" s="1156"/>
      <c r="V41" s="2053"/>
      <c r="W41" s="551"/>
      <c r="X41" s="291" t="s">
        <v>316</v>
      </c>
      <c r="Y41" s="2152" t="s">
        <v>428</v>
      </c>
      <c r="Z41" s="2171"/>
      <c r="AA41" s="2171"/>
      <c r="AB41" s="2171"/>
      <c r="AC41" s="2171"/>
      <c r="AD41" s="2171"/>
      <c r="AE41" s="2171"/>
      <c r="AF41" s="2171"/>
      <c r="AG41" s="2171"/>
      <c r="AH41" s="2171"/>
      <c r="AI41" s="2171"/>
      <c r="AJ41" s="2171"/>
      <c r="AK41" s="2171"/>
      <c r="AL41" s="2171"/>
      <c r="AM41" s="2171"/>
      <c r="AN41" s="2171"/>
      <c r="AO41" s="2171"/>
      <c r="AP41" s="2171"/>
      <c r="AQ41" s="2171"/>
      <c r="AR41" s="2153"/>
      <c r="BG41" s="28"/>
      <c r="BH41" s="28"/>
      <c r="BI41" s="28"/>
      <c r="BJ41" s="28"/>
      <c r="BK41" s="28"/>
      <c r="BL41" s="28"/>
      <c r="BM41" s="28"/>
      <c r="BN41" s="28"/>
      <c r="BO41" s="28"/>
      <c r="BP41" s="28"/>
    </row>
    <row r="42" spans="1:68" ht="18" customHeight="1">
      <c r="A42" s="551"/>
      <c r="B42" s="2196" t="s">
        <v>420</v>
      </c>
      <c r="C42" s="2197"/>
      <c r="D42" s="2197"/>
      <c r="E42" s="2197"/>
      <c r="F42" s="2197"/>
      <c r="G42" s="2197"/>
      <c r="H42" s="2197"/>
      <c r="I42" s="2197"/>
      <c r="J42" s="2197"/>
      <c r="K42" s="2197"/>
      <c r="L42" s="2197"/>
      <c r="M42" s="2197"/>
      <c r="N42" s="2197"/>
      <c r="O42" s="2197"/>
      <c r="P42" s="2197"/>
      <c r="Q42" s="2197"/>
      <c r="R42" s="2197"/>
      <c r="S42" s="2197"/>
      <c r="T42" s="2197"/>
      <c r="U42" s="2197"/>
      <c r="V42" s="2198"/>
      <c r="W42" s="551"/>
      <c r="X42" s="291"/>
      <c r="Y42" s="2152" t="s">
        <v>3779</v>
      </c>
      <c r="Z42" s="2171"/>
      <c r="AA42" s="2171"/>
      <c r="AB42" s="2171"/>
      <c r="AC42" s="2171"/>
      <c r="AD42" s="2171"/>
      <c r="AE42" s="2171"/>
      <c r="AF42" s="2171"/>
      <c r="AG42" s="2171"/>
      <c r="AH42" s="2171"/>
      <c r="AI42" s="2171"/>
      <c r="AJ42" s="2171"/>
      <c r="AK42" s="2171"/>
      <c r="AL42" s="2171"/>
      <c r="AM42" s="2171"/>
      <c r="AN42" s="2171"/>
      <c r="AO42" s="2171"/>
      <c r="AP42" s="2171"/>
      <c r="AQ42" s="2171"/>
      <c r="AR42" s="2153"/>
      <c r="BG42" s="28"/>
      <c r="BH42" s="28"/>
      <c r="BI42" s="28"/>
      <c r="BJ42" s="28"/>
      <c r="BK42" s="28"/>
      <c r="BL42" s="28"/>
      <c r="BM42" s="28"/>
      <c r="BN42" s="28"/>
      <c r="BO42" s="28"/>
      <c r="BP42" s="28"/>
    </row>
    <row r="43" spans="1:68" ht="18" customHeight="1">
      <c r="A43" s="551"/>
      <c r="B43" s="2072" t="s">
        <v>421</v>
      </c>
      <c r="C43" s="2073"/>
      <c r="D43" s="2073"/>
      <c r="E43" s="2073"/>
      <c r="F43" s="2073"/>
      <c r="G43" s="2073"/>
      <c r="H43" s="2073"/>
      <c r="I43" s="2073"/>
      <c r="J43" s="2073"/>
      <c r="K43" s="2073"/>
      <c r="L43" s="2073"/>
      <c r="M43" s="2074"/>
      <c r="N43" s="2091">
        <v>0</v>
      </c>
      <c r="O43" s="2092"/>
      <c r="P43" s="2060"/>
      <c r="Q43" s="1156"/>
      <c r="R43" s="1156"/>
      <c r="S43" s="1156"/>
      <c r="T43" s="1156"/>
      <c r="U43" s="1156"/>
      <c r="V43" s="2053"/>
      <c r="W43" s="551"/>
      <c r="X43" s="291"/>
      <c r="Y43" s="2152" t="s">
        <v>3778</v>
      </c>
      <c r="Z43" s="1156"/>
      <c r="AA43" s="1156"/>
      <c r="AB43" s="1156"/>
      <c r="AC43" s="1156"/>
      <c r="AD43" s="1156"/>
      <c r="AE43" s="1156"/>
      <c r="AF43" s="1156"/>
      <c r="AG43" s="2053"/>
      <c r="AH43" s="2075">
        <f>+MAX(0,AE37)</f>
        <v>0</v>
      </c>
      <c r="AI43" s="2172"/>
      <c r="AJ43" s="2172"/>
      <c r="AK43" s="2172"/>
      <c r="AL43" s="2172"/>
      <c r="AM43" s="2172"/>
      <c r="AN43" s="2172"/>
      <c r="AO43" s="2173"/>
      <c r="AP43" s="2078" t="s">
        <v>250</v>
      </c>
      <c r="AQ43" s="1156"/>
      <c r="AR43" s="2053"/>
      <c r="BG43" s="28"/>
      <c r="BH43" s="28"/>
      <c r="BI43" s="28"/>
      <c r="BJ43" s="28"/>
      <c r="BK43" s="28"/>
      <c r="BL43" s="28"/>
      <c r="BM43" s="28"/>
      <c r="BN43" s="28"/>
      <c r="BO43" s="28"/>
      <c r="BP43" s="28"/>
    </row>
    <row r="44" spans="1:68" ht="12" customHeight="1">
      <c r="A44" s="551"/>
      <c r="B44" s="2090"/>
      <c r="C44" s="2090"/>
      <c r="D44" s="2090"/>
      <c r="E44" s="2090"/>
      <c r="F44" s="2090"/>
      <c r="G44" s="2090"/>
      <c r="H44" s="2090"/>
      <c r="I44" s="2199" t="s">
        <v>3963</v>
      </c>
      <c r="J44" s="2199"/>
      <c r="K44" s="2199"/>
      <c r="L44" s="2199"/>
      <c r="M44" s="2199"/>
      <c r="N44" s="2199"/>
      <c r="O44" s="2199"/>
      <c r="P44" s="2199"/>
      <c r="Q44" s="2199"/>
      <c r="R44" s="2199"/>
      <c r="S44" s="2199"/>
      <c r="T44" s="2061"/>
      <c r="U44" s="1156"/>
      <c r="V44" s="2053"/>
      <c r="W44" s="2060"/>
      <c r="X44" s="2061"/>
      <c r="Y44" s="2061"/>
      <c r="Z44" s="2061"/>
      <c r="AA44" s="2061"/>
      <c r="AB44" s="2061"/>
      <c r="AC44" s="2061"/>
      <c r="AD44" s="2061"/>
      <c r="AE44" s="2061"/>
      <c r="AF44" s="2061"/>
      <c r="AG44" s="2061"/>
      <c r="AH44" s="2061"/>
      <c r="AI44" s="2061"/>
      <c r="AJ44" s="2061"/>
      <c r="AK44" s="2061"/>
      <c r="AL44" s="2061"/>
      <c r="AM44" s="2061"/>
      <c r="AN44" s="2061"/>
      <c r="AO44" s="2061"/>
      <c r="AP44" s="2061"/>
      <c r="AQ44" s="2061"/>
      <c r="AR44" s="2062"/>
      <c r="BG44" s="28"/>
      <c r="BH44" s="28"/>
      <c r="BI44" s="28"/>
      <c r="BJ44" s="28"/>
      <c r="BK44" s="28"/>
      <c r="BL44" s="28"/>
      <c r="BM44" s="28"/>
      <c r="BN44" s="28"/>
      <c r="BO44" s="28"/>
      <c r="BP44" s="28"/>
    </row>
    <row r="45" spans="1:68" ht="24" customHeight="1">
      <c r="A45" s="551"/>
      <c r="B45" s="2072" t="s">
        <v>422</v>
      </c>
      <c r="C45" s="1156"/>
      <c r="D45" s="1156"/>
      <c r="E45" s="1156"/>
      <c r="F45" s="1156"/>
      <c r="G45" s="1156"/>
      <c r="H45" s="2053"/>
      <c r="I45" s="2063">
        <f>+N43*14116</f>
        <v>0</v>
      </c>
      <c r="J45" s="2135"/>
      <c r="K45" s="2135"/>
      <c r="L45" s="2135"/>
      <c r="M45" s="2135"/>
      <c r="N45" s="2135"/>
      <c r="O45" s="2135"/>
      <c r="P45" s="2135"/>
      <c r="Q45" s="2135"/>
      <c r="R45" s="2135"/>
      <c r="S45" s="2136"/>
      <c r="T45" s="2078" t="s">
        <v>250</v>
      </c>
      <c r="U45" s="1156"/>
      <c r="V45" s="2053"/>
      <c r="W45" s="2066" t="s">
        <v>3648</v>
      </c>
      <c r="X45" s="2174"/>
      <c r="Y45" s="2174"/>
      <c r="Z45" s="2174"/>
      <c r="AA45" s="2174"/>
      <c r="AB45" s="2174"/>
      <c r="AC45" s="2174"/>
      <c r="AD45" s="2174"/>
      <c r="AE45" s="2174"/>
      <c r="AF45" s="2174"/>
      <c r="AG45" s="2174"/>
      <c r="AH45" s="2174"/>
      <c r="AI45" s="2174"/>
      <c r="AJ45" s="2174"/>
      <c r="AK45" s="2174"/>
      <c r="AL45" s="2174"/>
      <c r="AM45" s="2067"/>
      <c r="AN45" s="2067"/>
      <c r="AO45" s="2067"/>
      <c r="AP45" s="2067"/>
      <c r="AQ45" s="2067"/>
      <c r="AR45" s="2175"/>
      <c r="BG45" s="28"/>
      <c r="BH45" s="28"/>
      <c r="BI45" s="28"/>
      <c r="BJ45" s="28"/>
      <c r="BK45" s="28"/>
      <c r="BL45" s="28"/>
      <c r="BM45" s="28"/>
      <c r="BN45" s="28"/>
      <c r="BO45" s="28"/>
      <c r="BP45" s="28"/>
    </row>
    <row r="46" spans="1:68" ht="12" customHeight="1">
      <c r="A46" s="550"/>
      <c r="B46" s="2090"/>
      <c r="C46" s="2090"/>
      <c r="D46" s="2090"/>
      <c r="E46" s="2090"/>
      <c r="F46" s="2090"/>
      <c r="G46" s="2090"/>
      <c r="H46" s="2090"/>
      <c r="I46" s="2089" t="s">
        <v>424</v>
      </c>
      <c r="J46" s="2089"/>
      <c r="K46" s="2089"/>
      <c r="L46" s="2089"/>
      <c r="M46" s="2089"/>
      <c r="N46" s="2089"/>
      <c r="O46" s="2089"/>
      <c r="P46" s="2089"/>
      <c r="Q46" s="2089"/>
      <c r="R46" s="2089"/>
      <c r="S46" s="2089"/>
      <c r="T46" s="2061"/>
      <c r="U46" s="1156"/>
      <c r="V46" s="2053"/>
      <c r="W46" s="2052" t="s">
        <v>3649</v>
      </c>
      <c r="X46" s="2128"/>
      <c r="Y46" s="2128"/>
      <c r="Z46" s="2128"/>
      <c r="AA46" s="2128"/>
      <c r="AB46" s="2128"/>
      <c r="AC46" s="2128"/>
      <c r="AD46" s="2128"/>
      <c r="AE46" s="2128"/>
      <c r="AF46" s="2128"/>
      <c r="AG46" s="2128"/>
      <c r="AH46" s="2128"/>
      <c r="AI46" s="2128"/>
      <c r="AJ46" s="2128"/>
      <c r="AK46" s="2128"/>
      <c r="AL46" s="2128"/>
      <c r="AM46" s="2128"/>
      <c r="AN46" s="2128"/>
      <c r="AO46" s="2128"/>
      <c r="AP46" s="2128"/>
      <c r="AQ46" s="2128"/>
      <c r="AR46" s="2141"/>
      <c r="BG46" s="28"/>
      <c r="BH46" s="28"/>
      <c r="BI46" s="28"/>
      <c r="BJ46" s="28"/>
      <c r="BK46" s="28"/>
      <c r="BL46" s="28"/>
      <c r="BM46" s="28"/>
      <c r="BN46" s="28"/>
      <c r="BO46" s="28"/>
      <c r="BP46" s="28"/>
    </row>
    <row r="47" spans="1:68" ht="24" customHeight="1">
      <c r="A47" s="551"/>
      <c r="B47" s="2072" t="s">
        <v>423</v>
      </c>
      <c r="C47" s="2073"/>
      <c r="D47" s="2073"/>
      <c r="E47" s="2073"/>
      <c r="F47" s="2073"/>
      <c r="G47" s="2073"/>
      <c r="H47" s="2074"/>
      <c r="I47" s="2063">
        <f>+I35-I37</f>
        <v>0</v>
      </c>
      <c r="J47" s="2064"/>
      <c r="K47" s="2064"/>
      <c r="L47" s="2064"/>
      <c r="M47" s="2064"/>
      <c r="N47" s="2064"/>
      <c r="O47" s="2064"/>
      <c r="P47" s="2064"/>
      <c r="Q47" s="2064"/>
      <c r="R47" s="2064"/>
      <c r="S47" s="2065"/>
      <c r="T47" s="2078" t="s">
        <v>250</v>
      </c>
      <c r="U47" s="1156"/>
      <c r="V47" s="2053"/>
      <c r="W47" s="551"/>
      <c r="X47" s="2072" t="s">
        <v>429</v>
      </c>
      <c r="Y47" s="2176"/>
      <c r="Z47" s="2176"/>
      <c r="AA47" s="2176"/>
      <c r="AB47" s="2176"/>
      <c r="AC47" s="2176"/>
      <c r="AD47" s="2177"/>
      <c r="AE47" s="2176"/>
      <c r="AF47" s="2176"/>
      <c r="AG47" s="2178">
        <f>+CEILING(0.135*0.5*MAX(0,I47)/N39,1)</f>
        <v>0</v>
      </c>
      <c r="AH47" s="2179"/>
      <c r="AI47" s="2179"/>
      <c r="AJ47" s="2179"/>
      <c r="AK47" s="2179"/>
      <c r="AL47" s="2179"/>
      <c r="AM47" s="2179"/>
      <c r="AN47" s="2180"/>
      <c r="AO47" s="2078" t="s">
        <v>250</v>
      </c>
      <c r="AP47" s="2061"/>
      <c r="AQ47" s="2061"/>
      <c r="AR47" s="2062"/>
      <c r="BG47" s="28"/>
      <c r="BH47" s="28"/>
      <c r="BI47" s="28"/>
      <c r="BJ47" s="28"/>
      <c r="BK47" s="28"/>
      <c r="BL47" s="28"/>
      <c r="BM47" s="28"/>
      <c r="BN47" s="28"/>
      <c r="BO47" s="28"/>
      <c r="BP47" s="28"/>
    </row>
    <row r="48" spans="1:68" ht="12" customHeight="1">
      <c r="A48" s="2052" t="s">
        <v>3964</v>
      </c>
      <c r="B48" s="1156"/>
      <c r="C48" s="1156"/>
      <c r="D48" s="1156"/>
      <c r="E48" s="1156"/>
      <c r="F48" s="1156"/>
      <c r="G48" s="1156"/>
      <c r="H48" s="1156"/>
      <c r="I48" s="1156"/>
      <c r="J48" s="1156"/>
      <c r="K48" s="1156"/>
      <c r="L48" s="1156"/>
      <c r="M48" s="1156"/>
      <c r="N48" s="1156"/>
      <c r="O48" s="1156"/>
      <c r="P48" s="1156"/>
      <c r="Q48" s="1156"/>
      <c r="R48" s="1156"/>
      <c r="S48" s="1156"/>
      <c r="T48" s="1156"/>
      <c r="U48" s="1156"/>
      <c r="V48" s="2053"/>
      <c r="W48" s="2054" t="s">
        <v>3651</v>
      </c>
      <c r="X48" s="2055"/>
      <c r="Y48" s="2055"/>
      <c r="Z48" s="2055"/>
      <c r="AA48" s="2055"/>
      <c r="AB48" s="2055"/>
      <c r="AC48" s="2055"/>
      <c r="AD48" s="2055"/>
      <c r="AE48" s="2055"/>
      <c r="AF48" s="2055"/>
      <c r="AG48" s="2055"/>
      <c r="AH48" s="2055"/>
      <c r="AI48" s="2055"/>
      <c r="AJ48" s="2055"/>
      <c r="AK48" s="2055"/>
      <c r="AL48" s="2055"/>
      <c r="AM48" s="2055"/>
      <c r="AN48" s="2055"/>
      <c r="AO48" s="2055"/>
      <c r="AP48" s="2055"/>
      <c r="AQ48" s="2055"/>
      <c r="AR48" s="2056"/>
      <c r="BG48" s="28"/>
      <c r="BH48" s="28"/>
      <c r="BI48" s="28"/>
      <c r="BJ48" s="28"/>
      <c r="BK48" s="28"/>
      <c r="BL48" s="28"/>
      <c r="BM48" s="28"/>
      <c r="BN48" s="28"/>
      <c r="BO48" s="28"/>
      <c r="BP48" s="28"/>
    </row>
    <row r="49" spans="1:68" ht="24" customHeight="1">
      <c r="A49" s="551"/>
      <c r="B49" s="2072" t="s">
        <v>155</v>
      </c>
      <c r="C49" s="2073"/>
      <c r="D49" s="2073"/>
      <c r="E49" s="2073"/>
      <c r="F49" s="2073"/>
      <c r="G49" s="2073"/>
      <c r="H49" s="2074"/>
      <c r="I49" s="2063">
        <f>+MAX(I45,+I47*0.5)</f>
        <v>0</v>
      </c>
      <c r="J49" s="2064"/>
      <c r="K49" s="2064"/>
      <c r="L49" s="2064"/>
      <c r="M49" s="2064"/>
      <c r="N49" s="2064"/>
      <c r="O49" s="2064"/>
      <c r="P49" s="2064"/>
      <c r="Q49" s="2064"/>
      <c r="R49" s="2064"/>
      <c r="S49" s="2065"/>
      <c r="T49" s="2078" t="s">
        <v>250</v>
      </c>
      <c r="U49" s="1156"/>
      <c r="V49" s="2053"/>
      <c r="W49" s="2057"/>
      <c r="X49" s="2058"/>
      <c r="Y49" s="2058"/>
      <c r="Z49" s="2058"/>
      <c r="AA49" s="2058"/>
      <c r="AB49" s="2058"/>
      <c r="AC49" s="2058"/>
      <c r="AD49" s="2058"/>
      <c r="AE49" s="2058"/>
      <c r="AF49" s="2058"/>
      <c r="AG49" s="2058"/>
      <c r="AH49" s="2058"/>
      <c r="AI49" s="2058"/>
      <c r="AJ49" s="2058"/>
      <c r="AK49" s="2058"/>
      <c r="AL49" s="2058"/>
      <c r="AM49" s="2058"/>
      <c r="AN49" s="2058"/>
      <c r="AO49" s="2058"/>
      <c r="AP49" s="2058"/>
      <c r="AQ49" s="2058"/>
      <c r="AR49" s="2059"/>
      <c r="BG49" s="28"/>
      <c r="BH49" s="28"/>
      <c r="BI49" s="28"/>
      <c r="BJ49" s="28"/>
      <c r="BK49" s="28"/>
      <c r="BL49" s="28"/>
      <c r="BM49" s="28"/>
      <c r="BN49" s="28"/>
      <c r="BO49" s="28"/>
      <c r="BP49" s="28"/>
    </row>
    <row r="50" spans="1:44" ht="12.75" customHeight="1">
      <c r="A50" s="551"/>
      <c r="B50" s="2128" t="s">
        <v>3965</v>
      </c>
      <c r="C50" s="1156"/>
      <c r="D50" s="1156"/>
      <c r="E50" s="1156"/>
      <c r="F50" s="1156"/>
      <c r="G50" s="1156"/>
      <c r="H50" s="1156"/>
      <c r="I50" s="1156"/>
      <c r="J50" s="1156"/>
      <c r="K50" s="1156"/>
      <c r="L50" s="1156"/>
      <c r="M50" s="1156"/>
      <c r="N50" s="1156"/>
      <c r="O50" s="1156"/>
      <c r="P50" s="1156"/>
      <c r="Q50" s="1156"/>
      <c r="R50" s="1156"/>
      <c r="S50" s="1156"/>
      <c r="T50" s="1156"/>
      <c r="U50" s="1156"/>
      <c r="V50" s="2053"/>
      <c r="W50" s="2057"/>
      <c r="X50" s="2058"/>
      <c r="Y50" s="2058"/>
      <c r="Z50" s="2058"/>
      <c r="AA50" s="2058"/>
      <c r="AB50" s="2058"/>
      <c r="AC50" s="2058"/>
      <c r="AD50" s="2058"/>
      <c r="AE50" s="2058"/>
      <c r="AF50" s="2058"/>
      <c r="AG50" s="2058"/>
      <c r="AH50" s="2058"/>
      <c r="AI50" s="2058"/>
      <c r="AJ50" s="2058"/>
      <c r="AK50" s="2058"/>
      <c r="AL50" s="2058"/>
      <c r="AM50" s="2058"/>
      <c r="AN50" s="2058"/>
      <c r="AO50" s="2058"/>
      <c r="AP50" s="2058"/>
      <c r="AQ50" s="2058"/>
      <c r="AR50" s="2059"/>
    </row>
    <row r="51" spans="1:44" ht="24" customHeight="1">
      <c r="A51" s="548"/>
      <c r="B51" s="2072" t="s">
        <v>425</v>
      </c>
      <c r="C51" s="2073"/>
      <c r="D51" s="2073"/>
      <c r="E51" s="2073"/>
      <c r="F51" s="2073"/>
      <c r="G51" s="2073"/>
      <c r="H51" s="2074"/>
      <c r="I51" s="2063">
        <f>+CEILING(0.135*(I49*N41)/N39,1)</f>
        <v>0</v>
      </c>
      <c r="J51" s="2064"/>
      <c r="K51" s="2064"/>
      <c r="L51" s="2064"/>
      <c r="M51" s="2064"/>
      <c r="N51" s="2064"/>
      <c r="O51" s="2064"/>
      <c r="P51" s="2064"/>
      <c r="Q51" s="2064"/>
      <c r="R51" s="2064"/>
      <c r="S51" s="2065"/>
      <c r="T51" s="2078" t="s">
        <v>250</v>
      </c>
      <c r="U51" s="1156"/>
      <c r="V51" s="2053"/>
      <c r="W51" s="551"/>
      <c r="X51" s="291" t="s">
        <v>316</v>
      </c>
      <c r="Y51" s="2152" t="s">
        <v>3968</v>
      </c>
      <c r="Z51" s="2061"/>
      <c r="AA51" s="2061"/>
      <c r="AB51" s="291"/>
      <c r="AC51" s="2152" t="s">
        <v>3650</v>
      </c>
      <c r="AD51" s="2061"/>
      <c r="AE51" s="2061"/>
      <c r="AF51" s="291"/>
      <c r="AG51" s="2152" t="s">
        <v>430</v>
      </c>
      <c r="AH51" s="2061"/>
      <c r="AI51" s="2061"/>
      <c r="AJ51" s="2075">
        <f>+IF(OR(EXACT(X51,"X"),EXACT(X51,"x")),MAX(AG47,2024),IF(OR(EXACT(AF51,"X"),EXACT(AF51,"x")),0,+AG47))</f>
        <v>2024</v>
      </c>
      <c r="AK51" s="2076"/>
      <c r="AL51" s="2076"/>
      <c r="AM51" s="2076"/>
      <c r="AN51" s="2077"/>
      <c r="AO51" s="2078" t="s">
        <v>250</v>
      </c>
      <c r="AP51" s="2061"/>
      <c r="AQ51" s="2061"/>
      <c r="AR51" s="2062"/>
    </row>
    <row r="52" spans="1:44" ht="21" customHeight="1">
      <c r="A52" s="2102"/>
      <c r="B52" s="2096"/>
      <c r="C52" s="2096"/>
      <c r="D52" s="2096"/>
      <c r="E52" s="2096"/>
      <c r="F52" s="2096"/>
      <c r="G52" s="2096"/>
      <c r="H52" s="2096"/>
      <c r="I52" s="2096"/>
      <c r="J52" s="2096"/>
      <c r="K52" s="2096"/>
      <c r="L52" s="2096"/>
      <c r="M52" s="2096"/>
      <c r="N52" s="2096"/>
      <c r="O52" s="2096"/>
      <c r="P52" s="2096"/>
      <c r="Q52" s="2096"/>
      <c r="R52" s="2096"/>
      <c r="S52" s="2096"/>
      <c r="T52" s="2096"/>
      <c r="U52" s="2096"/>
      <c r="V52" s="2097"/>
      <c r="W52" s="2103"/>
      <c r="X52" s="2104"/>
      <c r="Y52" s="2104"/>
      <c r="Z52" s="2104"/>
      <c r="AA52" s="2104"/>
      <c r="AB52" s="2104"/>
      <c r="AC52" s="2104"/>
      <c r="AD52" s="2104"/>
      <c r="AE52" s="2104"/>
      <c r="AF52" s="2104"/>
      <c r="AG52" s="2104"/>
      <c r="AH52" s="2104"/>
      <c r="AI52" s="2104"/>
      <c r="AJ52" s="2104"/>
      <c r="AK52" s="2104"/>
      <c r="AL52" s="2104"/>
      <c r="AM52" s="2104"/>
      <c r="AN52" s="2104"/>
      <c r="AO52" s="2104"/>
      <c r="AP52" s="2104"/>
      <c r="AQ52" s="2104"/>
      <c r="AR52" s="2105"/>
    </row>
    <row r="53" spans="1:44" ht="12.75" customHeight="1">
      <c r="A53" s="2066" t="s">
        <v>3652</v>
      </c>
      <c r="B53" s="2135"/>
      <c r="C53" s="2135"/>
      <c r="D53" s="2135"/>
      <c r="E53" s="2135"/>
      <c r="F53" s="2135"/>
      <c r="G53" s="2135"/>
      <c r="H53" s="2135"/>
      <c r="I53" s="2135"/>
      <c r="J53" s="2135"/>
      <c r="K53" s="2135"/>
      <c r="L53" s="2135"/>
      <c r="M53" s="2135"/>
      <c r="N53" s="2135"/>
      <c r="O53" s="2135"/>
      <c r="P53" s="2135"/>
      <c r="Q53" s="2135"/>
      <c r="R53" s="2135"/>
      <c r="S53" s="2135"/>
      <c r="T53" s="2135"/>
      <c r="U53" s="2135"/>
      <c r="V53" s="2135"/>
      <c r="W53" s="2135"/>
      <c r="X53" s="2135"/>
      <c r="Y53" s="2135"/>
      <c r="Z53" s="2135"/>
      <c r="AA53" s="2135"/>
      <c r="AB53" s="2135"/>
      <c r="AC53" s="2135"/>
      <c r="AD53" s="2135"/>
      <c r="AE53" s="2135"/>
      <c r="AF53" s="2135"/>
      <c r="AG53" s="2135"/>
      <c r="AH53" s="2135"/>
      <c r="AI53" s="2135"/>
      <c r="AJ53" s="2135"/>
      <c r="AK53" s="2135"/>
      <c r="AL53" s="2135"/>
      <c r="AM53" s="2135"/>
      <c r="AN53" s="2135"/>
      <c r="AO53" s="2135"/>
      <c r="AP53" s="2135"/>
      <c r="AQ53" s="2135"/>
      <c r="AR53" s="2136"/>
    </row>
    <row r="54" spans="1:44" ht="9.95" customHeight="1">
      <c r="A54" s="2093" t="s">
        <v>3692</v>
      </c>
      <c r="B54" s="793"/>
      <c r="C54" s="793"/>
      <c r="D54" s="793"/>
      <c r="E54" s="793"/>
      <c r="F54" s="793"/>
      <c r="G54" s="793"/>
      <c r="H54" s="793"/>
      <c r="I54" s="793"/>
      <c r="J54" s="793"/>
      <c r="K54" s="793"/>
      <c r="L54" s="793"/>
      <c r="M54" s="793"/>
      <c r="N54" s="793"/>
      <c r="O54" s="793"/>
      <c r="P54" s="793"/>
      <c r="Q54" s="793"/>
      <c r="R54" s="793"/>
      <c r="S54" s="793"/>
      <c r="T54" s="793"/>
      <c r="U54" s="793"/>
      <c r="V54" s="793"/>
      <c r="W54" s="793"/>
      <c r="X54" s="793"/>
      <c r="Y54" s="793"/>
      <c r="Z54" s="793"/>
      <c r="AA54" s="545"/>
      <c r="AB54" s="545"/>
      <c r="AC54" s="545"/>
      <c r="AD54" s="545"/>
      <c r="AE54" s="545"/>
      <c r="AF54" s="545"/>
      <c r="AG54" s="545"/>
      <c r="AH54" s="545"/>
      <c r="AI54" s="545"/>
      <c r="AJ54" s="545"/>
      <c r="AK54" s="545"/>
      <c r="AL54" s="545"/>
      <c r="AM54" s="545"/>
      <c r="AN54" s="545"/>
      <c r="AO54" s="545"/>
      <c r="AP54" s="545"/>
      <c r="AQ54" s="545"/>
      <c r="AR54" s="549"/>
    </row>
    <row r="55" spans="1:44" ht="9.95" customHeight="1">
      <c r="A55" s="2094"/>
      <c r="B55" s="793"/>
      <c r="C55" s="793"/>
      <c r="D55" s="793"/>
      <c r="E55" s="793"/>
      <c r="F55" s="793"/>
      <c r="G55" s="793"/>
      <c r="H55" s="793"/>
      <c r="I55" s="793"/>
      <c r="J55" s="793"/>
      <c r="K55" s="793"/>
      <c r="L55" s="793"/>
      <c r="M55" s="793"/>
      <c r="N55" s="793"/>
      <c r="O55" s="793"/>
      <c r="P55" s="793"/>
      <c r="Q55" s="793"/>
      <c r="R55" s="793"/>
      <c r="S55" s="793"/>
      <c r="T55" s="793"/>
      <c r="U55" s="793"/>
      <c r="V55" s="793"/>
      <c r="W55" s="793"/>
      <c r="X55" s="793"/>
      <c r="Y55" s="793"/>
      <c r="Z55" s="793"/>
      <c r="AA55" s="293"/>
      <c r="AB55" s="2181" t="s">
        <v>431</v>
      </c>
      <c r="AC55" s="2182"/>
      <c r="AD55" s="2182"/>
      <c r="AE55" s="2182"/>
      <c r="AF55" s="2182"/>
      <c r="AG55" s="2182"/>
      <c r="AH55" s="2182"/>
      <c r="AI55" s="2182"/>
      <c r="AJ55" s="2182"/>
      <c r="AK55" s="2182"/>
      <c r="AL55" s="2182"/>
      <c r="AM55" s="2182"/>
      <c r="AN55" s="2183"/>
      <c r="AO55" s="2190"/>
      <c r="AP55" s="1104"/>
      <c r="AQ55" s="1104"/>
      <c r="AR55" s="2191"/>
    </row>
    <row r="56" spans="1:44" ht="9.95" customHeight="1">
      <c r="A56" s="2094"/>
      <c r="B56" s="793"/>
      <c r="C56" s="793"/>
      <c r="D56" s="793"/>
      <c r="E56" s="793"/>
      <c r="F56" s="793"/>
      <c r="G56" s="793"/>
      <c r="H56" s="793"/>
      <c r="I56" s="793"/>
      <c r="J56" s="793"/>
      <c r="K56" s="793"/>
      <c r="L56" s="793"/>
      <c r="M56" s="793"/>
      <c r="N56" s="793"/>
      <c r="O56" s="793"/>
      <c r="P56" s="793"/>
      <c r="Q56" s="793"/>
      <c r="R56" s="793"/>
      <c r="S56" s="793"/>
      <c r="T56" s="793"/>
      <c r="U56" s="793"/>
      <c r="V56" s="793"/>
      <c r="W56" s="793"/>
      <c r="X56" s="793"/>
      <c r="Y56" s="793"/>
      <c r="Z56" s="793"/>
      <c r="AA56" s="293"/>
      <c r="AB56" s="2184"/>
      <c r="AC56" s="2185"/>
      <c r="AD56" s="2185"/>
      <c r="AE56" s="2185"/>
      <c r="AF56" s="2185"/>
      <c r="AG56" s="2185"/>
      <c r="AH56" s="2185"/>
      <c r="AI56" s="2185"/>
      <c r="AJ56" s="2185"/>
      <c r="AK56" s="2185"/>
      <c r="AL56" s="2185"/>
      <c r="AM56" s="2185"/>
      <c r="AN56" s="2186"/>
      <c r="AO56" s="2190"/>
      <c r="AP56" s="1104"/>
      <c r="AQ56" s="1104"/>
      <c r="AR56" s="2191"/>
    </row>
    <row r="57" spans="1:44" ht="9.95" customHeight="1">
      <c r="A57" s="2094"/>
      <c r="B57" s="793"/>
      <c r="C57" s="793"/>
      <c r="D57" s="793"/>
      <c r="E57" s="793"/>
      <c r="F57" s="793"/>
      <c r="G57" s="793"/>
      <c r="H57" s="793"/>
      <c r="I57" s="793"/>
      <c r="J57" s="793"/>
      <c r="K57" s="793"/>
      <c r="L57" s="793"/>
      <c r="M57" s="793"/>
      <c r="N57" s="793"/>
      <c r="O57" s="793"/>
      <c r="P57" s="793"/>
      <c r="Q57" s="793"/>
      <c r="R57" s="793"/>
      <c r="S57" s="793"/>
      <c r="T57" s="793"/>
      <c r="U57" s="793"/>
      <c r="V57" s="793"/>
      <c r="W57" s="793"/>
      <c r="X57" s="793"/>
      <c r="Y57" s="793"/>
      <c r="Z57" s="793"/>
      <c r="AA57" s="293"/>
      <c r="AB57" s="2184"/>
      <c r="AC57" s="2185"/>
      <c r="AD57" s="2185"/>
      <c r="AE57" s="2185"/>
      <c r="AF57" s="2185"/>
      <c r="AG57" s="2185"/>
      <c r="AH57" s="2185"/>
      <c r="AI57" s="2185"/>
      <c r="AJ57" s="2185"/>
      <c r="AK57" s="2185"/>
      <c r="AL57" s="2185"/>
      <c r="AM57" s="2185"/>
      <c r="AN57" s="2186"/>
      <c r="AO57" s="2190"/>
      <c r="AP57" s="1104"/>
      <c r="AQ57" s="1104"/>
      <c r="AR57" s="2191"/>
    </row>
    <row r="58" spans="1:44" ht="12.75">
      <c r="A58" s="292"/>
      <c r="B58" s="2112" t="s">
        <v>3970</v>
      </c>
      <c r="C58" s="2113"/>
      <c r="D58" s="2113"/>
      <c r="E58" s="2113"/>
      <c r="F58" s="2113"/>
      <c r="G58" s="2113"/>
      <c r="H58" s="2113"/>
      <c r="I58" s="2113"/>
      <c r="J58" s="2113"/>
      <c r="K58" s="2113"/>
      <c r="L58" s="2113"/>
      <c r="M58" s="2113"/>
      <c r="N58" s="2113"/>
      <c r="O58" s="2113"/>
      <c r="P58" s="2113"/>
      <c r="Q58" s="339" t="s">
        <v>433</v>
      </c>
      <c r="R58" s="339"/>
      <c r="S58" s="339"/>
      <c r="T58" s="339"/>
      <c r="U58" s="339"/>
      <c r="V58" s="339"/>
      <c r="W58" s="339"/>
      <c r="X58" s="339"/>
      <c r="Y58" s="339"/>
      <c r="Z58" s="339"/>
      <c r="AA58" s="340"/>
      <c r="AB58" s="2184"/>
      <c r="AC58" s="2185"/>
      <c r="AD58" s="2185"/>
      <c r="AE58" s="2185"/>
      <c r="AF58" s="2185"/>
      <c r="AG58" s="2185"/>
      <c r="AH58" s="2185"/>
      <c r="AI58" s="2185"/>
      <c r="AJ58" s="2185"/>
      <c r="AK58" s="2185"/>
      <c r="AL58" s="2185"/>
      <c r="AM58" s="2185"/>
      <c r="AN58" s="2186"/>
      <c r="AO58" s="2190"/>
      <c r="AP58" s="1104"/>
      <c r="AQ58" s="1104"/>
      <c r="AR58" s="2191"/>
    </row>
    <row r="59" spans="1:44" ht="15" customHeight="1">
      <c r="A59" s="548"/>
      <c r="B59" s="297"/>
      <c r="C59" s="1104"/>
      <c r="D59" s="1104"/>
      <c r="E59" s="1104"/>
      <c r="F59" s="1104"/>
      <c r="G59" s="1104"/>
      <c r="H59" s="1104"/>
      <c r="I59" s="1104"/>
      <c r="J59" s="1104"/>
      <c r="K59" s="1104"/>
      <c r="L59" s="1104"/>
      <c r="M59" s="1104"/>
      <c r="N59" s="1104"/>
      <c r="O59" s="1104"/>
      <c r="P59" s="1104"/>
      <c r="Q59" s="2098">
        <f ca="1">+TODAY()</f>
        <v>43231</v>
      </c>
      <c r="R59" s="2099"/>
      <c r="S59" s="2099"/>
      <c r="T59" s="2099"/>
      <c r="U59" s="2099"/>
      <c r="V59" s="2099"/>
      <c r="W59" s="2099"/>
      <c r="X59" s="2099"/>
      <c r="Y59" s="2100"/>
      <c r="Z59" s="293"/>
      <c r="AA59" s="293"/>
      <c r="AB59" s="2184"/>
      <c r="AC59" s="2185"/>
      <c r="AD59" s="2185"/>
      <c r="AE59" s="2185"/>
      <c r="AF59" s="2185"/>
      <c r="AG59" s="2185"/>
      <c r="AH59" s="2185"/>
      <c r="AI59" s="2185"/>
      <c r="AJ59" s="2185"/>
      <c r="AK59" s="2185"/>
      <c r="AL59" s="2185"/>
      <c r="AM59" s="2185"/>
      <c r="AN59" s="2186"/>
      <c r="AO59" s="2190"/>
      <c r="AP59" s="1104"/>
      <c r="AQ59" s="297"/>
      <c r="AR59" s="2191"/>
    </row>
    <row r="60" spans="1:44" ht="12.75">
      <c r="A60" s="348"/>
      <c r="B60" s="293"/>
      <c r="C60" s="293"/>
      <c r="D60" s="293"/>
      <c r="E60" s="293"/>
      <c r="F60" s="293"/>
      <c r="G60" s="293"/>
      <c r="H60" s="293"/>
      <c r="I60" s="293"/>
      <c r="J60" s="293"/>
      <c r="K60" s="293"/>
      <c r="L60" s="293"/>
      <c r="M60" s="293"/>
      <c r="N60" s="293"/>
      <c r="O60" s="293"/>
      <c r="P60" s="293"/>
      <c r="Q60" s="2101"/>
      <c r="R60" s="2096"/>
      <c r="S60" s="2096"/>
      <c r="T60" s="2096"/>
      <c r="U60" s="2096"/>
      <c r="V60" s="2096"/>
      <c r="W60" s="2096"/>
      <c r="X60" s="2096"/>
      <c r="Y60" s="2097"/>
      <c r="Z60" s="293"/>
      <c r="AA60" s="293"/>
      <c r="AB60" s="2187"/>
      <c r="AC60" s="2188"/>
      <c r="AD60" s="2188"/>
      <c r="AE60" s="2188"/>
      <c r="AF60" s="2188"/>
      <c r="AG60" s="2188"/>
      <c r="AH60" s="2188"/>
      <c r="AI60" s="2188"/>
      <c r="AJ60" s="2188"/>
      <c r="AK60" s="2188"/>
      <c r="AL60" s="2188"/>
      <c r="AM60" s="2188"/>
      <c r="AN60" s="2189"/>
      <c r="AO60" s="2190"/>
      <c r="AP60" s="1104"/>
      <c r="AQ60" s="293"/>
      <c r="AR60" s="2191"/>
    </row>
    <row r="61" spans="1:44" ht="8.1" customHeight="1">
      <c r="A61" s="2095"/>
      <c r="B61" s="2096"/>
      <c r="C61" s="2096"/>
      <c r="D61" s="2096"/>
      <c r="E61" s="2096"/>
      <c r="F61" s="2096"/>
      <c r="G61" s="2096"/>
      <c r="H61" s="2096"/>
      <c r="I61" s="2096"/>
      <c r="J61" s="2096"/>
      <c r="K61" s="2096"/>
      <c r="L61" s="2096"/>
      <c r="M61" s="2096"/>
      <c r="N61" s="2096"/>
      <c r="O61" s="2096"/>
      <c r="P61" s="2096"/>
      <c r="Q61" s="2096"/>
      <c r="R61" s="2096"/>
      <c r="S61" s="2096"/>
      <c r="T61" s="2096"/>
      <c r="U61" s="2096"/>
      <c r="V61" s="2096"/>
      <c r="W61" s="2096"/>
      <c r="X61" s="2096"/>
      <c r="Y61" s="2096"/>
      <c r="Z61" s="2096"/>
      <c r="AA61" s="2096"/>
      <c r="AB61" s="2096"/>
      <c r="AC61" s="2096"/>
      <c r="AD61" s="2096"/>
      <c r="AE61" s="2096"/>
      <c r="AF61" s="2096"/>
      <c r="AG61" s="2096"/>
      <c r="AH61" s="2096"/>
      <c r="AI61" s="2096"/>
      <c r="AJ61" s="2096"/>
      <c r="AK61" s="2096"/>
      <c r="AL61" s="2096"/>
      <c r="AM61" s="2096"/>
      <c r="AN61" s="2096"/>
      <c r="AO61" s="2096"/>
      <c r="AP61" s="2096"/>
      <c r="AQ61" s="2096"/>
      <c r="AR61" s="2097"/>
    </row>
    <row r="62" spans="1:44" ht="12.75">
      <c r="A62" s="2168" t="str">
        <f>+'SP1'!A74</f>
        <v>Formulář zpracovala ASPEKT HM, daňová, účetní a auditorská kancelář, www.danovapriznani.cz, business.center.cz</v>
      </c>
      <c r="B62" s="2169"/>
      <c r="C62" s="2169"/>
      <c r="D62" s="2169"/>
      <c r="E62" s="2169"/>
      <c r="F62" s="2169"/>
      <c r="G62" s="2169"/>
      <c r="H62" s="2169"/>
      <c r="I62" s="2169"/>
      <c r="J62" s="2169"/>
      <c r="K62" s="2169"/>
      <c r="L62" s="2169"/>
      <c r="M62" s="2169"/>
      <c r="N62" s="2169"/>
      <c r="O62" s="2169"/>
      <c r="P62" s="2169"/>
      <c r="Q62" s="2169"/>
      <c r="R62" s="2169"/>
      <c r="S62" s="2169"/>
      <c r="T62" s="2169"/>
      <c r="U62" s="2169"/>
      <c r="V62" s="2169"/>
      <c r="W62" s="2169"/>
      <c r="X62" s="2169"/>
      <c r="Y62" s="2169"/>
      <c r="Z62" s="2169"/>
      <c r="AA62" s="2169"/>
      <c r="AB62" s="2169"/>
      <c r="AC62" s="2169"/>
      <c r="AD62" s="2169"/>
      <c r="AE62" s="2169"/>
      <c r="AF62" s="2169"/>
      <c r="AG62" s="2169"/>
      <c r="AH62" s="2169"/>
      <c r="AI62" s="2169"/>
      <c r="AJ62" s="2169"/>
      <c r="AK62" s="2169"/>
      <c r="AL62" s="2169"/>
      <c r="AM62" s="2169"/>
      <c r="AN62" s="2169"/>
      <c r="AO62" s="2169"/>
      <c r="AP62" s="2169"/>
      <c r="AQ62" s="2169"/>
      <c r="AR62" s="2169"/>
    </row>
    <row r="63" spans="1:44" ht="12.75">
      <c r="A63" s="2170">
        <f>+ZAKL_DATA!A46</f>
        <v>0</v>
      </c>
      <c r="B63" s="745"/>
      <c r="C63" s="745"/>
      <c r="D63" s="745"/>
      <c r="E63" s="745"/>
      <c r="F63" s="745"/>
      <c r="G63" s="745"/>
      <c r="H63" s="745"/>
      <c r="I63" s="745"/>
      <c r="J63" s="745"/>
      <c r="K63" s="745"/>
      <c r="L63" s="745"/>
      <c r="M63" s="745"/>
      <c r="N63" s="745"/>
      <c r="O63" s="745"/>
      <c r="P63" s="745"/>
      <c r="Q63" s="745"/>
      <c r="R63" s="745"/>
      <c r="S63" s="745"/>
      <c r="T63" s="745"/>
      <c r="U63" s="745"/>
      <c r="V63" s="745"/>
      <c r="W63" s="745"/>
      <c r="X63" s="745"/>
      <c r="Y63" s="745"/>
      <c r="Z63" s="745"/>
      <c r="AA63" s="745"/>
      <c r="AB63" s="745"/>
      <c r="AC63" s="745"/>
      <c r="AD63" s="745"/>
      <c r="AE63" s="745"/>
      <c r="AF63" s="745"/>
      <c r="AG63" s="745"/>
      <c r="AH63" s="745"/>
      <c r="AI63" s="745"/>
      <c r="AJ63" s="745"/>
      <c r="AK63" s="745"/>
      <c r="AL63" s="745"/>
      <c r="AM63" s="745"/>
      <c r="AN63" s="745"/>
      <c r="AO63" s="745"/>
      <c r="AP63" s="745"/>
      <c r="AQ63" s="745"/>
      <c r="AR63" s="745"/>
    </row>
    <row r="64" spans="1:44" ht="12.75">
      <c r="A64" s="29"/>
      <c r="B64" s="29"/>
      <c r="C64" s="29"/>
      <c r="D64" s="29"/>
      <c r="E64" s="29"/>
      <c r="F64" s="29"/>
      <c r="G64" s="29"/>
      <c r="H64" s="29"/>
      <c r="I64" s="29"/>
      <c r="J64" s="29"/>
      <c r="K64" s="29"/>
      <c r="L64" s="29"/>
      <c r="M64" s="29"/>
      <c r="N64" s="29"/>
      <c r="O64" s="29"/>
      <c r="P64" s="29"/>
      <c r="Q64" s="29"/>
      <c r="R64" s="29"/>
      <c r="S64" s="29"/>
      <c r="T64" s="29"/>
      <c r="U64" s="29"/>
      <c r="V64" s="29"/>
      <c r="W64" s="29"/>
      <c r="X64" s="29"/>
      <c r="Y64" s="29"/>
      <c r="Z64" s="29"/>
      <c r="AA64" s="29"/>
      <c r="AB64" s="29"/>
      <c r="AC64" s="29"/>
      <c r="AD64" s="29"/>
      <c r="AE64" s="29"/>
      <c r="AF64" s="29"/>
      <c r="AG64" s="29"/>
      <c r="AH64" s="29"/>
      <c r="AI64" s="29"/>
      <c r="AJ64" s="29"/>
      <c r="AK64" s="29"/>
      <c r="AL64" s="29"/>
      <c r="AM64" s="29"/>
      <c r="AN64" s="29"/>
      <c r="AO64" s="29"/>
      <c r="AP64" s="29"/>
      <c r="AQ64" s="29"/>
      <c r="AR64" s="29"/>
    </row>
    <row r="65" spans="1:44" ht="12.75">
      <c r="A65" s="29"/>
      <c r="B65" s="29"/>
      <c r="C65" s="29"/>
      <c r="D65" s="29"/>
      <c r="E65" s="29"/>
      <c r="F65" s="29"/>
      <c r="G65" s="29"/>
      <c r="H65" s="29"/>
      <c r="I65" s="29"/>
      <c r="J65" s="29"/>
      <c r="K65" s="29"/>
      <c r="L65" s="29"/>
      <c r="M65" s="29"/>
      <c r="N65" s="29"/>
      <c r="O65" s="29"/>
      <c r="P65" s="29"/>
      <c r="Q65" s="29"/>
      <c r="R65" s="29"/>
      <c r="S65" s="29"/>
      <c r="T65" s="29"/>
      <c r="U65" s="29"/>
      <c r="V65" s="29"/>
      <c r="W65" s="29"/>
      <c r="X65" s="29"/>
      <c r="Y65" s="29"/>
      <c r="Z65" s="29"/>
      <c r="AA65" s="29"/>
      <c r="AB65" s="29"/>
      <c r="AC65" s="29"/>
      <c r="AD65" s="29"/>
      <c r="AE65" s="29"/>
      <c r="AF65" s="29"/>
      <c r="AG65" s="29"/>
      <c r="AH65" s="29"/>
      <c r="AI65" s="29"/>
      <c r="AJ65" s="29"/>
      <c r="AK65" s="29"/>
      <c r="AL65" s="29"/>
      <c r="AM65" s="29"/>
      <c r="AN65" s="29"/>
      <c r="AO65" s="29"/>
      <c r="AP65" s="29"/>
      <c r="AQ65" s="29"/>
      <c r="AR65" s="29"/>
    </row>
    <row r="66" spans="1:44" ht="12.75">
      <c r="A66" s="29"/>
      <c r="B66" s="29"/>
      <c r="C66" s="29"/>
      <c r="D66" s="29"/>
      <c r="E66" s="29"/>
      <c r="F66" s="29"/>
      <c r="G66" s="29"/>
      <c r="H66" s="29"/>
      <c r="I66" s="29"/>
      <c r="J66" s="29"/>
      <c r="K66" s="29"/>
      <c r="L66" s="29"/>
      <c r="M66" s="29"/>
      <c r="N66" s="29"/>
      <c r="O66" s="29"/>
      <c r="P66" s="29"/>
      <c r="Q66" s="29"/>
      <c r="R66" s="29"/>
      <c r="S66" s="29"/>
      <c r="T66" s="29"/>
      <c r="U66" s="29"/>
      <c r="V66" s="29"/>
      <c r="W66" s="29"/>
      <c r="X66" s="29"/>
      <c r="Y66" s="29"/>
      <c r="Z66" s="29"/>
      <c r="AA66" s="29"/>
      <c r="AB66" s="29"/>
      <c r="AC66" s="29"/>
      <c r="AD66" s="29"/>
      <c r="AE66" s="29"/>
      <c r="AF66" s="29"/>
      <c r="AG66" s="29"/>
      <c r="AH66" s="29"/>
      <c r="AI66" s="29"/>
      <c r="AJ66" s="29"/>
      <c r="AK66" s="29"/>
      <c r="AL66" s="29"/>
      <c r="AM66" s="29"/>
      <c r="AN66" s="29"/>
      <c r="AO66" s="29"/>
      <c r="AP66" s="29"/>
      <c r="AQ66" s="29"/>
      <c r="AR66" s="29"/>
    </row>
    <row r="67" spans="1:44" ht="12.75">
      <c r="A67" s="29"/>
      <c r="B67" s="29"/>
      <c r="C67" s="29"/>
      <c r="D67" s="29"/>
      <c r="E67" s="29"/>
      <c r="F67" s="29"/>
      <c r="G67" s="29"/>
      <c r="H67" s="29"/>
      <c r="I67" s="29"/>
      <c r="J67" s="29"/>
      <c r="K67" s="29"/>
      <c r="L67" s="29"/>
      <c r="M67" s="29"/>
      <c r="N67" s="29"/>
      <c r="O67" s="29"/>
      <c r="P67" s="29"/>
      <c r="Q67" s="29"/>
      <c r="R67" s="29"/>
      <c r="S67" s="29"/>
      <c r="T67" s="29"/>
      <c r="U67" s="29"/>
      <c r="V67" s="29"/>
      <c r="W67" s="29"/>
      <c r="X67" s="29"/>
      <c r="Y67" s="29"/>
      <c r="Z67" s="29"/>
      <c r="AA67" s="29"/>
      <c r="AB67" s="29"/>
      <c r="AC67" s="29"/>
      <c r="AD67" s="29"/>
      <c r="AE67" s="29"/>
      <c r="AF67" s="29"/>
      <c r="AG67" s="29"/>
      <c r="AH67" s="29"/>
      <c r="AI67" s="29"/>
      <c r="AJ67" s="29"/>
      <c r="AK67" s="29"/>
      <c r="AL67" s="29"/>
      <c r="AM67" s="29"/>
      <c r="AN67" s="29"/>
      <c r="AO67" s="29"/>
      <c r="AP67" s="29"/>
      <c r="AQ67" s="29"/>
      <c r="AR67" s="29"/>
    </row>
    <row r="68" spans="1:44" ht="12.75">
      <c r="A68" s="29"/>
      <c r="B68" s="29"/>
      <c r="C68" s="29"/>
      <c r="D68" s="29"/>
      <c r="E68" s="29"/>
      <c r="F68" s="29"/>
      <c r="G68" s="29"/>
      <c r="H68" s="29"/>
      <c r="I68" s="29"/>
      <c r="J68" s="29"/>
      <c r="K68" s="29"/>
      <c r="L68" s="29"/>
      <c r="M68" s="29"/>
      <c r="N68" s="29"/>
      <c r="O68" s="29"/>
      <c r="P68" s="29"/>
      <c r="Q68" s="29"/>
      <c r="R68" s="29"/>
      <c r="S68" s="29"/>
      <c r="T68" s="29"/>
      <c r="U68" s="29"/>
      <c r="V68" s="29"/>
      <c r="W68" s="29"/>
      <c r="X68" s="29"/>
      <c r="Y68" s="29"/>
      <c r="Z68" s="29"/>
      <c r="AA68" s="29"/>
      <c r="AB68" s="29"/>
      <c r="AC68" s="29"/>
      <c r="AD68" s="29"/>
      <c r="AE68" s="29"/>
      <c r="AF68" s="29"/>
      <c r="AG68" s="29"/>
      <c r="AH68" s="29"/>
      <c r="AI68" s="29"/>
      <c r="AJ68" s="29"/>
      <c r="AK68" s="29"/>
      <c r="AL68" s="29"/>
      <c r="AM68" s="29"/>
      <c r="AN68" s="29"/>
      <c r="AO68" s="29"/>
      <c r="AP68" s="29"/>
      <c r="AQ68" s="29"/>
      <c r="AR68" s="29"/>
    </row>
    <row r="69" spans="1:44" ht="12.75">
      <c r="A69" s="29"/>
      <c r="B69" s="29"/>
      <c r="C69" s="29"/>
      <c r="D69" s="29"/>
      <c r="E69" s="29"/>
      <c r="F69" s="29"/>
      <c r="G69" s="29"/>
      <c r="H69" s="29"/>
      <c r="I69" s="29"/>
      <c r="J69" s="29"/>
      <c r="K69" s="29"/>
      <c r="L69" s="29"/>
      <c r="M69" s="29"/>
      <c r="N69" s="29"/>
      <c r="O69" s="29"/>
      <c r="P69" s="29"/>
      <c r="Q69" s="29"/>
      <c r="R69" s="29"/>
      <c r="S69" s="29"/>
      <c r="T69" s="29"/>
      <c r="U69" s="29"/>
      <c r="V69" s="29"/>
      <c r="W69" s="29"/>
      <c r="X69" s="29"/>
      <c r="Y69" s="29"/>
      <c r="Z69" s="29"/>
      <c r="AA69" s="29"/>
      <c r="AB69" s="29"/>
      <c r="AC69" s="29"/>
      <c r="AD69" s="29"/>
      <c r="AE69" s="29"/>
      <c r="AF69" s="29"/>
      <c r="AG69" s="29"/>
      <c r="AH69" s="29"/>
      <c r="AI69" s="29"/>
      <c r="AJ69" s="29"/>
      <c r="AK69" s="29"/>
      <c r="AL69" s="29"/>
      <c r="AM69" s="29"/>
      <c r="AN69" s="29"/>
      <c r="AO69" s="29"/>
      <c r="AP69" s="29"/>
      <c r="AQ69" s="29"/>
      <c r="AR69" s="29"/>
    </row>
    <row r="70" spans="1:44" ht="12.75">
      <c r="A70" s="29"/>
      <c r="B70" s="29"/>
      <c r="C70" s="29"/>
      <c r="D70" s="29"/>
      <c r="E70" s="29"/>
      <c r="F70" s="29"/>
      <c r="G70" s="29"/>
      <c r="H70" s="29"/>
      <c r="I70" s="29"/>
      <c r="J70" s="29"/>
      <c r="K70" s="29"/>
      <c r="L70" s="29"/>
      <c r="M70" s="29"/>
      <c r="N70" s="29"/>
      <c r="O70" s="29"/>
      <c r="P70" s="29"/>
      <c r="Q70" s="29"/>
      <c r="R70" s="29"/>
      <c r="S70" s="29"/>
      <c r="T70" s="29"/>
      <c r="U70" s="29"/>
      <c r="V70" s="29"/>
      <c r="W70" s="29"/>
      <c r="X70" s="29"/>
      <c r="Y70" s="29"/>
      <c r="Z70" s="29"/>
      <c r="AA70" s="29"/>
      <c r="AB70" s="29"/>
      <c r="AC70" s="29"/>
      <c r="AD70" s="29"/>
      <c r="AE70" s="29"/>
      <c r="AF70" s="29"/>
      <c r="AG70" s="29"/>
      <c r="AH70" s="29"/>
      <c r="AI70" s="29"/>
      <c r="AJ70" s="29"/>
      <c r="AK70" s="29"/>
      <c r="AL70" s="29"/>
      <c r="AM70" s="29"/>
      <c r="AN70" s="29"/>
      <c r="AO70" s="29"/>
      <c r="AP70" s="29"/>
      <c r="AQ70" s="29"/>
      <c r="AR70" s="29"/>
    </row>
    <row r="71" spans="1:44" ht="12.75">
      <c r="A71" s="29"/>
      <c r="B71" s="29"/>
      <c r="C71" s="29"/>
      <c r="D71" s="29"/>
      <c r="E71" s="29"/>
      <c r="F71" s="29"/>
      <c r="G71" s="29"/>
      <c r="H71" s="29"/>
      <c r="I71" s="29"/>
      <c r="J71" s="29"/>
      <c r="K71" s="29"/>
      <c r="L71" s="29"/>
      <c r="M71" s="29"/>
      <c r="N71" s="29"/>
      <c r="O71" s="29"/>
      <c r="P71" s="29"/>
      <c r="Q71" s="29"/>
      <c r="R71" s="29"/>
      <c r="S71" s="29"/>
      <c r="T71" s="29"/>
      <c r="U71" s="29"/>
      <c r="V71" s="29"/>
      <c r="W71" s="29"/>
      <c r="X71" s="29"/>
      <c r="Y71" s="29"/>
      <c r="Z71" s="29"/>
      <c r="AA71" s="29"/>
      <c r="AB71" s="29"/>
      <c r="AC71" s="29"/>
      <c r="AD71" s="29"/>
      <c r="AE71" s="29"/>
      <c r="AF71" s="29"/>
      <c r="AG71" s="29"/>
      <c r="AH71" s="29"/>
      <c r="AI71" s="29"/>
      <c r="AJ71" s="29"/>
      <c r="AK71" s="29"/>
      <c r="AL71" s="29"/>
      <c r="AM71" s="29"/>
      <c r="AN71" s="29"/>
      <c r="AO71" s="29"/>
      <c r="AP71" s="29"/>
      <c r="AQ71" s="29"/>
      <c r="AR71" s="29"/>
    </row>
    <row r="72" spans="1:44" ht="12.75">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row>
    <row r="73" spans="1:44" ht="12.75">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row>
    <row r="74" spans="1:44" ht="12.75">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row>
    <row r="75" spans="1:44" ht="12.75">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row>
    <row r="76" spans="1:44" ht="12.75">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row>
    <row r="77" spans="1:44" ht="12.75">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row>
    <row r="78" spans="1:44" ht="12.75">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row>
    <row r="79" spans="1:44" ht="12.75">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row>
    <row r="80" spans="1:44" ht="12.75">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row>
    <row r="81" spans="1:44" ht="12.75">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row>
    <row r="82" spans="1:44" ht="12.75">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row>
    <row r="83" spans="1:44" ht="12.75">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row>
    <row r="84" spans="1:44" ht="12.75">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row>
    <row r="85" spans="1:44" ht="12.75">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row>
    <row r="86" spans="1:44" ht="12.75">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row>
    <row r="87" spans="1:44" ht="12.75">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row>
    <row r="88" spans="1:44" ht="12.75">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row>
    <row r="89" spans="1:44" ht="12.75">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row>
    <row r="90" spans="1:44" ht="12.75">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row>
    <row r="91" spans="1:44" ht="12.75">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row>
    <row r="92" spans="1:44" ht="12.75">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row>
    <row r="93" spans="1:44" ht="12.75">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row>
    <row r="94" spans="1:44" ht="12.75">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row>
    <row r="95" spans="1:44" ht="12.75">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row>
    <row r="96" spans="1:44" ht="12.75">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row>
    <row r="97" spans="1:44" ht="12.75">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row>
    <row r="98" spans="1:44" ht="12.75">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row>
    <row r="99" spans="1:44" ht="12.75">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row>
    <row r="100" spans="1:44" ht="12.75">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row>
    <row r="101" spans="1:44" ht="12.75">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row>
    <row r="102" spans="1:44" ht="12.75">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row>
    <row r="103" spans="1:44" ht="12.75">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row>
    <row r="104" spans="1:44" ht="12.75">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row>
    <row r="105" spans="1:44" ht="12.75">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row>
    <row r="106" spans="1:44" ht="12.75">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row>
    <row r="107" spans="1:44" ht="12.75">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row>
    <row r="108" spans="1:44" ht="12.75">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row>
    <row r="109" spans="1:44" ht="12.75">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row>
    <row r="110" spans="1:44" ht="12.75">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row>
    <row r="111" spans="1:44" ht="12.75">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row>
    <row r="112" spans="1:44" ht="12.75">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row>
    <row r="113" spans="1:44" ht="12.75">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row>
    <row r="114" spans="2:44" ht="12.75">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row>
    <row r="115" spans="2:44" ht="12.75">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row>
  </sheetData>
  <sheetProtection password="EF65" sheet="1" objects="1" scenarios="1"/>
  <mergeCells count="161">
    <mergeCell ref="AU1:AW1"/>
    <mergeCell ref="Q59:Y60"/>
    <mergeCell ref="AO59:AP60"/>
    <mergeCell ref="AR59:AR60"/>
    <mergeCell ref="A61:AR61"/>
    <mergeCell ref="A62:AR62"/>
    <mergeCell ref="A63:AR63"/>
    <mergeCell ref="AJ51:AN51"/>
    <mergeCell ref="AO51:AR51"/>
    <mergeCell ref="A52:V52"/>
    <mergeCell ref="W52:AR52"/>
    <mergeCell ref="A53:AR53"/>
    <mergeCell ref="A54:Z57"/>
    <mergeCell ref="AB55:AN60"/>
    <mergeCell ref="AO55:AR58"/>
    <mergeCell ref="B58:P58"/>
    <mergeCell ref="C59:P59"/>
    <mergeCell ref="B51:H51"/>
    <mergeCell ref="I51:S51"/>
    <mergeCell ref="T51:V51"/>
    <mergeCell ref="Y51:AA51"/>
    <mergeCell ref="AC51:AE51"/>
    <mergeCell ref="AG51:AI51"/>
    <mergeCell ref="A48:V48"/>
    <mergeCell ref="W48:AR50"/>
    <mergeCell ref="B49:H49"/>
    <mergeCell ref="I49:S49"/>
    <mergeCell ref="T49:V49"/>
    <mergeCell ref="B50:V50"/>
    <mergeCell ref="B46:H46"/>
    <mergeCell ref="I46:S46"/>
    <mergeCell ref="T46:V46"/>
    <mergeCell ref="W46:AR46"/>
    <mergeCell ref="B47:H47"/>
    <mergeCell ref="I47:S47"/>
    <mergeCell ref="T47:V47"/>
    <mergeCell ref="X47:AF47"/>
    <mergeCell ref="AG47:AN47"/>
    <mergeCell ref="AO47:AR47"/>
    <mergeCell ref="B44:H44"/>
    <mergeCell ref="I44:S44"/>
    <mergeCell ref="T44:V44"/>
    <mergeCell ref="W44:AR44"/>
    <mergeCell ref="B45:H45"/>
    <mergeCell ref="I45:S45"/>
    <mergeCell ref="T45:V45"/>
    <mergeCell ref="W45:AR45"/>
    <mergeCell ref="B43:M43"/>
    <mergeCell ref="N43:O43"/>
    <mergeCell ref="P43:V43"/>
    <mergeCell ref="Y43:AG43"/>
    <mergeCell ref="AH43:AO43"/>
    <mergeCell ref="AP43:AR43"/>
    <mergeCell ref="B41:M41"/>
    <mergeCell ref="N41:O41"/>
    <mergeCell ref="P41:V41"/>
    <mergeCell ref="Y41:AR41"/>
    <mergeCell ref="B42:V42"/>
    <mergeCell ref="Y42:AR42"/>
    <mergeCell ref="B38:V38"/>
    <mergeCell ref="W38:AR39"/>
    <mergeCell ref="B39:M39"/>
    <mergeCell ref="N39:O39"/>
    <mergeCell ref="P39:V39"/>
    <mergeCell ref="B40:V40"/>
    <mergeCell ref="X40:AR40"/>
    <mergeCell ref="B36:H36"/>
    <mergeCell ref="I36:S36"/>
    <mergeCell ref="T36:V36"/>
    <mergeCell ref="W36:AR36"/>
    <mergeCell ref="B37:H37"/>
    <mergeCell ref="I37:S37"/>
    <mergeCell ref="T37:V37"/>
    <mergeCell ref="X37:AD37"/>
    <mergeCell ref="AE37:AN37"/>
    <mergeCell ref="AO37:AR37"/>
    <mergeCell ref="B35:H35"/>
    <mergeCell ref="I35:S35"/>
    <mergeCell ref="T35:V35"/>
    <mergeCell ref="X35:AD35"/>
    <mergeCell ref="AE35:AN35"/>
    <mergeCell ref="AO35:AR35"/>
    <mergeCell ref="A31:V31"/>
    <mergeCell ref="W31:AR31"/>
    <mergeCell ref="A32:V33"/>
    <mergeCell ref="W32:AR33"/>
    <mergeCell ref="B34:H34"/>
    <mergeCell ref="I34:S34"/>
    <mergeCell ref="T34:V34"/>
    <mergeCell ref="W34:AR34"/>
    <mergeCell ref="A28:E29"/>
    <mergeCell ref="F28:P28"/>
    <mergeCell ref="R28:AB28"/>
    <mergeCell ref="AC28:AR30"/>
    <mergeCell ref="F29:P29"/>
    <mergeCell ref="R29:AB29"/>
    <mergeCell ref="A30:AB30"/>
    <mergeCell ref="B25:AB25"/>
    <mergeCell ref="AC25:AR26"/>
    <mergeCell ref="N26:O26"/>
    <mergeCell ref="P27:S27"/>
    <mergeCell ref="AC27:AJ27"/>
    <mergeCell ref="AL27:AM27"/>
    <mergeCell ref="AO27:AR27"/>
    <mergeCell ref="P24:S24"/>
    <mergeCell ref="U24:W24"/>
    <mergeCell ref="Y24:AB24"/>
    <mergeCell ref="AC24:AJ24"/>
    <mergeCell ref="AL24:AM24"/>
    <mergeCell ref="AO24:AR24"/>
    <mergeCell ref="A20:AR20"/>
    <mergeCell ref="A21:AB21"/>
    <mergeCell ref="AC21:AR21"/>
    <mergeCell ref="B22:AB22"/>
    <mergeCell ref="AC22:AR23"/>
    <mergeCell ref="N23:O23"/>
    <mergeCell ref="P23:S23"/>
    <mergeCell ref="T23:W23"/>
    <mergeCell ref="X23:AB23"/>
    <mergeCell ref="B17:D17"/>
    <mergeCell ref="F17:J17"/>
    <mergeCell ref="K17:AE17"/>
    <mergeCell ref="AG17:AR17"/>
    <mergeCell ref="A18:AR18"/>
    <mergeCell ref="A19:AR19"/>
    <mergeCell ref="A15:F15"/>
    <mergeCell ref="H15:AI15"/>
    <mergeCell ref="AK15:AR15"/>
    <mergeCell ref="A16:J16"/>
    <mergeCell ref="K16:AE16"/>
    <mergeCell ref="AG16:AR16"/>
    <mergeCell ref="A13:W13"/>
    <mergeCell ref="Y13:AF13"/>
    <mergeCell ref="AH13:AR13"/>
    <mergeCell ref="A14:F14"/>
    <mergeCell ref="H14:AI14"/>
    <mergeCell ref="AK14:AR14"/>
    <mergeCell ref="A11:W11"/>
    <mergeCell ref="Y11:AL11"/>
    <mergeCell ref="AN11:AR11"/>
    <mergeCell ref="A12:W12"/>
    <mergeCell ref="Y12:AF12"/>
    <mergeCell ref="AH12:AR12"/>
    <mergeCell ref="A7:S7"/>
    <mergeCell ref="T7:V7"/>
    <mergeCell ref="X7:Y7"/>
    <mergeCell ref="A8:AR8"/>
    <mergeCell ref="A9:AR9"/>
    <mergeCell ref="A10:W10"/>
    <mergeCell ref="Y10:AL10"/>
    <mergeCell ref="AN10:AR10"/>
    <mergeCell ref="T1:AA1"/>
    <mergeCell ref="AF1:AR7"/>
    <mergeCell ref="T2:AA2"/>
    <mergeCell ref="T3:AA3"/>
    <mergeCell ref="T4:AA4"/>
    <mergeCell ref="A5:R6"/>
    <mergeCell ref="U5:Z5"/>
    <mergeCell ref="U6:Z6"/>
    <mergeCell ref="A1:P4"/>
    <mergeCell ref="Q3:S4"/>
  </mergeCells>
  <printOptions horizontalCentered="1" verticalCentered="1"/>
  <pageMargins left="0.275590551181102" right="0.275590551181102" top="0.31496062992126" bottom="0" header="0.511811023622047" footer="0"/>
  <pageSetup orientation="portrait" paperSize="9" scale="82" r:id="rId4"/>
  <headerFooter alignWithMargins="0"/>
  <drawing r:id="rId2"/>
  <legacyDrawing r:id="rId3"/>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A00-000000000000}">
  <sheetPr codeName="List27">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2267" t="s">
        <v>3904</v>
      </c>
      <c r="B1" s="753"/>
      <c r="C1" s="753"/>
      <c r="D1" s="753"/>
      <c r="E1" s="753"/>
      <c r="F1" s="30"/>
      <c r="G1" s="30"/>
    </row>
    <row r="2" spans="1:7" ht="18" customHeight="1">
      <c r="A2" s="2268" t="s">
        <v>3905</v>
      </c>
      <c r="B2" s="2268"/>
      <c r="C2" s="2268"/>
      <c r="D2" s="2268"/>
      <c r="E2" s="2268"/>
      <c r="F2" s="30"/>
      <c r="G2" s="30"/>
    </row>
    <row r="3" spans="1:7" ht="18" customHeight="1">
      <c r="A3" s="303" t="s">
        <v>3653</v>
      </c>
      <c r="B3" s="2269" t="str">
        <f>+CONCATENATE(ZAKL_DATA!B5," ",ZAKL_DATA!B4," ",ZAKL_DATA!B7)</f>
        <v xml:space="preserve">  </v>
      </c>
      <c r="C3" s="1284"/>
      <c r="D3" s="1284"/>
      <c r="E3" s="1284"/>
      <c r="G3" s="30"/>
    </row>
    <row r="4" spans="1:7" ht="18" customHeight="1">
      <c r="A4" s="2270"/>
      <c r="B4" s="1247"/>
      <c r="C4" s="1247"/>
      <c r="D4" s="1247"/>
      <c r="E4" s="1247"/>
      <c r="G4" s="30"/>
    </row>
    <row r="5" spans="1:7" ht="18" customHeight="1">
      <c r="A5" s="303" t="s">
        <v>3654</v>
      </c>
      <c r="B5" s="304">
        <f>+'DAP3'!D28</f>
        <v>0</v>
      </c>
      <c r="C5" s="2270"/>
      <c r="D5" s="2270"/>
      <c r="E5" s="2270"/>
      <c r="F5" s="30"/>
      <c r="G5" s="30"/>
    </row>
    <row r="6" spans="1:7" ht="18" customHeight="1" thickBot="1">
      <c r="A6" s="2271"/>
      <c r="B6" s="1263"/>
      <c r="C6" s="1263"/>
      <c r="D6" s="1263"/>
      <c r="E6" s="1263"/>
      <c r="F6" s="30"/>
      <c r="G6" s="30"/>
    </row>
    <row r="7" spans="1:7" ht="18" customHeight="1">
      <c r="A7" s="305" t="s">
        <v>356</v>
      </c>
      <c r="B7" s="306" t="s">
        <v>357</v>
      </c>
      <c r="C7" s="306" t="s">
        <v>218</v>
      </c>
      <c r="D7" s="327" t="s">
        <v>219</v>
      </c>
      <c r="E7" s="307" t="s">
        <v>358</v>
      </c>
      <c r="F7" s="31"/>
      <c r="G7" s="30"/>
    </row>
    <row r="8" spans="1:7" ht="18" customHeight="1" thickBot="1">
      <c r="A8" s="308"/>
      <c r="B8" s="309" t="s">
        <v>359</v>
      </c>
      <c r="C8" s="309" t="s">
        <v>360</v>
      </c>
      <c r="D8" s="328" t="s">
        <v>360</v>
      </c>
      <c r="E8" s="310" t="s">
        <v>360</v>
      </c>
      <c r="F8" s="30"/>
      <c r="G8" s="30"/>
    </row>
    <row r="9" spans="1:7" ht="18" customHeight="1">
      <c r="A9" s="311">
        <v>43190</v>
      </c>
      <c r="B9" s="312">
        <f>+'DAP3'!D50</f>
        <v>0</v>
      </c>
      <c r="C9" s="312">
        <v>0</v>
      </c>
      <c r="D9" s="321">
        <v>0</v>
      </c>
      <c r="E9" s="313">
        <v>0</v>
      </c>
      <c r="G9" s="30"/>
    </row>
    <row r="10" spans="1:7" ht="30.75" customHeight="1">
      <c r="A10" s="314" t="s">
        <v>284</v>
      </c>
      <c r="B10" s="312">
        <v>0</v>
      </c>
      <c r="C10" s="312">
        <f>+'SP1'!H71</f>
        <v>24732</v>
      </c>
      <c r="D10" s="312">
        <v>0</v>
      </c>
      <c r="E10" s="313">
        <f>IF(OR(EXACT(+VZP!AW3,"X"),EXACT(VZP!AW3,"x"),EXACT('Ostatní ZP'!AW3,"X"),EXACT('Ostatní ZP'!AW3,"x")),-'Ostatní ZP'!AE37,-VZP!AE37)</f>
        <v>0</v>
      </c>
      <c r="G10" s="30"/>
    </row>
    <row r="11" spans="1:7" ht="18" customHeight="1">
      <c r="A11" s="311">
        <f>8+A9</f>
        <v>43198</v>
      </c>
      <c r="B11" s="312">
        <v>0</v>
      </c>
      <c r="C11" s="312">
        <v>0</v>
      </c>
      <c r="D11" s="321">
        <v>0</v>
      </c>
      <c r="E11" s="313">
        <f>IF(OR(EXACT(+VZP!AW3,"X"),EXACT(VZP!AW3,"x"),EXACT('Ostatní ZP'!AW3,"X"),EXACT('Ostatní ZP'!AW3,"x")),'Ostatní ZP'!AJ51,VZP!AJ51)</f>
        <v>2024</v>
      </c>
      <c r="G11" s="30"/>
    </row>
    <row r="12" spans="1:7" ht="18" customHeight="1">
      <c r="A12" s="311">
        <f>+A11+12</f>
        <v>43210</v>
      </c>
      <c r="B12" s="312">
        <v>0</v>
      </c>
      <c r="C12" s="312">
        <f>+'SP2'!M33</f>
        <v>2189</v>
      </c>
      <c r="D12" s="321">
        <f>+'SP2'!M35</f>
        <v>173</v>
      </c>
      <c r="E12" s="313">
        <v>0</v>
      </c>
      <c r="G12" s="30"/>
    </row>
    <row r="13" spans="1:7" ht="18" customHeight="1">
      <c r="A13" s="311">
        <f>22+A11</f>
        <v>43220</v>
      </c>
      <c r="B13" s="312">
        <v>0</v>
      </c>
      <c r="C13" s="312">
        <v>0</v>
      </c>
      <c r="D13" s="312">
        <v>0</v>
      </c>
      <c r="E13" s="313">
        <v>0</v>
      </c>
      <c r="G13" s="30"/>
    </row>
    <row r="14" spans="1:7" ht="18" customHeight="1">
      <c r="A14" s="311">
        <f>+A13+8</f>
        <v>43228</v>
      </c>
      <c r="B14" s="312">
        <v>0</v>
      </c>
      <c r="C14" s="312">
        <v>0</v>
      </c>
      <c r="D14" s="312">
        <v>0</v>
      </c>
      <c r="E14" s="313">
        <f>E11</f>
        <v>2024</v>
      </c>
      <c r="G14" s="30"/>
    </row>
    <row r="15" spans="1:7" ht="18" customHeight="1">
      <c r="A15" s="311">
        <f>12+A14</f>
        <v>43240</v>
      </c>
      <c r="B15" s="312">
        <v>0</v>
      </c>
      <c r="C15" s="312">
        <f>+C12</f>
        <v>2189</v>
      </c>
      <c r="D15" s="312">
        <f>+D12</f>
        <v>173</v>
      </c>
      <c r="E15" s="313">
        <v>0</v>
      </c>
      <c r="G15" s="30"/>
    </row>
    <row r="16" spans="1:7" ht="18" customHeight="1">
      <c r="A16" s="311">
        <f>31+A14</f>
        <v>43259</v>
      </c>
      <c r="B16" s="312">
        <v>0</v>
      </c>
      <c r="C16" s="312">
        <v>0</v>
      </c>
      <c r="D16" s="312">
        <v>0</v>
      </c>
      <c r="E16" s="313">
        <f>E14</f>
        <v>2024</v>
      </c>
      <c r="G16" s="30"/>
    </row>
    <row r="17" spans="1:5" ht="18" customHeight="1">
      <c r="A17" s="311">
        <f>8+A16-1</f>
        <v>43266</v>
      </c>
      <c r="B17" s="312">
        <f>CEILING(+A104*(IF($B$5&gt;150000,$B$5/4,0)+IF($B$5&gt;30000,$B$5*0.4,0)*IF($B$5&lt;150000,1,0)),100)</f>
        <v>0</v>
      </c>
      <c r="C17" s="312">
        <v>0</v>
      </c>
      <c r="D17" s="312">
        <v>0</v>
      </c>
      <c r="E17" s="313">
        <v>0</v>
      </c>
    </row>
    <row r="18" spans="1:5" ht="18" customHeight="1">
      <c r="A18" s="311">
        <f>5+A17</f>
        <v>43271</v>
      </c>
      <c r="B18" s="312">
        <v>0</v>
      </c>
      <c r="C18" s="312">
        <f>+C15</f>
        <v>2189</v>
      </c>
      <c r="D18" s="312">
        <f>+D15</f>
        <v>173</v>
      </c>
      <c r="E18" s="313">
        <v>0</v>
      </c>
    </row>
    <row r="19" spans="1:5" ht="18" customHeight="1">
      <c r="A19" s="311">
        <f>23+A17</f>
        <v>43289</v>
      </c>
      <c r="B19" s="312">
        <v>0</v>
      </c>
      <c r="C19" s="312">
        <v>0</v>
      </c>
      <c r="D19" s="312">
        <v>0</v>
      </c>
      <c r="E19" s="313">
        <f>E16</f>
        <v>2024</v>
      </c>
    </row>
    <row r="20" spans="1:5" ht="18" customHeight="1">
      <c r="A20" s="311">
        <f>12+A19</f>
        <v>43301</v>
      </c>
      <c r="B20" s="312">
        <v>0</v>
      </c>
      <c r="C20" s="312">
        <f>+C18</f>
        <v>2189</v>
      </c>
      <c r="D20" s="312">
        <f>+D18</f>
        <v>173</v>
      </c>
      <c r="E20" s="313">
        <v>0</v>
      </c>
    </row>
    <row r="21" spans="1:5" ht="19.5" customHeight="1">
      <c r="A21" s="311">
        <f>31+A19</f>
        <v>43320</v>
      </c>
      <c r="B21" s="312">
        <v>0</v>
      </c>
      <c r="C21" s="312">
        <v>0</v>
      </c>
      <c r="D21" s="312">
        <v>0</v>
      </c>
      <c r="E21" s="313">
        <f>E19</f>
        <v>2024</v>
      </c>
    </row>
    <row r="22" spans="1:5" ht="19.5" customHeight="1">
      <c r="A22" s="311">
        <f>12+A21</f>
        <v>43332</v>
      </c>
      <c r="B22" s="312">
        <v>0</v>
      </c>
      <c r="C22" s="312">
        <f>+C20</f>
        <v>2189</v>
      </c>
      <c r="D22" s="312">
        <f>+D20</f>
        <v>173</v>
      </c>
      <c r="E22" s="313">
        <v>0</v>
      </c>
    </row>
    <row r="23" spans="1:5" ht="18" customHeight="1">
      <c r="A23" s="311">
        <f>31+A21</f>
        <v>43351</v>
      </c>
      <c r="B23" s="312">
        <v>0</v>
      </c>
      <c r="C23" s="312">
        <v>0</v>
      </c>
      <c r="D23" s="312">
        <v>0</v>
      </c>
      <c r="E23" s="313">
        <f>E21</f>
        <v>2024</v>
      </c>
    </row>
    <row r="24" spans="1:5" ht="18" customHeight="1">
      <c r="A24" s="311">
        <f>7+A23</f>
        <v>43358</v>
      </c>
      <c r="B24" s="312">
        <f>CEILING(+A104*(IF($B$5&gt;150000,$B$5/4,0)),100)</f>
        <v>0</v>
      </c>
      <c r="C24" s="312">
        <v>0</v>
      </c>
      <c r="D24" s="312">
        <v>0</v>
      </c>
      <c r="E24" s="313">
        <v>0</v>
      </c>
    </row>
    <row r="25" spans="1:5" ht="18" customHeight="1">
      <c r="A25" s="311">
        <f>5+A24</f>
        <v>43363</v>
      </c>
      <c r="B25" s="312">
        <v>0</v>
      </c>
      <c r="C25" s="312">
        <f>+C22</f>
        <v>2189</v>
      </c>
      <c r="D25" s="312">
        <f>+D22</f>
        <v>173</v>
      </c>
      <c r="E25" s="313">
        <v>0</v>
      </c>
    </row>
    <row r="26" spans="1:5" ht="18" customHeight="1">
      <c r="A26" s="311">
        <f>23+A24</f>
        <v>43381</v>
      </c>
      <c r="B26" s="312">
        <v>0</v>
      </c>
      <c r="C26" s="312">
        <v>0</v>
      </c>
      <c r="D26" s="312">
        <v>0</v>
      </c>
      <c r="E26" s="313">
        <f>E23</f>
        <v>2024</v>
      </c>
    </row>
    <row r="27" spans="1:5" ht="18" customHeight="1">
      <c r="A27" s="311">
        <f>12+A26</f>
        <v>43393</v>
      </c>
      <c r="B27" s="312">
        <v>0</v>
      </c>
      <c r="C27" s="312">
        <f>+C25</f>
        <v>2189</v>
      </c>
      <c r="D27" s="312">
        <f>+D25</f>
        <v>173</v>
      </c>
      <c r="E27" s="313">
        <v>0</v>
      </c>
    </row>
    <row r="28" spans="1:5" ht="18" customHeight="1">
      <c r="A28" s="311">
        <f>31+A26</f>
        <v>43412</v>
      </c>
      <c r="B28" s="312">
        <v>0</v>
      </c>
      <c r="C28" s="312">
        <v>0</v>
      </c>
      <c r="D28" s="312">
        <v>0</v>
      </c>
      <c r="E28" s="313">
        <f>E26</f>
        <v>2024</v>
      </c>
    </row>
    <row r="29" spans="1:5" ht="18" customHeight="1">
      <c r="A29" s="311">
        <f>12+A28</f>
        <v>43424</v>
      </c>
      <c r="B29" s="312">
        <v>0</v>
      </c>
      <c r="C29" s="312">
        <f>+C27</f>
        <v>2189</v>
      </c>
      <c r="D29" s="312">
        <f>+D27</f>
        <v>173</v>
      </c>
      <c r="E29" s="313">
        <v>0</v>
      </c>
    </row>
    <row r="30" spans="1:5" ht="18" customHeight="1">
      <c r="A30" s="311">
        <f>30+A28</f>
        <v>43442</v>
      </c>
      <c r="B30" s="312">
        <v>0</v>
      </c>
      <c r="C30" s="312">
        <v>0</v>
      </c>
      <c r="D30" s="312">
        <v>0</v>
      </c>
      <c r="E30" s="313">
        <f>E28</f>
        <v>2024</v>
      </c>
    </row>
    <row r="31" spans="1:5" ht="18" customHeight="1">
      <c r="A31" s="311">
        <f>22+A30+1-16</f>
        <v>43449</v>
      </c>
      <c r="B31" s="312">
        <f>CEILING(+A104*(IF($B$5&gt;150000,$B$5/4,0)+IF($B$5&gt;30000,$B$5*0.4,0)*IF($B$5&lt;150000,1,0)),100)</f>
        <v>0</v>
      </c>
      <c r="C31" s="312">
        <v>0</v>
      </c>
      <c r="D31" s="312">
        <v>0</v>
      </c>
      <c r="E31" s="313">
        <v>0</v>
      </c>
    </row>
    <row r="32" spans="1:5" ht="18" customHeight="1">
      <c r="A32" s="311">
        <f>5+A31</f>
        <v>43454</v>
      </c>
      <c r="B32" s="312">
        <v>0</v>
      </c>
      <c r="C32" s="312">
        <f>+C29</f>
        <v>2189</v>
      </c>
      <c r="D32" s="312">
        <f>+D29</f>
        <v>173</v>
      </c>
      <c r="E32" s="313">
        <v>0</v>
      </c>
    </row>
    <row r="33" spans="1:5" ht="18" customHeight="1">
      <c r="A33" s="315">
        <f>24+A31</f>
        <v>43473</v>
      </c>
      <c r="B33" s="316">
        <v>0</v>
      </c>
      <c r="C33" s="312">
        <v>0</v>
      </c>
      <c r="D33" s="312">
        <v>0</v>
      </c>
      <c r="E33" s="313">
        <f>E30</f>
        <v>2024</v>
      </c>
    </row>
    <row r="34" spans="1:5" ht="18" customHeight="1">
      <c r="A34" s="311">
        <f>12+A33</f>
        <v>43485</v>
      </c>
      <c r="B34" s="316">
        <v>0</v>
      </c>
      <c r="C34" s="312">
        <f>+C32</f>
        <v>2189</v>
      </c>
      <c r="D34" s="312">
        <f>+D32</f>
        <v>173</v>
      </c>
      <c r="E34" s="313">
        <v>0</v>
      </c>
    </row>
    <row r="35" spans="1:5" ht="18" customHeight="1">
      <c r="A35" s="315">
        <f>31+A33</f>
        <v>43504</v>
      </c>
      <c r="B35" s="316">
        <v>0</v>
      </c>
      <c r="C35" s="312">
        <v>0</v>
      </c>
      <c r="D35" s="312">
        <v>0</v>
      </c>
      <c r="E35" s="313">
        <f>E33</f>
        <v>2024</v>
      </c>
    </row>
    <row r="36" spans="1:5" ht="18" customHeight="1">
      <c r="A36" s="311">
        <f>12+A35</f>
        <v>43516</v>
      </c>
      <c r="B36" s="316">
        <v>0</v>
      </c>
      <c r="C36" s="312">
        <f>+C34</f>
        <v>2189</v>
      </c>
      <c r="D36" s="312">
        <f>+D34</f>
        <v>173</v>
      </c>
      <c r="E36" s="313">
        <v>0</v>
      </c>
    </row>
    <row r="37" spans="1:5" ht="18" customHeight="1">
      <c r="A37" s="315">
        <f>28+A35</f>
        <v>43532</v>
      </c>
      <c r="B37" s="316">
        <v>0</v>
      </c>
      <c r="C37" s="312">
        <v>0</v>
      </c>
      <c r="D37" s="312">
        <v>0</v>
      </c>
      <c r="E37" s="313">
        <f>E35</f>
        <v>2024</v>
      </c>
    </row>
    <row r="38" spans="1:5" ht="18" customHeight="1">
      <c r="A38" s="317">
        <f>7+A37</f>
        <v>43539</v>
      </c>
      <c r="B38" s="318">
        <f>CEILING(+A104*(IF($B$5&gt;150000,$B$5/4,0)),100)</f>
        <v>0</v>
      </c>
      <c r="C38" s="318">
        <v>0</v>
      </c>
      <c r="D38" s="318">
        <v>0</v>
      </c>
      <c r="E38" s="319">
        <v>0</v>
      </c>
    </row>
    <row r="39" spans="1:5" ht="18" customHeight="1" thickBot="1">
      <c r="A39" s="320">
        <f>5+A38</f>
        <v>43544</v>
      </c>
      <c r="B39" s="246">
        <v>0</v>
      </c>
      <c r="C39" s="246">
        <f>+C36</f>
        <v>2189</v>
      </c>
      <c r="D39" s="246">
        <f>+D36</f>
        <v>173</v>
      </c>
      <c r="E39" s="247">
        <v>0</v>
      </c>
    </row>
    <row r="40" spans="1:5" ht="17.25" customHeight="1">
      <c r="A40" s="2263" t="s">
        <v>144</v>
      </c>
      <c r="B40" s="2264"/>
      <c r="C40" s="2264"/>
      <c r="D40" s="2264"/>
      <c r="E40" s="2264"/>
    </row>
    <row r="41" spans="1:5" ht="18" customHeight="1">
      <c r="A41" s="2265" t="str">
        <f>+'DAP1'!A46</f>
        <v>Formulář zpracovala ASPEKT HM, daňová, účetní a auditorská kancelář, www.danovapriznani.cz, business.center.cz</v>
      </c>
      <c r="B41" s="2266"/>
      <c r="C41" s="2266"/>
      <c r="D41" s="2266"/>
      <c r="E41" s="2266"/>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f>+IF('DAP2'!E11&lt;0.5*'DAP2'!E18,+IF('DAP2'!E11/'DAP2'!E18&gt;0.15,0.5,1),0)</f>
        <v>0</v>
      </c>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0:E40"/>
    <mergeCell ref="A41:E41"/>
    <mergeCell ref="A1:E1"/>
    <mergeCell ref="A2:E2"/>
    <mergeCell ref="B3:E3"/>
    <mergeCell ref="A4:E4"/>
    <mergeCell ref="C5:E5"/>
    <mergeCell ref="A6:E6"/>
  </mergeCells>
  <printOptions horizontalCentered="1"/>
  <pageMargins left="0.393700787401575" right="0.393700787401575" top="0.590551181102362" bottom="0.393700787401575" header="0.511811023622047" footer="0.511811023622047"/>
  <pageSetup orientation="portrait" paperSize="9" scale="94" r:id="rId1"/>
  <headerFooter alignWithMargins="0"/>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B00-000000000000}">
  <sheetPr codeName="List28">
    <pageSetUpPr fitToPage="1"/>
  </sheetPr>
  <dimension ref="A1:G112"/>
  <sheetViews>
    <sheetView workbookViewId="0" topLeftCell="A1">
      <selection pane="topLeft" activeCell="B5" sqref="B5"/>
    </sheetView>
  </sheetViews>
  <sheetFormatPr defaultColWidth="9.14428571428571" defaultRowHeight="12.75"/>
  <cols>
    <col min="1" max="1" width="24" style="4" customWidth="1"/>
    <col min="2" max="5" width="18.7142857142857" style="4" customWidth="1"/>
    <col min="6" max="6" width="11.4285714285714" style="28" bestFit="1" customWidth="1"/>
    <col min="7" max="28" width="9.14285714285714" style="28"/>
    <col min="29" max="16384" width="9.14285714285714" style="4"/>
  </cols>
  <sheetData>
    <row r="1" spans="1:7" ht="18" customHeight="1">
      <c r="A1" s="2267" t="str">
        <f>+Zálohy!A1</f>
        <v>Platební kalendář daňových povinností 2018 - 2019</v>
      </c>
      <c r="B1" s="753"/>
      <c r="C1" s="753"/>
      <c r="D1" s="753"/>
      <c r="E1" s="753"/>
      <c r="F1" s="30"/>
      <c r="G1" s="30"/>
    </row>
    <row r="2" spans="1:7" ht="18" customHeight="1">
      <c r="A2" s="2268" t="s">
        <v>3906</v>
      </c>
      <c r="B2" s="2268"/>
      <c r="C2" s="2268"/>
      <c r="D2" s="2268"/>
      <c r="E2" s="2268"/>
      <c r="F2" s="30"/>
      <c r="G2" s="30"/>
    </row>
    <row r="3" spans="1:7" ht="18" customHeight="1">
      <c r="A3" s="303" t="s">
        <v>3653</v>
      </c>
      <c r="B3" s="2269" t="str">
        <f>+Zálohy!B3</f>
        <v xml:space="preserve">  </v>
      </c>
      <c r="C3" s="1284"/>
      <c r="D3" s="1284"/>
      <c r="E3" s="1284"/>
      <c r="G3" s="30"/>
    </row>
    <row r="4" spans="1:7" ht="18" customHeight="1">
      <c r="A4" s="2270"/>
      <c r="B4" s="1247"/>
      <c r="C4" s="1247"/>
      <c r="D4" s="1247"/>
      <c r="E4" s="1247"/>
      <c r="G4" s="30"/>
    </row>
    <row r="5" spans="1:7" ht="18" customHeight="1">
      <c r="A5" s="303" t="s">
        <v>3654</v>
      </c>
      <c r="B5" s="304">
        <f>+Zálohy!B5</f>
        <v>0</v>
      </c>
      <c r="C5" s="2270"/>
      <c r="D5" s="2270"/>
      <c r="E5" s="2270"/>
      <c r="F5" s="30"/>
      <c r="G5" s="30"/>
    </row>
    <row r="6" spans="1:7" ht="18" customHeight="1" thickBot="1">
      <c r="A6" s="2271"/>
      <c r="B6" s="1263"/>
      <c r="C6" s="1263"/>
      <c r="D6" s="1263"/>
      <c r="E6" s="1263"/>
      <c r="F6" s="30"/>
      <c r="G6" s="30"/>
    </row>
    <row r="7" spans="1:7" ht="18" customHeight="1">
      <c r="A7" s="305" t="s">
        <v>356</v>
      </c>
      <c r="B7" s="306" t="s">
        <v>357</v>
      </c>
      <c r="C7" s="306" t="s">
        <v>218</v>
      </c>
      <c r="D7" s="327" t="s">
        <v>219</v>
      </c>
      <c r="E7" s="307" t="s">
        <v>358</v>
      </c>
      <c r="F7" s="31"/>
      <c r="G7" s="30"/>
    </row>
    <row r="8" spans="1:7" ht="18" customHeight="1" thickBot="1">
      <c r="A8" s="308"/>
      <c r="B8" s="309" t="s">
        <v>359</v>
      </c>
      <c r="C8" s="309" t="s">
        <v>360</v>
      </c>
      <c r="D8" s="328" t="s">
        <v>360</v>
      </c>
      <c r="E8" s="310" t="s">
        <v>360</v>
      </c>
      <c r="F8" s="30"/>
      <c r="G8" s="30"/>
    </row>
    <row r="9" spans="1:7" ht="18" customHeight="1">
      <c r="A9" s="311">
        <v>43281</v>
      </c>
      <c r="B9" s="312">
        <f>+Zálohy!B9</f>
        <v>0</v>
      </c>
      <c r="C9" s="312">
        <v>0</v>
      </c>
      <c r="D9" s="312">
        <f>+Zálohy!D9</f>
        <v>0</v>
      </c>
      <c r="E9" s="313">
        <v>0</v>
      </c>
      <c r="G9" s="30"/>
    </row>
    <row r="10" spans="1:7" ht="30.75" customHeight="1">
      <c r="A10" s="314" t="s">
        <v>284</v>
      </c>
      <c r="B10" s="312">
        <v>0</v>
      </c>
      <c r="C10" s="312">
        <f>+Zálohy!C10</f>
        <v>24732</v>
      </c>
      <c r="D10" s="312">
        <f>+Zálohy!D10</f>
        <v>0</v>
      </c>
      <c r="E10" s="313">
        <f>IF(OR(EXACT(+VZP!AW3,"X"),EXACT(VZP!AW3,"x"),EXACT('Ostatní ZP'!AW3,"X"),EXACT('Ostatní ZP'!AW3,"x")),-'Ostatní ZP'!AE37,-VZP!AE37)</f>
        <v>0</v>
      </c>
      <c r="G10" s="30"/>
    </row>
    <row r="11" spans="1:7" ht="18" customHeight="1">
      <c r="A11" s="311">
        <f>8+A9</f>
        <v>43289</v>
      </c>
      <c r="B11" s="312">
        <v>0</v>
      </c>
      <c r="C11" s="312">
        <v>0</v>
      </c>
      <c r="D11" s="312">
        <f>+Zálohy!D11</f>
        <v>0</v>
      </c>
      <c r="E11" s="313">
        <f>IF(OR(EXACT(+VZP!AW3,"X"),EXACT(VZP!AW3,"x"),EXACT('Ostatní ZP'!AW3,"X"),EXACT('Ostatní ZP'!AW3,"x")),'Ostatní ZP'!AJ51,VZP!AJ51)</f>
        <v>2024</v>
      </c>
      <c r="G11" s="30"/>
    </row>
    <row r="12" spans="1:7" ht="18" customHeight="1">
      <c r="A12" s="311">
        <f>12+A11</f>
        <v>43301</v>
      </c>
      <c r="B12" s="312">
        <v>0</v>
      </c>
      <c r="C12" s="312">
        <f>+Zálohy!C12</f>
        <v>2189</v>
      </c>
      <c r="D12" s="312">
        <f>+Zálohy!D12</f>
        <v>173</v>
      </c>
      <c r="E12" s="313">
        <v>0</v>
      </c>
      <c r="G12" s="30"/>
    </row>
    <row r="13" spans="1:7" ht="18" customHeight="1">
      <c r="A13" s="311">
        <f>23+A11</f>
        <v>43312</v>
      </c>
      <c r="B13" s="312">
        <v>0</v>
      </c>
      <c r="C13" s="312">
        <v>0</v>
      </c>
      <c r="D13" s="312">
        <f>+Zálohy!D13</f>
        <v>0</v>
      </c>
      <c r="E13" s="313">
        <v>0</v>
      </c>
      <c r="G13" s="30"/>
    </row>
    <row r="14" spans="1:7" ht="18" customHeight="1">
      <c r="A14" s="311">
        <f>+A13+8</f>
        <v>43320</v>
      </c>
      <c r="B14" s="312">
        <v>0</v>
      </c>
      <c r="C14" s="312">
        <v>0</v>
      </c>
      <c r="D14" s="312">
        <f>+Zálohy!D14</f>
        <v>0</v>
      </c>
      <c r="E14" s="313">
        <f>E11</f>
        <v>2024</v>
      </c>
      <c r="G14" s="30"/>
    </row>
    <row r="15" spans="1:7" ht="18" customHeight="1">
      <c r="A15" s="311">
        <f>12+A14</f>
        <v>43332</v>
      </c>
      <c r="B15" s="312">
        <v>0</v>
      </c>
      <c r="C15" s="312">
        <f>+Zálohy!C15</f>
        <v>2189</v>
      </c>
      <c r="D15" s="312">
        <f>+Zálohy!D15</f>
        <v>173</v>
      </c>
      <c r="E15" s="313">
        <v>0</v>
      </c>
      <c r="G15" s="30"/>
    </row>
    <row r="16" spans="1:7" ht="18" customHeight="1">
      <c r="A16" s="311">
        <f>31+A14</f>
        <v>43351</v>
      </c>
      <c r="B16" s="312">
        <v>0</v>
      </c>
      <c r="C16" s="312">
        <v>0</v>
      </c>
      <c r="D16" s="312">
        <f>+Zálohy!D16</f>
        <v>0</v>
      </c>
      <c r="E16" s="313">
        <f>E14</f>
        <v>2024</v>
      </c>
      <c r="G16" s="30"/>
    </row>
    <row r="17" spans="1:5" ht="18" customHeight="1">
      <c r="A17" s="311">
        <f>8+A16-1</f>
        <v>43358</v>
      </c>
      <c r="B17" s="312">
        <f>+Zálohy!B24</f>
        <v>0</v>
      </c>
      <c r="C17" s="312">
        <v>0</v>
      </c>
      <c r="D17" s="312">
        <f>+Zálohy!D17</f>
        <v>0</v>
      </c>
      <c r="E17" s="313">
        <v>0</v>
      </c>
    </row>
    <row r="18" spans="1:5" ht="18" customHeight="1">
      <c r="A18" s="311">
        <f>5+A17</f>
        <v>43363</v>
      </c>
      <c r="B18" s="312">
        <v>0</v>
      </c>
      <c r="C18" s="312">
        <f>+Zálohy!C18</f>
        <v>2189</v>
      </c>
      <c r="D18" s="312">
        <f>+Zálohy!D18</f>
        <v>173</v>
      </c>
      <c r="E18" s="313">
        <v>0</v>
      </c>
    </row>
    <row r="19" spans="1:5" ht="18" customHeight="1">
      <c r="A19" s="311">
        <f>23+A17</f>
        <v>43381</v>
      </c>
      <c r="B19" s="312">
        <v>0</v>
      </c>
      <c r="C19" s="312">
        <v>0</v>
      </c>
      <c r="D19" s="312">
        <f>+Zálohy!D19</f>
        <v>0</v>
      </c>
      <c r="E19" s="313">
        <f>E16</f>
        <v>2024</v>
      </c>
    </row>
    <row r="20" spans="1:5" ht="18" customHeight="1">
      <c r="A20" s="311">
        <f>12+A19</f>
        <v>43393</v>
      </c>
      <c r="B20" s="312">
        <v>0</v>
      </c>
      <c r="C20" s="312">
        <f>+Zálohy!C20</f>
        <v>2189</v>
      </c>
      <c r="D20" s="312">
        <f>+Zálohy!D20</f>
        <v>173</v>
      </c>
      <c r="E20" s="313">
        <v>0</v>
      </c>
    </row>
    <row r="21" spans="1:5" ht="19.5" customHeight="1">
      <c r="A21" s="311">
        <f>31+A19</f>
        <v>43412</v>
      </c>
      <c r="B21" s="312">
        <v>0</v>
      </c>
      <c r="C21" s="312">
        <v>0</v>
      </c>
      <c r="D21" s="312">
        <f>+Zálohy!D21</f>
        <v>0</v>
      </c>
      <c r="E21" s="313">
        <f>E19</f>
        <v>2024</v>
      </c>
    </row>
    <row r="22" spans="1:5" ht="19.5" customHeight="1">
      <c r="A22" s="311">
        <f>12+A21</f>
        <v>43424</v>
      </c>
      <c r="B22" s="312">
        <v>0</v>
      </c>
      <c r="C22" s="312">
        <f>+Zálohy!C22</f>
        <v>2189</v>
      </c>
      <c r="D22" s="312">
        <f>+Zálohy!D22</f>
        <v>173</v>
      </c>
      <c r="E22" s="313">
        <v>0</v>
      </c>
    </row>
    <row r="23" spans="1:5" ht="18" customHeight="1">
      <c r="A23" s="311">
        <f>30+A21</f>
        <v>43442</v>
      </c>
      <c r="B23" s="312">
        <v>0</v>
      </c>
      <c r="C23" s="312">
        <v>0</v>
      </c>
      <c r="D23" s="312">
        <f>+Zálohy!D23</f>
        <v>0</v>
      </c>
      <c r="E23" s="313">
        <f>E21</f>
        <v>2024</v>
      </c>
    </row>
    <row r="24" spans="1:5" ht="18" customHeight="1">
      <c r="A24" s="311">
        <f>7+A23</f>
        <v>43449</v>
      </c>
      <c r="B24" s="312">
        <f>+Zálohy!B31</f>
        <v>0</v>
      </c>
      <c r="C24" s="312">
        <v>0</v>
      </c>
      <c r="D24" s="312">
        <f>+Zálohy!D24</f>
        <v>0</v>
      </c>
      <c r="E24" s="313">
        <v>0</v>
      </c>
    </row>
    <row r="25" spans="1:5" ht="18" customHeight="1">
      <c r="A25" s="311">
        <f>5+A24</f>
        <v>43454</v>
      </c>
      <c r="B25" s="312">
        <v>0</v>
      </c>
      <c r="C25" s="312">
        <f>+Zálohy!C25</f>
        <v>2189</v>
      </c>
      <c r="D25" s="312">
        <f>+Zálohy!D25</f>
        <v>173</v>
      </c>
      <c r="E25" s="313">
        <v>0</v>
      </c>
    </row>
    <row r="26" spans="1:5" ht="18" customHeight="1">
      <c r="A26" s="311">
        <f>24+A24</f>
        <v>43473</v>
      </c>
      <c r="B26" s="312">
        <v>0</v>
      </c>
      <c r="C26" s="312">
        <v>0</v>
      </c>
      <c r="D26" s="312">
        <f>+Zálohy!D26</f>
        <v>0</v>
      </c>
      <c r="E26" s="313">
        <f>E23</f>
        <v>2024</v>
      </c>
    </row>
    <row r="27" spans="1:5" ht="18" customHeight="1">
      <c r="A27" s="311">
        <f>12+A26</f>
        <v>43485</v>
      </c>
      <c r="B27" s="312">
        <v>0</v>
      </c>
      <c r="C27" s="312">
        <f>+Zálohy!C27</f>
        <v>2189</v>
      </c>
      <c r="D27" s="312">
        <f>+Zálohy!D27</f>
        <v>173</v>
      </c>
      <c r="E27" s="313">
        <v>0</v>
      </c>
    </row>
    <row r="28" spans="1:5" ht="18" customHeight="1">
      <c r="A28" s="311">
        <f>31+A26</f>
        <v>43504</v>
      </c>
      <c r="B28" s="312">
        <v>0</v>
      </c>
      <c r="C28" s="312">
        <v>0</v>
      </c>
      <c r="D28" s="312">
        <f>+Zálohy!D28</f>
        <v>0</v>
      </c>
      <c r="E28" s="313">
        <f>E26</f>
        <v>2024</v>
      </c>
    </row>
    <row r="29" spans="1:5" ht="18" customHeight="1">
      <c r="A29" s="311">
        <f>12+A28</f>
        <v>43516</v>
      </c>
      <c r="B29" s="312">
        <v>0</v>
      </c>
      <c r="C29" s="312">
        <f>+Zálohy!C29</f>
        <v>2189</v>
      </c>
      <c r="D29" s="312">
        <f>+Zálohy!D29</f>
        <v>173</v>
      </c>
      <c r="E29" s="313">
        <v>0</v>
      </c>
    </row>
    <row r="30" spans="1:5" ht="18" customHeight="1">
      <c r="A30" s="311">
        <f>28+A28</f>
        <v>43532</v>
      </c>
      <c r="B30" s="312">
        <v>0</v>
      </c>
      <c r="C30" s="312">
        <v>0</v>
      </c>
      <c r="D30" s="312">
        <f>+Zálohy!D30</f>
        <v>0</v>
      </c>
      <c r="E30" s="313">
        <f>E28</f>
        <v>2024</v>
      </c>
    </row>
    <row r="31" spans="1:5" ht="18" customHeight="1">
      <c r="A31" s="311">
        <f>22+A30+1-16</f>
        <v>43539</v>
      </c>
      <c r="B31" s="312">
        <f>+B17</f>
        <v>0</v>
      </c>
      <c r="C31" s="312">
        <v>0</v>
      </c>
      <c r="D31" s="312">
        <f>+Zálohy!D31</f>
        <v>0</v>
      </c>
      <c r="E31" s="313">
        <v>0</v>
      </c>
    </row>
    <row r="32" spans="1:5" ht="18" customHeight="1">
      <c r="A32" s="311">
        <f>5+A31</f>
        <v>43544</v>
      </c>
      <c r="B32" s="312">
        <v>0</v>
      </c>
      <c r="C32" s="312">
        <f>+Zálohy!C32</f>
        <v>2189</v>
      </c>
      <c r="D32" s="312">
        <f>+Zálohy!D32</f>
        <v>173</v>
      </c>
      <c r="E32" s="313">
        <v>0</v>
      </c>
    </row>
    <row r="33" spans="1:5" ht="18" customHeight="1">
      <c r="A33" s="315">
        <f>24+A31</f>
        <v>43563</v>
      </c>
      <c r="B33" s="316">
        <v>0</v>
      </c>
      <c r="C33" s="312">
        <v>0</v>
      </c>
      <c r="D33" s="312">
        <f>+Zálohy!D33</f>
        <v>0</v>
      </c>
      <c r="E33" s="313">
        <f>E30</f>
        <v>2024</v>
      </c>
    </row>
    <row r="34" spans="1:5" ht="18" customHeight="1">
      <c r="A34" s="311">
        <f>12+A33</f>
        <v>43575</v>
      </c>
      <c r="B34" s="316">
        <v>0</v>
      </c>
      <c r="C34" s="312">
        <f>+Zálohy!C34</f>
        <v>2189</v>
      </c>
      <c r="D34" s="312">
        <f>+Zálohy!D34</f>
        <v>173</v>
      </c>
      <c r="E34" s="313">
        <v>0</v>
      </c>
    </row>
    <row r="35" spans="1:5" ht="18" customHeight="1">
      <c r="A35" s="315">
        <f>30+A33</f>
        <v>43593</v>
      </c>
      <c r="B35" s="316">
        <v>0</v>
      </c>
      <c r="C35" s="312">
        <v>0</v>
      </c>
      <c r="D35" s="312">
        <f>+Zálohy!D35</f>
        <v>0</v>
      </c>
      <c r="E35" s="313">
        <f>E33</f>
        <v>2024</v>
      </c>
    </row>
    <row r="36" spans="1:5" ht="18" customHeight="1">
      <c r="A36" s="311">
        <f>12+A35</f>
        <v>43605</v>
      </c>
      <c r="B36" s="316">
        <v>0</v>
      </c>
      <c r="C36" s="312">
        <f>+Zálohy!C36</f>
        <v>2189</v>
      </c>
      <c r="D36" s="312">
        <f>+Zálohy!D36</f>
        <v>173</v>
      </c>
      <c r="E36" s="313">
        <v>0</v>
      </c>
    </row>
    <row r="37" spans="1:5" ht="18" customHeight="1">
      <c r="A37" s="315">
        <f>31+A35</f>
        <v>43624</v>
      </c>
      <c r="B37" s="316">
        <v>0</v>
      </c>
      <c r="C37" s="312">
        <v>0</v>
      </c>
      <c r="D37" s="312">
        <f>+Zálohy!D37</f>
        <v>0</v>
      </c>
      <c r="E37" s="313">
        <f>E35</f>
        <v>2024</v>
      </c>
    </row>
    <row r="38" spans="1:5" ht="18" customHeight="1">
      <c r="A38" s="315">
        <f>7+A37</f>
        <v>43631</v>
      </c>
      <c r="B38" s="312">
        <f>+B24</f>
        <v>0</v>
      </c>
      <c r="C38" s="312">
        <v>0</v>
      </c>
      <c r="D38" s="312">
        <f>+Zálohy!D38</f>
        <v>0</v>
      </c>
      <c r="E38" s="313">
        <v>0</v>
      </c>
    </row>
    <row r="39" spans="1:5" ht="18" customHeight="1" thickBot="1">
      <c r="A39" s="320">
        <f>5+A38</f>
        <v>43636</v>
      </c>
      <c r="B39" s="246">
        <v>0</v>
      </c>
      <c r="C39" s="246">
        <f>+C36</f>
        <v>2189</v>
      </c>
      <c r="D39" s="246">
        <f>+Zálohy!D39</f>
        <v>173</v>
      </c>
      <c r="E39" s="247">
        <v>0</v>
      </c>
    </row>
    <row r="40" spans="1:5" ht="14.25" customHeight="1">
      <c r="A40" s="2263" t="s">
        <v>144</v>
      </c>
      <c r="B40" s="2264"/>
      <c r="C40" s="2264"/>
      <c r="D40" s="2264"/>
      <c r="E40" s="2264"/>
    </row>
    <row r="41" spans="1:5" ht="18" customHeight="1">
      <c r="A41" s="2265" t="str">
        <f>+Zálohy!A41</f>
        <v>Formulář zpracovala ASPEKT HM, daňová, účetní a auditorská kancelář, www.danovapriznani.cz, business.center.cz</v>
      </c>
      <c r="B41" s="2266"/>
      <c r="C41" s="2266"/>
      <c r="D41" s="2266"/>
      <c r="E41" s="2266"/>
    </row>
    <row r="42" spans="1:5" ht="12.75">
      <c r="A42" s="32"/>
      <c r="B42" s="28"/>
      <c r="C42" s="28"/>
      <c r="D42" s="28"/>
      <c r="E42" s="28"/>
    </row>
    <row r="43" spans="1:5" ht="12.75">
      <c r="A43" s="32"/>
      <c r="B43" s="28"/>
      <c r="C43" s="28"/>
      <c r="D43" s="28"/>
      <c r="E43" s="28"/>
    </row>
    <row r="44" spans="1:5" ht="12.75">
      <c r="A44" s="32"/>
      <c r="B44" s="28"/>
      <c r="C44" s="28"/>
      <c r="D44" s="28"/>
      <c r="E44" s="28"/>
    </row>
    <row r="45" spans="1:5" ht="12.75">
      <c r="A45" s="28"/>
      <c r="B45" s="28"/>
      <c r="C45" s="28"/>
      <c r="D45" s="28"/>
      <c r="E45" s="28"/>
    </row>
    <row r="46" spans="1:5" ht="12.75">
      <c r="A46" s="28"/>
      <c r="B46" s="28"/>
      <c r="C46" s="28"/>
      <c r="D46" s="28"/>
      <c r="E46" s="28"/>
    </row>
    <row r="47" spans="1:5" ht="12.75">
      <c r="A47" s="28"/>
      <c r="B47" s="28"/>
      <c r="C47" s="28"/>
      <c r="D47" s="28"/>
      <c r="E47" s="28"/>
    </row>
    <row r="48" spans="1:5" ht="12.75">
      <c r="A48" s="28"/>
      <c r="B48" s="28"/>
      <c r="C48" s="28"/>
      <c r="D48" s="28"/>
      <c r="E48" s="28"/>
    </row>
    <row r="49" spans="1:5" ht="12.75">
      <c r="A49" s="28"/>
      <c r="B49" s="28"/>
      <c r="C49" s="28"/>
      <c r="D49" s="28"/>
      <c r="E49" s="28"/>
    </row>
    <row r="50" spans="1:5" ht="12.75">
      <c r="A50" s="28"/>
      <c r="B50" s="28"/>
      <c r="C50" s="28"/>
      <c r="D50" s="28"/>
      <c r="E50" s="28"/>
    </row>
    <row r="51" spans="1:5" ht="12.75">
      <c r="A51" s="28"/>
      <c r="B51" s="28"/>
      <c r="C51" s="28"/>
      <c r="D51" s="28"/>
      <c r="E51" s="28"/>
    </row>
    <row r="52" spans="1:5" ht="12.75">
      <c r="A52" s="28"/>
      <c r="B52" s="28"/>
      <c r="C52" s="28"/>
      <c r="D52" s="28"/>
      <c r="E52" s="28"/>
    </row>
    <row r="53" spans="1:5" ht="12.75">
      <c r="A53" s="28"/>
      <c r="B53" s="28"/>
      <c r="C53" s="28"/>
      <c r="D53" s="28"/>
      <c r="E53" s="28"/>
    </row>
    <row r="54" spans="1:5" ht="12.75">
      <c r="A54" s="28"/>
      <c r="B54" s="28"/>
      <c r="C54" s="28"/>
      <c r="D54" s="28"/>
      <c r="E54" s="28"/>
    </row>
    <row r="55" spans="1:5" ht="12.75">
      <c r="A55" s="28"/>
      <c r="B55" s="28"/>
      <c r="C55" s="28"/>
      <c r="D55" s="28"/>
      <c r="E55" s="28"/>
    </row>
    <row r="56" spans="1:5" ht="12.75">
      <c r="A56" s="28"/>
      <c r="B56" s="28"/>
      <c r="C56" s="28"/>
      <c r="D56" s="28"/>
      <c r="E56" s="28"/>
    </row>
    <row r="57" spans="1:5" ht="12.75">
      <c r="A57" s="28"/>
      <c r="B57" s="28"/>
      <c r="C57" s="28"/>
      <c r="D57" s="28"/>
      <c r="E57" s="28"/>
    </row>
    <row r="58" spans="1:5" ht="12.75">
      <c r="A58" s="28"/>
      <c r="B58" s="28"/>
      <c r="C58" s="28"/>
      <c r="D58" s="28"/>
      <c r="E58" s="28"/>
    </row>
    <row r="59" spans="1:5" ht="12.75">
      <c r="A59" s="28"/>
      <c r="B59" s="28"/>
      <c r="C59" s="28"/>
      <c r="D59" s="28"/>
      <c r="E59" s="28"/>
    </row>
    <row r="60" spans="1:5" ht="12.75">
      <c r="A60" s="28"/>
      <c r="B60" s="28"/>
      <c r="C60" s="28"/>
      <c r="D60" s="28"/>
      <c r="E60" s="28"/>
    </row>
    <row r="61" spans="1:5" ht="12.75">
      <c r="A61" s="28"/>
      <c r="B61" s="28"/>
      <c r="C61" s="28"/>
      <c r="D61" s="28"/>
      <c r="E61" s="28"/>
    </row>
    <row r="62" spans="1:5" ht="12.75">
      <c r="A62" s="28"/>
      <c r="B62" s="28"/>
      <c r="C62" s="28"/>
      <c r="D62" s="28"/>
      <c r="E62" s="28"/>
    </row>
    <row r="63" spans="1:5" ht="12.75">
      <c r="A63" s="28"/>
      <c r="B63" s="28"/>
      <c r="C63" s="28"/>
      <c r="D63" s="28"/>
      <c r="E63" s="28"/>
    </row>
    <row r="64" spans="1:5" ht="12.75">
      <c r="A64" s="28"/>
      <c r="B64" s="28"/>
      <c r="C64" s="28"/>
      <c r="D64" s="28"/>
      <c r="E64" s="28"/>
    </row>
    <row r="65" spans="1:5" ht="12.75">
      <c r="A65" s="28"/>
      <c r="B65" s="28"/>
      <c r="C65" s="28"/>
      <c r="D65" s="28"/>
      <c r="E65" s="28"/>
    </row>
    <row r="66" spans="1:5" ht="12.75">
      <c r="A66" s="28"/>
      <c r="B66" s="28"/>
      <c r="C66" s="28"/>
      <c r="D66" s="28"/>
      <c r="E66" s="28"/>
    </row>
    <row r="67" spans="1:5" ht="12.75">
      <c r="A67" s="28"/>
      <c r="B67" s="28"/>
      <c r="C67" s="28"/>
      <c r="D67" s="28"/>
      <c r="E67" s="28"/>
    </row>
    <row r="68" spans="1:5" ht="12.75">
      <c r="A68" s="28"/>
      <c r="B68" s="28"/>
      <c r="C68" s="28"/>
      <c r="D68" s="28"/>
      <c r="E68" s="28"/>
    </row>
    <row r="69" spans="1:5" ht="12.75">
      <c r="A69" s="28"/>
      <c r="B69" s="28"/>
      <c r="C69" s="28"/>
      <c r="D69" s="28"/>
      <c r="E69" s="28"/>
    </row>
    <row r="70" spans="1:5" ht="12.75">
      <c r="A70" s="28"/>
      <c r="B70" s="28"/>
      <c r="C70" s="28"/>
      <c r="D70" s="28"/>
      <c r="E70" s="28"/>
    </row>
    <row r="71" spans="1:5" ht="12.75">
      <c r="A71" s="28"/>
      <c r="B71" s="28"/>
      <c r="C71" s="28"/>
      <c r="D71" s="28"/>
      <c r="E71" s="28"/>
    </row>
    <row r="72" spans="1:5" ht="12.75">
      <c r="A72" s="28"/>
      <c r="B72" s="28"/>
      <c r="C72" s="28"/>
      <c r="D72" s="28"/>
      <c r="E72" s="28"/>
    </row>
    <row r="73" spans="1:5" ht="12.75">
      <c r="A73" s="28"/>
      <c r="B73" s="28"/>
      <c r="C73" s="28"/>
      <c r="D73" s="28"/>
      <c r="E73" s="28"/>
    </row>
    <row r="74" spans="1:5" ht="12.75">
      <c r="A74" s="28"/>
      <c r="B74" s="28"/>
      <c r="C74" s="28"/>
      <c r="D74" s="28"/>
      <c r="E74" s="28"/>
    </row>
    <row r="75" spans="1:5" ht="12.75">
      <c r="A75" s="28"/>
      <c r="B75" s="28"/>
      <c r="C75" s="28"/>
      <c r="D75" s="28"/>
      <c r="E75" s="28"/>
    </row>
    <row r="76" spans="1:5" ht="12.75">
      <c r="A76" s="28"/>
      <c r="B76" s="28"/>
      <c r="C76" s="28"/>
      <c r="D76" s="28"/>
      <c r="E76" s="28"/>
    </row>
    <row r="77" spans="1:5" ht="12.75">
      <c r="A77" s="28"/>
      <c r="B77" s="28"/>
      <c r="C77" s="28"/>
      <c r="D77" s="28"/>
      <c r="E77" s="28"/>
    </row>
    <row r="78" spans="1:5" ht="12.75">
      <c r="A78" s="28"/>
      <c r="B78" s="28"/>
      <c r="C78" s="28"/>
      <c r="D78" s="28"/>
      <c r="E78" s="28"/>
    </row>
    <row r="79" spans="1:5" ht="12.75">
      <c r="A79" s="28"/>
      <c r="B79" s="28"/>
      <c r="C79" s="28"/>
      <c r="D79" s="28"/>
      <c r="E79" s="28"/>
    </row>
    <row r="80" spans="1:5" ht="12.75">
      <c r="A80" s="28"/>
      <c r="B80" s="28"/>
      <c r="C80" s="28"/>
      <c r="D80" s="28"/>
      <c r="E80" s="28"/>
    </row>
    <row r="81" spans="1:5" ht="12.75">
      <c r="A81" s="28"/>
      <c r="B81" s="28"/>
      <c r="C81" s="28"/>
      <c r="D81" s="28"/>
      <c r="E81" s="28"/>
    </row>
    <row r="82" spans="1:5" ht="12.75">
      <c r="A82" s="28"/>
      <c r="B82" s="28"/>
      <c r="C82" s="28"/>
      <c r="D82" s="28"/>
      <c r="E82" s="28"/>
    </row>
    <row r="83" spans="1:5" ht="12.75">
      <c r="A83" s="28"/>
      <c r="B83" s="28"/>
      <c r="C83" s="28"/>
      <c r="D83" s="28"/>
      <c r="E83" s="28"/>
    </row>
    <row r="84" spans="1:5" ht="12.75">
      <c r="A84" s="28"/>
      <c r="B84" s="28"/>
      <c r="C84" s="28"/>
      <c r="D84" s="28"/>
      <c r="E84" s="28"/>
    </row>
    <row r="85" spans="1:5" ht="12.75">
      <c r="A85" s="28"/>
      <c r="B85" s="28"/>
      <c r="C85" s="28"/>
      <c r="D85" s="28"/>
      <c r="E85" s="28"/>
    </row>
    <row r="86" spans="1:5" ht="12.75">
      <c r="A86" s="28"/>
      <c r="B86" s="28"/>
      <c r="C86" s="28"/>
      <c r="D86" s="28"/>
      <c r="E86" s="28"/>
    </row>
    <row r="87" spans="1:5" ht="12.75">
      <c r="A87" s="28"/>
      <c r="B87" s="28"/>
      <c r="C87" s="28"/>
      <c r="D87" s="28"/>
      <c r="E87" s="28"/>
    </row>
    <row r="88" spans="1:5" ht="12.75">
      <c r="A88" s="28"/>
      <c r="B88" s="28"/>
      <c r="C88" s="28"/>
      <c r="D88" s="28"/>
      <c r="E88" s="28"/>
    </row>
    <row r="89" spans="1:5" ht="12.75">
      <c r="A89" s="28"/>
      <c r="B89" s="28"/>
      <c r="C89" s="28"/>
      <c r="D89" s="28"/>
      <c r="E89" s="28"/>
    </row>
    <row r="90" spans="1:5" ht="12.75">
      <c r="A90" s="28"/>
      <c r="B90" s="28"/>
      <c r="C90" s="28"/>
      <c r="D90" s="28"/>
      <c r="E90" s="28"/>
    </row>
    <row r="91" spans="1:5" ht="12.75">
      <c r="A91" s="28"/>
      <c r="B91" s="28"/>
      <c r="C91" s="28"/>
      <c r="D91" s="28"/>
      <c r="E91" s="28"/>
    </row>
    <row r="92" spans="1:5" ht="12.75">
      <c r="A92" s="28"/>
      <c r="B92" s="28"/>
      <c r="C92" s="28"/>
      <c r="D92" s="28"/>
      <c r="E92" s="28"/>
    </row>
    <row r="93" spans="1:5" ht="12.75">
      <c r="A93" s="28"/>
      <c r="B93" s="28"/>
      <c r="C93" s="28"/>
      <c r="D93" s="28"/>
      <c r="E93" s="28"/>
    </row>
    <row r="94" spans="1:5" ht="12.75">
      <c r="A94" s="28"/>
      <c r="B94" s="28"/>
      <c r="C94" s="28"/>
      <c r="D94" s="28"/>
      <c r="E94" s="28"/>
    </row>
    <row r="95" spans="1:5" ht="12.75">
      <c r="A95" s="28"/>
      <c r="B95" s="28"/>
      <c r="C95" s="28"/>
      <c r="D95" s="28"/>
      <c r="E95" s="28"/>
    </row>
    <row r="96" spans="1:5" ht="12.75">
      <c r="A96" s="28"/>
      <c r="B96" s="28"/>
      <c r="C96" s="28"/>
      <c r="D96" s="28"/>
      <c r="E96" s="28"/>
    </row>
    <row r="97" spans="1:5" ht="12.75">
      <c r="A97" s="28"/>
      <c r="B97" s="28"/>
      <c r="C97" s="28"/>
      <c r="D97" s="28"/>
      <c r="E97" s="28"/>
    </row>
    <row r="98" spans="1:5" ht="12.75">
      <c r="A98" s="28"/>
      <c r="B98" s="28"/>
      <c r="C98" s="28"/>
      <c r="D98" s="28"/>
      <c r="E98" s="28"/>
    </row>
    <row r="99" spans="1:5" ht="12.75">
      <c r="A99" s="28"/>
      <c r="B99" s="28"/>
      <c r="C99" s="28"/>
      <c r="D99" s="28"/>
      <c r="E99" s="28"/>
    </row>
    <row r="100" spans="1:5" ht="12.75">
      <c r="A100" s="28"/>
      <c r="B100" s="28"/>
      <c r="C100" s="28"/>
      <c r="D100" s="28"/>
      <c r="E100" s="28"/>
    </row>
    <row r="101" spans="1:5" ht="12.75">
      <c r="A101" s="28"/>
      <c r="B101" s="28"/>
      <c r="C101" s="28"/>
      <c r="D101" s="28"/>
      <c r="E101" s="28"/>
    </row>
    <row r="102" spans="1:5" ht="12.75">
      <c r="A102" s="28"/>
      <c r="B102" s="28"/>
      <c r="C102" s="28"/>
      <c r="D102" s="28"/>
      <c r="E102" s="28"/>
    </row>
    <row r="103" spans="1:5" ht="12.75">
      <c r="A103" s="28"/>
      <c r="B103" s="28"/>
      <c r="C103" s="28"/>
      <c r="D103" s="28"/>
      <c r="E103" s="28"/>
    </row>
    <row r="104" spans="1:5" ht="12.75">
      <c r="A104" s="28"/>
      <c r="B104" s="28"/>
      <c r="C104" s="28"/>
      <c r="D104" s="28"/>
      <c r="E104" s="28"/>
    </row>
    <row r="105" spans="1:5" ht="12.75">
      <c r="A105" s="28"/>
      <c r="B105" s="28"/>
      <c r="C105" s="28"/>
      <c r="D105" s="28"/>
      <c r="E105" s="28"/>
    </row>
    <row r="106" spans="1:5" ht="12.75">
      <c r="A106" s="28"/>
      <c r="B106" s="28"/>
      <c r="C106" s="28"/>
      <c r="D106" s="28"/>
      <c r="E106" s="28"/>
    </row>
    <row r="107" spans="1:5" ht="12.75">
      <c r="A107" s="28"/>
      <c r="B107" s="28"/>
      <c r="C107" s="28"/>
      <c r="D107" s="28"/>
      <c r="E107" s="28"/>
    </row>
    <row r="108" spans="1:5" ht="12.75">
      <c r="A108" s="28"/>
      <c r="B108" s="28"/>
      <c r="C108" s="28"/>
      <c r="D108" s="28"/>
      <c r="E108" s="28"/>
    </row>
    <row r="109" spans="1:5" ht="12.75">
      <c r="A109" s="28"/>
      <c r="B109" s="28"/>
      <c r="C109" s="28"/>
      <c r="D109" s="28"/>
      <c r="E109" s="28"/>
    </row>
    <row r="110" spans="1:5" ht="12.75">
      <c r="A110" s="28"/>
      <c r="B110" s="28"/>
      <c r="C110" s="28"/>
      <c r="D110" s="28"/>
      <c r="E110" s="28"/>
    </row>
    <row r="111" spans="1:5" ht="12.75">
      <c r="A111" s="28"/>
      <c r="B111" s="28"/>
      <c r="C111" s="28"/>
      <c r="D111" s="28"/>
      <c r="E111" s="28"/>
    </row>
    <row r="112" spans="1:5" ht="12.75">
      <c r="A112" s="28"/>
      <c r="B112" s="28"/>
      <c r="C112" s="28"/>
      <c r="D112" s="28"/>
      <c r="E112" s="28"/>
    </row>
    <row r="113" s="28" customFormat="1" ht="12.75"/>
    <row r="114" s="28" customFormat="1" ht="12.75"/>
    <row r="115" s="28" customFormat="1" ht="12.75"/>
    <row r="116" s="28" customFormat="1" ht="12.75"/>
    <row r="117" s="28" customFormat="1" ht="12.75"/>
    <row r="118" s="28" customFormat="1" ht="12.75"/>
    <row r="119" s="28" customFormat="1" ht="12.75"/>
    <row r="120" s="28" customFormat="1" ht="12.75"/>
    <row r="121" s="28" customFormat="1" ht="12.75"/>
    <row r="122" s="28" customFormat="1" ht="12.75"/>
    <row r="123" s="28" customFormat="1" ht="12.75"/>
    <row r="124" s="28" customFormat="1" ht="12.75"/>
    <row r="125" s="28" customFormat="1" ht="12.75"/>
    <row r="126" s="28" customFormat="1" ht="12.75"/>
    <row r="127" s="28" customFormat="1" ht="12.75"/>
    <row r="128" s="28" customFormat="1" ht="12.75"/>
    <row r="129" s="28" customFormat="1" ht="12.75"/>
    <row r="130" s="28" customFormat="1" ht="12.75"/>
    <row r="131" s="28" customFormat="1" ht="12.75"/>
    <row r="132" s="28" customFormat="1" ht="12.75"/>
    <row r="133" s="28" customFormat="1" ht="12.75"/>
    <row r="134" s="28" customFormat="1" ht="12.75"/>
    <row r="135" s="28" customFormat="1" ht="12.75"/>
    <row r="136" s="28" customFormat="1" ht="12.75"/>
    <row r="137" s="28" customFormat="1" ht="12.75"/>
    <row r="138" s="28" customFormat="1" ht="12.75"/>
    <row r="139" s="28" customFormat="1" ht="12.75"/>
    <row r="140" s="28" customFormat="1" ht="12.75"/>
    <row r="141" s="28" customFormat="1" ht="12.75"/>
    <row r="142" s="28" customFormat="1" ht="12.75"/>
    <row r="143" s="28" customFormat="1" ht="12.75"/>
    <row r="144" s="28" customFormat="1" ht="12.75"/>
    <row r="145" s="28" customFormat="1" ht="12.75"/>
    <row r="146" s="28" customFormat="1" ht="12.75"/>
    <row r="147" s="28" customFormat="1" ht="12.75"/>
    <row r="148" s="28" customFormat="1" ht="12.75"/>
    <row r="149" s="28" customFormat="1" ht="12.75"/>
    <row r="150" s="28" customFormat="1" ht="12.75"/>
    <row r="151" s="28" customFormat="1" ht="12.75"/>
    <row r="152" s="28" customFormat="1" ht="12.75"/>
    <row r="153" s="28" customFormat="1" ht="12.75"/>
    <row r="154" s="28" customFormat="1" ht="12.75"/>
    <row r="155" s="28" customFormat="1" ht="12.75"/>
    <row r="156" s="28" customFormat="1" ht="12.75"/>
    <row r="157" s="28" customFormat="1" ht="12.75"/>
    <row r="158" s="28" customFormat="1" ht="12.75"/>
    <row r="159" s="28" customFormat="1" ht="12.75"/>
    <row r="160" s="28" customFormat="1" ht="12.75"/>
    <row r="161" s="28" customFormat="1" ht="12.75"/>
    <row r="162" s="28" customFormat="1" ht="12.75"/>
    <row r="163" s="28" customFormat="1" ht="12.75"/>
    <row r="164" s="28" customFormat="1" ht="12.75"/>
    <row r="165" s="28" customFormat="1" ht="12.75"/>
    <row r="166" s="28" customFormat="1" ht="12.75"/>
    <row r="167" s="28" customFormat="1" ht="12.75"/>
    <row r="168" s="28" customFormat="1" ht="12.75"/>
    <row r="169" s="28" customFormat="1" ht="12.75"/>
    <row r="170" s="28" customFormat="1" ht="12.75"/>
    <row r="171" s="28" customFormat="1" ht="12.75"/>
    <row r="172" s="28" customFormat="1" ht="12.75"/>
    <row r="173" s="28" customFormat="1" ht="12.75"/>
    <row r="174" s="28" customFormat="1" ht="12.75"/>
  </sheetData>
  <sheetProtection password="EF65" sheet="1" objects="1" scenarios="1"/>
  <mergeCells count="8">
    <mergeCell ref="A41:E41"/>
    <mergeCell ref="C5:E5"/>
    <mergeCell ref="A6:E6"/>
    <mergeCell ref="A1:E1"/>
    <mergeCell ref="A2:E2"/>
    <mergeCell ref="B3:E3"/>
    <mergeCell ref="A4:E4"/>
    <mergeCell ref="A40:E40"/>
  </mergeCells>
  <printOptions horizontalCentered="1"/>
  <pageMargins left="0.393700787401575" right="0.393700787401575" top="0.590551181102362" bottom="0.393700787401575" header="0.511811023622047" footer="0.511811023622047"/>
  <pageSetup horizontalDpi="300" verticalDpi="300" orientation="portrait" paperSize="9" scale="92" r:id="rId1"/>
  <headerFooter alignWithMargins="0"/>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CCFF"/>
    <pageSetUpPr fitToPage="1"/>
  </sheetPr>
  <dimension ref="A1:Q552"/>
  <sheetViews>
    <sheetView workbookViewId="0" topLeftCell="A1">
      <selection pane="topLeft" activeCell="B3" sqref="B3"/>
    </sheetView>
  </sheetViews>
  <sheetFormatPr defaultColWidth="9.14428571428571" defaultRowHeight="12.75"/>
  <cols>
    <col min="1" max="1" width="6.71428571428571" style="539" customWidth="1"/>
    <col min="2" max="2" width="36.5714285714286" style="539" customWidth="1"/>
    <col min="3" max="3" width="6.85714285714286" style="539" customWidth="1"/>
    <col min="4" max="7" width="9.14285714285714" style="539"/>
    <col min="8" max="8" width="6.71428571428571" style="539" customWidth="1"/>
    <col min="9" max="9" width="36.5714285714286" style="540" customWidth="1"/>
    <col min="10" max="10" width="6.85714285714286" style="540" customWidth="1"/>
    <col min="11" max="12" width="9.14285714285714" style="540"/>
    <col min="13" max="13" width="6.71428571428571" style="540" customWidth="1"/>
    <col min="14" max="17" width="9.14285714285714" style="465"/>
    <col min="18" max="59" width="9.14285714285714" style="536"/>
    <col min="60" max="16384" width="9.14285714285714" style="539"/>
  </cols>
  <sheetData>
    <row r="1" spans="1:13" ht="18">
      <c r="A1" s="461" t="s">
        <v>3537</v>
      </c>
      <c r="B1" s="462" t="s">
        <v>3655</v>
      </c>
      <c r="C1" s="463"/>
      <c r="D1" s="463"/>
      <c r="E1" s="463"/>
      <c r="F1" s="463"/>
      <c r="G1" s="463"/>
      <c r="H1" s="463"/>
      <c r="I1" s="463"/>
      <c r="J1" s="463"/>
      <c r="K1" s="463"/>
      <c r="L1" s="463"/>
      <c r="M1" s="464"/>
    </row>
    <row r="2" spans="1:13" ht="18">
      <c r="A2" s="466" t="s">
        <v>3538</v>
      </c>
      <c r="B2" s="462" t="s">
        <v>3907</v>
      </c>
      <c r="C2" s="463"/>
      <c r="D2" s="463"/>
      <c r="E2" s="463"/>
      <c r="F2" s="463"/>
      <c r="G2" s="463"/>
      <c r="H2" s="463"/>
      <c r="I2" s="463"/>
      <c r="J2" s="463"/>
      <c r="K2" s="463"/>
      <c r="L2" s="463"/>
      <c r="M2" s="464"/>
    </row>
    <row r="3" spans="1:13" ht="12.75">
      <c r="A3" s="466" t="s">
        <v>3538</v>
      </c>
      <c r="B3" s="467" t="s">
        <v>3656</v>
      </c>
      <c r="C3" s="466"/>
      <c r="D3" s="466"/>
      <c r="E3" s="466"/>
      <c r="F3" s="466"/>
      <c r="G3" s="466"/>
      <c r="H3" s="466"/>
      <c r="I3" s="464"/>
      <c r="J3" s="464"/>
      <c r="K3" s="464"/>
      <c r="L3" s="464"/>
      <c r="M3" s="464"/>
    </row>
    <row r="4" spans="1:13" ht="12.75">
      <c r="A4" s="466" t="s">
        <v>3538</v>
      </c>
      <c r="B4" s="468" t="s">
        <v>3657</v>
      </c>
      <c r="C4" s="466"/>
      <c r="D4" s="466"/>
      <c r="E4" s="466"/>
      <c r="F4" s="466"/>
      <c r="G4" s="466"/>
      <c r="H4" s="466"/>
      <c r="I4" s="464"/>
      <c r="J4" s="464"/>
      <c r="K4" s="464"/>
      <c r="L4" s="464"/>
      <c r="M4" s="464"/>
    </row>
    <row r="5" spans="1:13" ht="12.75">
      <c r="A5" s="466" t="s">
        <v>3538</v>
      </c>
      <c r="B5" s="468" t="s">
        <v>3659</v>
      </c>
      <c r="C5" s="466"/>
      <c r="D5" s="466"/>
      <c r="E5" s="466"/>
      <c r="F5" s="466"/>
      <c r="G5" s="466"/>
      <c r="H5" s="466"/>
      <c r="I5" s="464"/>
      <c r="J5" s="464"/>
      <c r="K5" s="464"/>
      <c r="L5" s="464"/>
      <c r="M5" s="464"/>
    </row>
    <row r="6" spans="1:13" ht="13.5" thickBot="1">
      <c r="A6" s="466" t="s">
        <v>3538</v>
      </c>
      <c r="B6" s="466"/>
      <c r="C6" s="466"/>
      <c r="D6" s="466"/>
      <c r="E6" s="466"/>
      <c r="F6" s="466"/>
      <c r="G6" s="466"/>
      <c r="H6" s="466"/>
      <c r="I6" s="464"/>
      <c r="J6" s="464"/>
      <c r="K6" s="464"/>
      <c r="L6" s="464"/>
      <c r="M6" s="464"/>
    </row>
    <row r="7" spans="1:13" ht="25.5">
      <c r="A7" s="466" t="s">
        <v>3538</v>
      </c>
      <c r="B7" s="469" t="s">
        <v>3539</v>
      </c>
      <c r="C7" s="470"/>
      <c r="D7" s="470"/>
      <c r="E7" s="470"/>
      <c r="F7" s="470"/>
      <c r="G7" s="470"/>
      <c r="H7" s="470"/>
      <c r="I7" s="470"/>
      <c r="J7" s="470"/>
      <c r="K7" s="470"/>
      <c r="L7" s="471"/>
      <c r="M7" s="464"/>
    </row>
    <row r="8" spans="1:13" ht="0.75" customHeight="1" thickBot="1">
      <c r="A8" s="466" t="s">
        <v>3538</v>
      </c>
      <c r="B8" s="472"/>
      <c r="C8" s="473"/>
      <c r="D8" s="473"/>
      <c r="E8" s="473"/>
      <c r="F8" s="473"/>
      <c r="G8" s="473"/>
      <c r="H8" s="473"/>
      <c r="I8" s="473"/>
      <c r="J8" s="473"/>
      <c r="K8" s="473"/>
      <c r="L8" s="474"/>
      <c r="M8" s="464"/>
    </row>
    <row r="9" spans="1:13" ht="0.75" customHeight="1">
      <c r="A9" s="466" t="s">
        <v>3538</v>
      </c>
      <c r="B9" s="475"/>
      <c r="C9" s="470"/>
      <c r="D9" s="470"/>
      <c r="E9" s="470"/>
      <c r="F9" s="470"/>
      <c r="G9" s="471"/>
      <c r="H9" s="476"/>
      <c r="I9" s="477"/>
      <c r="J9" s="478"/>
      <c r="K9" s="478"/>
      <c r="L9" s="479"/>
      <c r="M9" s="464"/>
    </row>
    <row r="10" spans="1:13" ht="20.25">
      <c r="A10" s="466" t="s">
        <v>3538</v>
      </c>
      <c r="B10" s="480" t="s">
        <v>3540</v>
      </c>
      <c r="C10" s="481"/>
      <c r="D10" s="481"/>
      <c r="E10" s="481"/>
      <c r="F10" s="481"/>
      <c r="G10" s="482"/>
      <c r="H10" s="483"/>
      <c r="I10" s="484" t="s">
        <v>3541</v>
      </c>
      <c r="J10" s="481"/>
      <c r="K10" s="481"/>
      <c r="L10" s="482"/>
      <c r="M10" s="464"/>
    </row>
    <row r="11" spans="1:13" ht="0.75" customHeight="1" thickBot="1">
      <c r="A11" s="466" t="s">
        <v>3538</v>
      </c>
      <c r="B11" s="485"/>
      <c r="C11" s="486"/>
      <c r="D11" s="486"/>
      <c r="E11" s="486"/>
      <c r="F11" s="486"/>
      <c r="G11" s="487"/>
      <c r="H11" s="488"/>
      <c r="I11" s="485"/>
      <c r="J11" s="486"/>
      <c r="K11" s="486"/>
      <c r="L11" s="487"/>
      <c r="M11" s="464"/>
    </row>
    <row r="12" spans="1:13" ht="12.75">
      <c r="A12" s="466" t="s">
        <v>3538</v>
      </c>
      <c r="B12" s="489"/>
      <c r="C12" s="490"/>
      <c r="D12" s="491"/>
      <c r="E12" s="491"/>
      <c r="F12" s="491"/>
      <c r="G12" s="492"/>
      <c r="H12" s="488"/>
      <c r="I12" s="493"/>
      <c r="J12" s="494"/>
      <c r="K12" s="495"/>
      <c r="L12" s="496"/>
      <c r="M12" s="464"/>
    </row>
    <row r="13" spans="1:13" ht="12.75">
      <c r="A13" s="466" t="s">
        <v>3538</v>
      </c>
      <c r="B13" s="497"/>
      <c r="C13" s="498"/>
      <c r="D13" s="499"/>
      <c r="E13" s="499"/>
      <c r="F13" s="499"/>
      <c r="G13" s="500"/>
      <c r="H13" s="488"/>
      <c r="I13" s="501"/>
      <c r="J13" s="502"/>
      <c r="K13" s="503"/>
      <c r="L13" s="504"/>
      <c r="M13" s="464"/>
    </row>
    <row r="14" spans="1:13" ht="12.75">
      <c r="A14" s="466" t="s">
        <v>3538</v>
      </c>
      <c r="B14" s="497"/>
      <c r="C14" s="498"/>
      <c r="D14" s="499"/>
      <c r="E14" s="499"/>
      <c r="F14" s="499"/>
      <c r="G14" s="500"/>
      <c r="H14" s="488"/>
      <c r="I14" s="501"/>
      <c r="J14" s="502"/>
      <c r="K14" s="503"/>
      <c r="L14" s="504"/>
      <c r="M14" s="464"/>
    </row>
    <row r="15" spans="1:13" ht="12.75">
      <c r="A15" s="466" t="s">
        <v>3538</v>
      </c>
      <c r="B15" s="497"/>
      <c r="C15" s="498"/>
      <c r="D15" s="499"/>
      <c r="E15" s="499"/>
      <c r="F15" s="499"/>
      <c r="G15" s="500"/>
      <c r="H15" s="488"/>
      <c r="I15" s="501"/>
      <c r="J15" s="502"/>
      <c r="K15" s="503"/>
      <c r="L15" s="504"/>
      <c r="M15" s="464"/>
    </row>
    <row r="16" spans="1:13" ht="12.75">
      <c r="A16" s="466" t="s">
        <v>3538</v>
      </c>
      <c r="B16" s="497"/>
      <c r="C16" s="498"/>
      <c r="D16" s="499"/>
      <c r="E16" s="499"/>
      <c r="F16" s="499"/>
      <c r="G16" s="500"/>
      <c r="H16" s="488"/>
      <c r="I16" s="501"/>
      <c r="J16" s="502"/>
      <c r="K16" s="503"/>
      <c r="L16" s="504"/>
      <c r="M16" s="464"/>
    </row>
    <row r="17" spans="1:13" ht="12.75">
      <c r="A17" s="466" t="s">
        <v>3538</v>
      </c>
      <c r="B17" s="497"/>
      <c r="C17" s="498"/>
      <c r="D17" s="499"/>
      <c r="E17" s="499"/>
      <c r="F17" s="499"/>
      <c r="G17" s="500"/>
      <c r="H17" s="488"/>
      <c r="I17" s="501"/>
      <c r="J17" s="502"/>
      <c r="K17" s="503"/>
      <c r="L17" s="504"/>
      <c r="M17" s="464"/>
    </row>
    <row r="18" spans="1:13" ht="12.75">
      <c r="A18" s="466" t="s">
        <v>3538</v>
      </c>
      <c r="B18" s="497"/>
      <c r="C18" s="498"/>
      <c r="D18" s="499"/>
      <c r="E18" s="499"/>
      <c r="F18" s="499"/>
      <c r="G18" s="500"/>
      <c r="H18" s="488"/>
      <c r="I18" s="501"/>
      <c r="J18" s="502"/>
      <c r="K18" s="503"/>
      <c r="L18" s="504"/>
      <c r="M18" s="464"/>
    </row>
    <row r="19" spans="1:13" ht="12.75">
      <c r="A19" s="466" t="s">
        <v>3538</v>
      </c>
      <c r="B19" s="497"/>
      <c r="C19" s="498"/>
      <c r="D19" s="499"/>
      <c r="E19" s="499"/>
      <c r="F19" s="499"/>
      <c r="G19" s="500"/>
      <c r="H19" s="488"/>
      <c r="I19" s="501"/>
      <c r="J19" s="502"/>
      <c r="K19" s="503"/>
      <c r="L19" s="504"/>
      <c r="M19" s="464"/>
    </row>
    <row r="20" spans="1:13" ht="12.75">
      <c r="A20" s="466" t="s">
        <v>3538</v>
      </c>
      <c r="B20" s="497"/>
      <c r="C20" s="498"/>
      <c r="D20" s="499"/>
      <c r="E20" s="499"/>
      <c r="F20" s="499"/>
      <c r="G20" s="500"/>
      <c r="H20" s="488"/>
      <c r="I20" s="501"/>
      <c r="J20" s="502"/>
      <c r="K20" s="503"/>
      <c r="L20" s="504"/>
      <c r="M20" s="464"/>
    </row>
    <row r="21" spans="1:13" ht="12.75">
      <c r="A21" s="466" t="s">
        <v>3538</v>
      </c>
      <c r="B21" s="497"/>
      <c r="C21" s="498"/>
      <c r="D21" s="499"/>
      <c r="E21" s="499"/>
      <c r="F21" s="499"/>
      <c r="G21" s="500"/>
      <c r="H21" s="488"/>
      <c r="I21" s="501"/>
      <c r="J21" s="502"/>
      <c r="K21" s="503"/>
      <c r="L21" s="504"/>
      <c r="M21" s="464"/>
    </row>
    <row r="22" spans="1:13" ht="12.75">
      <c r="A22" s="466" t="s">
        <v>3538</v>
      </c>
      <c r="B22" s="497"/>
      <c r="C22" s="498"/>
      <c r="D22" s="499"/>
      <c r="E22" s="499"/>
      <c r="F22" s="499"/>
      <c r="G22" s="500"/>
      <c r="H22" s="488"/>
      <c r="I22" s="501"/>
      <c r="J22" s="502"/>
      <c r="K22" s="503"/>
      <c r="L22" s="504"/>
      <c r="M22" s="464"/>
    </row>
    <row r="23" spans="1:13" ht="12.75">
      <c r="A23" s="466" t="s">
        <v>3538</v>
      </c>
      <c r="B23" s="497"/>
      <c r="C23" s="498"/>
      <c r="D23" s="499"/>
      <c r="E23" s="499"/>
      <c r="F23" s="499"/>
      <c r="G23" s="500"/>
      <c r="H23" s="488"/>
      <c r="I23" s="501"/>
      <c r="J23" s="502"/>
      <c r="K23" s="503"/>
      <c r="L23" s="504"/>
      <c r="M23" s="464"/>
    </row>
    <row r="24" spans="1:13" ht="12.75">
      <c r="A24" s="466" t="s">
        <v>3538</v>
      </c>
      <c r="B24" s="497"/>
      <c r="C24" s="498"/>
      <c r="D24" s="499"/>
      <c r="E24" s="499"/>
      <c r="F24" s="499"/>
      <c r="G24" s="500"/>
      <c r="H24" s="488"/>
      <c r="I24" s="501"/>
      <c r="J24" s="502"/>
      <c r="K24" s="503"/>
      <c r="L24" s="504"/>
      <c r="M24" s="464"/>
    </row>
    <row r="25" spans="1:13" ht="12.75">
      <c r="A25" s="466" t="s">
        <v>3538</v>
      </c>
      <c r="B25" s="497"/>
      <c r="C25" s="498"/>
      <c r="D25" s="499"/>
      <c r="E25" s="499"/>
      <c r="F25" s="499"/>
      <c r="G25" s="500"/>
      <c r="H25" s="488"/>
      <c r="I25" s="501"/>
      <c r="J25" s="502"/>
      <c r="K25" s="503"/>
      <c r="L25" s="504"/>
      <c r="M25" s="464"/>
    </row>
    <row r="26" spans="1:13" ht="12.75">
      <c r="A26" s="466" t="s">
        <v>3538</v>
      </c>
      <c r="B26" s="497"/>
      <c r="C26" s="498"/>
      <c r="D26" s="499"/>
      <c r="E26" s="499"/>
      <c r="F26" s="499"/>
      <c r="G26" s="500"/>
      <c r="H26" s="488"/>
      <c r="I26" s="501"/>
      <c r="J26" s="502"/>
      <c r="K26" s="503"/>
      <c r="L26" s="504"/>
      <c r="M26" s="464"/>
    </row>
    <row r="27" spans="1:13" ht="12.75">
      <c r="A27" s="466" t="s">
        <v>3538</v>
      </c>
      <c r="B27" s="497"/>
      <c r="C27" s="498"/>
      <c r="D27" s="499"/>
      <c r="E27" s="499"/>
      <c r="F27" s="499"/>
      <c r="G27" s="500"/>
      <c r="H27" s="488"/>
      <c r="I27" s="501"/>
      <c r="J27" s="502"/>
      <c r="K27" s="503"/>
      <c r="L27" s="504"/>
      <c r="M27" s="464"/>
    </row>
    <row r="28" spans="1:13" ht="12.75">
      <c r="A28" s="466" t="s">
        <v>3538</v>
      </c>
      <c r="B28" s="497"/>
      <c r="C28" s="498"/>
      <c r="D28" s="499"/>
      <c r="E28" s="499"/>
      <c r="F28" s="499"/>
      <c r="G28" s="500"/>
      <c r="H28" s="488"/>
      <c r="I28" s="501"/>
      <c r="J28" s="502"/>
      <c r="K28" s="503"/>
      <c r="L28" s="504"/>
      <c r="M28" s="464"/>
    </row>
    <row r="29" spans="1:13" ht="12.75">
      <c r="A29" s="466" t="s">
        <v>3538</v>
      </c>
      <c r="B29" s="497"/>
      <c r="C29" s="498"/>
      <c r="D29" s="499"/>
      <c r="E29" s="499"/>
      <c r="F29" s="499"/>
      <c r="G29" s="500"/>
      <c r="H29" s="488"/>
      <c r="I29" s="501"/>
      <c r="J29" s="502"/>
      <c r="K29" s="503"/>
      <c r="L29" s="504"/>
      <c r="M29" s="464"/>
    </row>
    <row r="30" spans="1:13" ht="12.75">
      <c r="A30" s="466" t="s">
        <v>3538</v>
      </c>
      <c r="B30" s="497"/>
      <c r="C30" s="498"/>
      <c r="D30" s="499"/>
      <c r="E30" s="499"/>
      <c r="F30" s="499"/>
      <c r="G30" s="500"/>
      <c r="H30" s="488"/>
      <c r="I30" s="501"/>
      <c r="J30" s="502"/>
      <c r="K30" s="503"/>
      <c r="L30" s="504"/>
      <c r="M30" s="464"/>
    </row>
    <row r="31" spans="1:13" ht="12.75">
      <c r="A31" s="466" t="s">
        <v>3538</v>
      </c>
      <c r="B31" s="497"/>
      <c r="C31" s="498"/>
      <c r="D31" s="499"/>
      <c r="E31" s="499"/>
      <c r="F31" s="499"/>
      <c r="G31" s="500"/>
      <c r="H31" s="488"/>
      <c r="I31" s="501"/>
      <c r="J31" s="502"/>
      <c r="K31" s="503"/>
      <c r="L31" s="504"/>
      <c r="M31" s="464"/>
    </row>
    <row r="32" spans="1:13" ht="12.75">
      <c r="A32" s="466" t="s">
        <v>3538</v>
      </c>
      <c r="B32" s="497"/>
      <c r="C32" s="498"/>
      <c r="D32" s="499"/>
      <c r="E32" s="499"/>
      <c r="F32" s="499"/>
      <c r="G32" s="500"/>
      <c r="H32" s="488"/>
      <c r="I32" s="501"/>
      <c r="J32" s="502"/>
      <c r="K32" s="503"/>
      <c r="L32" s="504"/>
      <c r="M32" s="464"/>
    </row>
    <row r="33" spans="1:13" ht="12.75">
      <c r="A33" s="466" t="s">
        <v>3538</v>
      </c>
      <c r="B33" s="497"/>
      <c r="C33" s="498"/>
      <c r="D33" s="499"/>
      <c r="E33" s="499"/>
      <c r="F33" s="499"/>
      <c r="G33" s="500"/>
      <c r="H33" s="488"/>
      <c r="I33" s="501"/>
      <c r="J33" s="502"/>
      <c r="K33" s="503"/>
      <c r="L33" s="504"/>
      <c r="M33" s="464"/>
    </row>
    <row r="34" spans="1:13" ht="12.75">
      <c r="A34" s="466" t="s">
        <v>3538</v>
      </c>
      <c r="B34" s="497"/>
      <c r="C34" s="498"/>
      <c r="D34" s="499"/>
      <c r="E34" s="499"/>
      <c r="F34" s="499"/>
      <c r="G34" s="500"/>
      <c r="H34" s="488"/>
      <c r="I34" s="501"/>
      <c r="J34" s="502"/>
      <c r="K34" s="503"/>
      <c r="L34" s="504"/>
      <c r="M34" s="464"/>
    </row>
    <row r="35" spans="1:13" ht="12.75">
      <c r="A35" s="466" t="s">
        <v>3538</v>
      </c>
      <c r="B35" s="497"/>
      <c r="C35" s="498"/>
      <c r="D35" s="499"/>
      <c r="E35" s="499"/>
      <c r="F35" s="499"/>
      <c r="G35" s="500"/>
      <c r="H35" s="488"/>
      <c r="I35" s="501"/>
      <c r="J35" s="502"/>
      <c r="K35" s="503"/>
      <c r="L35" s="504"/>
      <c r="M35" s="464"/>
    </row>
    <row r="36" spans="1:13" ht="12.75">
      <c r="A36" s="466" t="s">
        <v>3538</v>
      </c>
      <c r="B36" s="497"/>
      <c r="C36" s="498"/>
      <c r="D36" s="499"/>
      <c r="E36" s="499"/>
      <c r="F36" s="499"/>
      <c r="G36" s="500"/>
      <c r="H36" s="488"/>
      <c r="I36" s="501"/>
      <c r="J36" s="502"/>
      <c r="K36" s="503"/>
      <c r="L36" s="504"/>
      <c r="M36" s="464"/>
    </row>
    <row r="37" spans="1:13" ht="12.75">
      <c r="A37" s="466" t="s">
        <v>3538</v>
      </c>
      <c r="B37" s="497"/>
      <c r="C37" s="498"/>
      <c r="D37" s="499"/>
      <c r="E37" s="499"/>
      <c r="F37" s="499"/>
      <c r="G37" s="500"/>
      <c r="H37" s="488"/>
      <c r="I37" s="501"/>
      <c r="J37" s="502"/>
      <c r="K37" s="503"/>
      <c r="L37" s="504"/>
      <c r="M37" s="464"/>
    </row>
    <row r="38" spans="1:13" ht="12.75">
      <c r="A38" s="466" t="s">
        <v>3538</v>
      </c>
      <c r="B38" s="497"/>
      <c r="C38" s="498"/>
      <c r="D38" s="499"/>
      <c r="E38" s="499"/>
      <c r="F38" s="499"/>
      <c r="G38" s="500"/>
      <c r="H38" s="488"/>
      <c r="I38" s="501"/>
      <c r="J38" s="502"/>
      <c r="K38" s="503"/>
      <c r="L38" s="504"/>
      <c r="M38" s="464"/>
    </row>
    <row r="39" spans="1:13" ht="12.75">
      <c r="A39" s="466" t="s">
        <v>3538</v>
      </c>
      <c r="B39" s="497"/>
      <c r="C39" s="498"/>
      <c r="D39" s="499"/>
      <c r="E39" s="499"/>
      <c r="F39" s="499"/>
      <c r="G39" s="500"/>
      <c r="H39" s="488"/>
      <c r="I39" s="501"/>
      <c r="J39" s="502"/>
      <c r="K39" s="503"/>
      <c r="L39" s="504"/>
      <c r="M39" s="464"/>
    </row>
    <row r="40" spans="1:13" ht="12.75">
      <c r="A40" s="466" t="s">
        <v>3538</v>
      </c>
      <c r="B40" s="497"/>
      <c r="C40" s="498"/>
      <c r="D40" s="499"/>
      <c r="E40" s="499"/>
      <c r="F40" s="499"/>
      <c r="G40" s="500"/>
      <c r="H40" s="488"/>
      <c r="I40" s="501"/>
      <c r="J40" s="502"/>
      <c r="K40" s="503"/>
      <c r="L40" s="504"/>
      <c r="M40" s="464"/>
    </row>
    <row r="41" spans="1:13" ht="12.75">
      <c r="A41" s="466" t="s">
        <v>3538</v>
      </c>
      <c r="B41" s="497"/>
      <c r="C41" s="498"/>
      <c r="D41" s="499"/>
      <c r="E41" s="499"/>
      <c r="F41" s="499"/>
      <c r="G41" s="500"/>
      <c r="H41" s="488"/>
      <c r="I41" s="501"/>
      <c r="J41" s="502"/>
      <c r="K41" s="503"/>
      <c r="L41" s="504"/>
      <c r="M41" s="464"/>
    </row>
    <row r="42" spans="1:13" ht="12.75">
      <c r="A42" s="466" t="s">
        <v>3538</v>
      </c>
      <c r="B42" s="497"/>
      <c r="C42" s="502"/>
      <c r="D42" s="505"/>
      <c r="E42" s="505"/>
      <c r="F42" s="505"/>
      <c r="G42" s="506"/>
      <c r="H42" s="488"/>
      <c r="I42" s="501"/>
      <c r="J42" s="502"/>
      <c r="K42" s="503"/>
      <c r="L42" s="504"/>
      <c r="M42" s="464"/>
    </row>
    <row r="43" spans="1:13" ht="12.75">
      <c r="A43" s="466" t="s">
        <v>3538</v>
      </c>
      <c r="B43" s="497"/>
      <c r="C43" s="502"/>
      <c r="D43" s="505"/>
      <c r="E43" s="505"/>
      <c r="F43" s="505"/>
      <c r="G43" s="506"/>
      <c r="H43" s="488"/>
      <c r="I43" s="501"/>
      <c r="J43" s="502"/>
      <c r="K43" s="503"/>
      <c r="L43" s="504"/>
      <c r="M43" s="464"/>
    </row>
    <row r="44" spans="1:13" ht="12.75">
      <c r="A44" s="466" t="s">
        <v>3538</v>
      </c>
      <c r="B44" s="497"/>
      <c r="C44" s="502"/>
      <c r="D44" s="505"/>
      <c r="E44" s="505"/>
      <c r="F44" s="505"/>
      <c r="G44" s="506"/>
      <c r="H44" s="488"/>
      <c r="I44" s="501"/>
      <c r="J44" s="502"/>
      <c r="K44" s="503"/>
      <c r="L44" s="504"/>
      <c r="M44" s="464"/>
    </row>
    <row r="45" spans="1:13" ht="12.75">
      <c r="A45" s="466" t="s">
        <v>3538</v>
      </c>
      <c r="B45" s="497"/>
      <c r="C45" s="502"/>
      <c r="D45" s="505"/>
      <c r="E45" s="505"/>
      <c r="F45" s="505"/>
      <c r="G45" s="506"/>
      <c r="H45" s="488"/>
      <c r="I45" s="501"/>
      <c r="J45" s="502"/>
      <c r="K45" s="503"/>
      <c r="L45" s="504"/>
      <c r="M45" s="464"/>
    </row>
    <row r="46" spans="1:13" ht="12.75">
      <c r="A46" s="466" t="s">
        <v>3538</v>
      </c>
      <c r="B46" s="497"/>
      <c r="C46" s="502"/>
      <c r="D46" s="505"/>
      <c r="E46" s="505"/>
      <c r="F46" s="505"/>
      <c r="G46" s="506"/>
      <c r="H46" s="488"/>
      <c r="I46" s="501"/>
      <c r="J46" s="502"/>
      <c r="K46" s="503"/>
      <c r="L46" s="504"/>
      <c r="M46" s="464"/>
    </row>
    <row r="47" spans="1:13" ht="12.75">
      <c r="A47" s="466" t="s">
        <v>3538</v>
      </c>
      <c r="B47" s="497"/>
      <c r="C47" s="502"/>
      <c r="D47" s="505"/>
      <c r="E47" s="505"/>
      <c r="F47" s="505"/>
      <c r="G47" s="506"/>
      <c r="H47" s="488"/>
      <c r="I47" s="501"/>
      <c r="J47" s="502"/>
      <c r="K47" s="503"/>
      <c r="L47" s="504"/>
      <c r="M47" s="464"/>
    </row>
    <row r="48" spans="1:13" ht="12.75">
      <c r="A48" s="466" t="s">
        <v>3538</v>
      </c>
      <c r="B48" s="497"/>
      <c r="C48" s="502"/>
      <c r="D48" s="505"/>
      <c r="E48" s="505"/>
      <c r="F48" s="505"/>
      <c r="G48" s="506"/>
      <c r="H48" s="488"/>
      <c r="I48" s="501"/>
      <c r="J48" s="502"/>
      <c r="K48" s="503"/>
      <c r="L48" s="504"/>
      <c r="M48" s="464"/>
    </row>
    <row r="49" spans="1:13" ht="12.75">
      <c r="A49" s="466" t="s">
        <v>3538</v>
      </c>
      <c r="B49" s="497"/>
      <c r="C49" s="502"/>
      <c r="D49" s="505"/>
      <c r="E49" s="505"/>
      <c r="F49" s="505"/>
      <c r="G49" s="506"/>
      <c r="H49" s="488"/>
      <c r="I49" s="501"/>
      <c r="J49" s="502"/>
      <c r="K49" s="503"/>
      <c r="L49" s="504"/>
      <c r="M49" s="464"/>
    </row>
    <row r="50" spans="1:13" ht="12.75">
      <c r="A50" s="466" t="s">
        <v>3538</v>
      </c>
      <c r="B50" s="497"/>
      <c r="C50" s="502"/>
      <c r="D50" s="505"/>
      <c r="E50" s="505"/>
      <c r="F50" s="505"/>
      <c r="G50" s="506"/>
      <c r="H50" s="488"/>
      <c r="I50" s="501"/>
      <c r="J50" s="502"/>
      <c r="K50" s="503"/>
      <c r="L50" s="504"/>
      <c r="M50" s="464"/>
    </row>
    <row r="51" spans="1:13" ht="12.75">
      <c r="A51" s="466" t="s">
        <v>3538</v>
      </c>
      <c r="B51" s="497"/>
      <c r="C51" s="502"/>
      <c r="D51" s="505"/>
      <c r="E51" s="505"/>
      <c r="F51" s="505"/>
      <c r="G51" s="506"/>
      <c r="H51" s="488"/>
      <c r="I51" s="501"/>
      <c r="J51" s="507"/>
      <c r="K51" s="503"/>
      <c r="L51" s="504"/>
      <c r="M51" s="464"/>
    </row>
    <row r="52" spans="1:13" ht="12.75">
      <c r="A52" s="466" t="s">
        <v>3538</v>
      </c>
      <c r="B52" s="497"/>
      <c r="C52" s="502"/>
      <c r="D52" s="505"/>
      <c r="E52" s="505"/>
      <c r="F52" s="505"/>
      <c r="G52" s="506"/>
      <c r="H52" s="488"/>
      <c r="I52" s="501"/>
      <c r="J52" s="507"/>
      <c r="K52" s="503"/>
      <c r="L52" s="504"/>
      <c r="M52" s="464"/>
    </row>
    <row r="53" spans="1:13" ht="12.75">
      <c r="A53" s="466" t="s">
        <v>3538</v>
      </c>
      <c r="B53" s="497"/>
      <c r="C53" s="502"/>
      <c r="D53" s="505"/>
      <c r="E53" s="505"/>
      <c r="F53" s="505"/>
      <c r="G53" s="506"/>
      <c r="H53" s="488"/>
      <c r="I53" s="501"/>
      <c r="J53" s="507"/>
      <c r="K53" s="503"/>
      <c r="L53" s="504"/>
      <c r="M53" s="464"/>
    </row>
    <row r="54" spans="1:13" ht="12.75">
      <c r="A54" s="466" t="s">
        <v>3538</v>
      </c>
      <c r="B54" s="497"/>
      <c r="C54" s="502"/>
      <c r="D54" s="505"/>
      <c r="E54" s="505"/>
      <c r="F54" s="505"/>
      <c r="G54" s="506"/>
      <c r="H54" s="488"/>
      <c r="I54" s="501"/>
      <c r="J54" s="507"/>
      <c r="K54" s="503"/>
      <c r="L54" s="504"/>
      <c r="M54" s="464"/>
    </row>
    <row r="55" spans="1:13" ht="12.75">
      <c r="A55" s="466" t="s">
        <v>3538</v>
      </c>
      <c r="B55" s="497"/>
      <c r="C55" s="502"/>
      <c r="D55" s="505"/>
      <c r="E55" s="505"/>
      <c r="F55" s="505"/>
      <c r="G55" s="506"/>
      <c r="H55" s="488"/>
      <c r="I55" s="501"/>
      <c r="J55" s="507"/>
      <c r="K55" s="503"/>
      <c r="L55" s="504"/>
      <c r="M55" s="464"/>
    </row>
    <row r="56" spans="1:13" ht="12.75">
      <c r="A56" s="466" t="s">
        <v>3538</v>
      </c>
      <c r="B56" s="497"/>
      <c r="C56" s="502"/>
      <c r="D56" s="505"/>
      <c r="E56" s="505"/>
      <c r="F56" s="505"/>
      <c r="G56" s="506"/>
      <c r="H56" s="488"/>
      <c r="I56" s="501"/>
      <c r="J56" s="507"/>
      <c r="K56" s="503"/>
      <c r="L56" s="504"/>
      <c r="M56" s="464"/>
    </row>
    <row r="57" spans="1:13" ht="12.75">
      <c r="A57" s="466" t="s">
        <v>3538</v>
      </c>
      <c r="B57" s="497"/>
      <c r="C57" s="502"/>
      <c r="D57" s="505"/>
      <c r="E57" s="505"/>
      <c r="F57" s="505"/>
      <c r="G57" s="506"/>
      <c r="H57" s="488"/>
      <c r="I57" s="501"/>
      <c r="J57" s="507"/>
      <c r="K57" s="503"/>
      <c r="L57" s="504"/>
      <c r="M57" s="464"/>
    </row>
    <row r="58" spans="1:13" ht="12.75">
      <c r="A58" s="466" t="s">
        <v>3538</v>
      </c>
      <c r="B58" s="497"/>
      <c r="C58" s="502"/>
      <c r="D58" s="505"/>
      <c r="E58" s="505"/>
      <c r="F58" s="505"/>
      <c r="G58" s="506"/>
      <c r="H58" s="488"/>
      <c r="I58" s="501"/>
      <c r="J58" s="507"/>
      <c r="K58" s="503"/>
      <c r="L58" s="504"/>
      <c r="M58" s="464"/>
    </row>
    <row r="59" spans="1:13" ht="12.75">
      <c r="A59" s="466" t="s">
        <v>3538</v>
      </c>
      <c r="B59" s="497"/>
      <c r="C59" s="502"/>
      <c r="D59" s="505"/>
      <c r="E59" s="505"/>
      <c r="F59" s="505"/>
      <c r="G59" s="506"/>
      <c r="H59" s="488"/>
      <c r="I59" s="501"/>
      <c r="J59" s="507"/>
      <c r="K59" s="503"/>
      <c r="L59" s="504"/>
      <c r="M59" s="464"/>
    </row>
    <row r="60" spans="1:13" ht="12.75">
      <c r="A60" s="466" t="s">
        <v>3538</v>
      </c>
      <c r="B60" s="497"/>
      <c r="C60" s="502"/>
      <c r="D60" s="505"/>
      <c r="E60" s="505"/>
      <c r="F60" s="505"/>
      <c r="G60" s="506"/>
      <c r="H60" s="488"/>
      <c r="I60" s="501"/>
      <c r="J60" s="507"/>
      <c r="K60" s="503"/>
      <c r="L60" s="504"/>
      <c r="M60" s="464"/>
    </row>
    <row r="61" spans="1:13" ht="12.75">
      <c r="A61" s="466" t="s">
        <v>3538</v>
      </c>
      <c r="B61" s="497"/>
      <c r="C61" s="502"/>
      <c r="D61" s="505"/>
      <c r="E61" s="505"/>
      <c r="F61" s="505"/>
      <c r="G61" s="506"/>
      <c r="H61" s="488"/>
      <c r="I61" s="501"/>
      <c r="J61" s="507"/>
      <c r="K61" s="503"/>
      <c r="L61" s="504"/>
      <c r="M61" s="464"/>
    </row>
    <row r="62" spans="1:13" ht="12.75">
      <c r="A62" s="466" t="s">
        <v>3538</v>
      </c>
      <c r="B62" s="497"/>
      <c r="C62" s="502"/>
      <c r="D62" s="505"/>
      <c r="E62" s="505"/>
      <c r="F62" s="505"/>
      <c r="G62" s="506"/>
      <c r="H62" s="488"/>
      <c r="I62" s="501"/>
      <c r="J62" s="507"/>
      <c r="K62" s="503"/>
      <c r="L62" s="504"/>
      <c r="M62" s="464"/>
    </row>
    <row r="63" spans="1:13" ht="12.75">
      <c r="A63" s="466" t="s">
        <v>3538</v>
      </c>
      <c r="B63" s="497"/>
      <c r="C63" s="502"/>
      <c r="D63" s="505"/>
      <c r="E63" s="505"/>
      <c r="F63" s="505"/>
      <c r="G63" s="506"/>
      <c r="H63" s="488"/>
      <c r="I63" s="501"/>
      <c r="J63" s="507"/>
      <c r="K63" s="503"/>
      <c r="L63" s="504"/>
      <c r="M63" s="464"/>
    </row>
    <row r="64" spans="1:13" ht="12.75">
      <c r="A64" s="466" t="s">
        <v>3538</v>
      </c>
      <c r="B64" s="497"/>
      <c r="C64" s="502"/>
      <c r="D64" s="505"/>
      <c r="E64" s="505"/>
      <c r="F64" s="505"/>
      <c r="G64" s="506"/>
      <c r="H64" s="488"/>
      <c r="I64" s="501"/>
      <c r="J64" s="507"/>
      <c r="K64" s="503"/>
      <c r="L64" s="504"/>
      <c r="M64" s="464"/>
    </row>
    <row r="65" spans="1:13" ht="12.75">
      <c r="A65" s="466" t="s">
        <v>3538</v>
      </c>
      <c r="B65" s="497"/>
      <c r="C65" s="502"/>
      <c r="D65" s="505"/>
      <c r="E65" s="505"/>
      <c r="F65" s="505"/>
      <c r="G65" s="506"/>
      <c r="H65" s="488"/>
      <c r="I65" s="501"/>
      <c r="J65" s="507"/>
      <c r="K65" s="503"/>
      <c r="L65" s="504"/>
      <c r="M65" s="464"/>
    </row>
    <row r="66" spans="1:13" ht="12.75">
      <c r="A66" s="466" t="s">
        <v>3538</v>
      </c>
      <c r="B66" s="497"/>
      <c r="C66" s="502"/>
      <c r="D66" s="505"/>
      <c r="E66" s="505"/>
      <c r="F66" s="505"/>
      <c r="G66" s="506"/>
      <c r="H66" s="488"/>
      <c r="I66" s="501"/>
      <c r="J66" s="507"/>
      <c r="K66" s="503"/>
      <c r="L66" s="504"/>
      <c r="M66" s="464"/>
    </row>
    <row r="67" spans="1:13" ht="12.75">
      <c r="A67" s="466" t="s">
        <v>3538</v>
      </c>
      <c r="B67" s="497"/>
      <c r="C67" s="502"/>
      <c r="D67" s="505"/>
      <c r="E67" s="505"/>
      <c r="F67" s="505"/>
      <c r="G67" s="506"/>
      <c r="H67" s="488"/>
      <c r="I67" s="501"/>
      <c r="J67" s="507"/>
      <c r="K67" s="503"/>
      <c r="L67" s="504"/>
      <c r="M67" s="464"/>
    </row>
    <row r="68" spans="1:13" ht="12.75">
      <c r="A68" s="466"/>
      <c r="B68" s="497"/>
      <c r="C68" s="677"/>
      <c r="D68" s="678"/>
      <c r="E68" s="678"/>
      <c r="F68" s="678"/>
      <c r="G68" s="506"/>
      <c r="H68" s="488"/>
      <c r="I68" s="501"/>
      <c r="J68" s="679"/>
      <c r="K68" s="680"/>
      <c r="L68" s="504"/>
      <c r="M68" s="464"/>
    </row>
    <row r="69" spans="1:13" ht="12.75">
      <c r="A69" s="466"/>
      <c r="B69" s="497"/>
      <c r="C69" s="677"/>
      <c r="D69" s="678"/>
      <c r="E69" s="678"/>
      <c r="F69" s="678"/>
      <c r="G69" s="506"/>
      <c r="H69" s="488"/>
      <c r="I69" s="501"/>
      <c r="J69" s="679"/>
      <c r="K69" s="680"/>
      <c r="L69" s="504"/>
      <c r="M69" s="464"/>
    </row>
    <row r="70" spans="1:13" ht="12.75">
      <c r="A70" s="466"/>
      <c r="B70" s="497"/>
      <c r="C70" s="677"/>
      <c r="D70" s="678"/>
      <c r="E70" s="678"/>
      <c r="F70" s="678"/>
      <c r="G70" s="506"/>
      <c r="H70" s="488"/>
      <c r="I70" s="501"/>
      <c r="J70" s="679"/>
      <c r="K70" s="680"/>
      <c r="L70" s="504"/>
      <c r="M70" s="464"/>
    </row>
    <row r="71" spans="1:13" ht="12.75">
      <c r="A71" s="466"/>
      <c r="B71" s="497"/>
      <c r="C71" s="677"/>
      <c r="D71" s="678"/>
      <c r="E71" s="678"/>
      <c r="F71" s="678"/>
      <c r="G71" s="506"/>
      <c r="H71" s="488"/>
      <c r="I71" s="501"/>
      <c r="J71" s="679"/>
      <c r="K71" s="680"/>
      <c r="L71" s="504"/>
      <c r="M71" s="464"/>
    </row>
    <row r="72" spans="1:13" ht="12.75">
      <c r="A72" s="466"/>
      <c r="B72" s="497"/>
      <c r="C72" s="677"/>
      <c r="D72" s="678"/>
      <c r="E72" s="678"/>
      <c r="F72" s="678"/>
      <c r="G72" s="506"/>
      <c r="H72" s="488"/>
      <c r="I72" s="501"/>
      <c r="J72" s="679"/>
      <c r="K72" s="680"/>
      <c r="L72" s="504"/>
      <c r="M72" s="464"/>
    </row>
    <row r="73" spans="1:13" ht="12.75">
      <c r="A73" s="466"/>
      <c r="B73" s="497"/>
      <c r="C73" s="677"/>
      <c r="D73" s="678"/>
      <c r="E73" s="678"/>
      <c r="F73" s="678"/>
      <c r="G73" s="506"/>
      <c r="H73" s="488"/>
      <c r="I73" s="501"/>
      <c r="J73" s="679"/>
      <c r="K73" s="680"/>
      <c r="L73" s="504"/>
      <c r="M73" s="464"/>
    </row>
    <row r="74" spans="1:13" ht="12.75">
      <c r="A74" s="466"/>
      <c r="B74" s="497"/>
      <c r="C74" s="677"/>
      <c r="D74" s="678"/>
      <c r="E74" s="678"/>
      <c r="F74" s="678"/>
      <c r="G74" s="506"/>
      <c r="H74" s="488"/>
      <c r="I74" s="501"/>
      <c r="J74" s="679"/>
      <c r="K74" s="680"/>
      <c r="L74" s="504"/>
      <c r="M74" s="464"/>
    </row>
    <row r="75" spans="1:13" ht="12.75">
      <c r="A75" s="466"/>
      <c r="B75" s="497"/>
      <c r="C75" s="677"/>
      <c r="D75" s="678"/>
      <c r="E75" s="678"/>
      <c r="F75" s="678"/>
      <c r="G75" s="506"/>
      <c r="H75" s="488"/>
      <c r="I75" s="501"/>
      <c r="J75" s="679"/>
      <c r="K75" s="680"/>
      <c r="L75" s="504"/>
      <c r="M75" s="464"/>
    </row>
    <row r="76" spans="1:13" ht="12.75">
      <c r="A76" s="466" t="s">
        <v>3538</v>
      </c>
      <c r="B76" s="497"/>
      <c r="C76" s="502"/>
      <c r="D76" s="505"/>
      <c r="E76" s="505"/>
      <c r="F76" s="505"/>
      <c r="G76" s="506"/>
      <c r="H76" s="488"/>
      <c r="I76" s="501"/>
      <c r="J76" s="507"/>
      <c r="K76" s="503"/>
      <c r="L76" s="504"/>
      <c r="M76" s="464"/>
    </row>
    <row r="77" spans="1:13" ht="13.5" thickBot="1">
      <c r="A77" s="466" t="s">
        <v>3538</v>
      </c>
      <c r="B77" s="497"/>
      <c r="C77" s="502"/>
      <c r="D77" s="505"/>
      <c r="E77" s="505"/>
      <c r="F77" s="505"/>
      <c r="G77" s="506"/>
      <c r="H77" s="488"/>
      <c r="I77" s="508"/>
      <c r="J77" s="509"/>
      <c r="K77" s="510"/>
      <c r="L77" s="511"/>
      <c r="M77" s="464"/>
    </row>
    <row r="78" spans="1:13" ht="12.75">
      <c r="A78" s="466" t="s">
        <v>3538</v>
      </c>
      <c r="B78" s="497"/>
      <c r="C78" s="502"/>
      <c r="D78" s="505"/>
      <c r="E78" s="505"/>
      <c r="F78" s="505"/>
      <c r="G78" s="506"/>
      <c r="H78" s="512"/>
      <c r="I78" s="464"/>
      <c r="J78" s="513"/>
      <c r="K78" s="514"/>
      <c r="L78" s="514"/>
      <c r="M78" s="464"/>
    </row>
    <row r="79" spans="1:13" ht="12.75">
      <c r="A79" s="466" t="s">
        <v>3538</v>
      </c>
      <c r="B79" s="497"/>
      <c r="C79" s="502"/>
      <c r="D79" s="505"/>
      <c r="E79" s="505"/>
      <c r="F79" s="505"/>
      <c r="G79" s="506"/>
      <c r="H79" s="466"/>
      <c r="I79" s="464"/>
      <c r="J79" s="513"/>
      <c r="K79" s="514"/>
      <c r="L79" s="514"/>
      <c r="M79" s="464"/>
    </row>
    <row r="80" spans="1:13" ht="13.5" thickBot="1">
      <c r="A80" s="466" t="s">
        <v>3538</v>
      </c>
      <c r="B80" s="497"/>
      <c r="C80" s="502"/>
      <c r="D80" s="505"/>
      <c r="E80" s="505"/>
      <c r="F80" s="505"/>
      <c r="G80" s="506"/>
      <c r="H80" s="466"/>
      <c r="I80" s="464"/>
      <c r="J80" s="513"/>
      <c r="K80" s="514"/>
      <c r="L80" s="514"/>
      <c r="M80" s="464"/>
    </row>
    <row r="81" spans="1:13" ht="12.75">
      <c r="A81" s="466" t="s">
        <v>3538</v>
      </c>
      <c r="B81" s="497"/>
      <c r="C81" s="502"/>
      <c r="D81" s="505"/>
      <c r="E81" s="505"/>
      <c r="F81" s="505"/>
      <c r="G81" s="506"/>
      <c r="H81" s="466"/>
      <c r="I81" s="515" t="s">
        <v>3658</v>
      </c>
      <c r="J81" s="516"/>
      <c r="K81" s="516"/>
      <c r="L81" s="517"/>
      <c r="M81" s="464"/>
    </row>
    <row r="82" spans="1:13" ht="13.5" thickBot="1">
      <c r="A82" s="466" t="s">
        <v>3538</v>
      </c>
      <c r="B82" s="497"/>
      <c r="C82" s="502"/>
      <c r="D82" s="505"/>
      <c r="E82" s="505"/>
      <c r="F82" s="505"/>
      <c r="G82" s="506"/>
      <c r="H82" s="466"/>
      <c r="I82" s="518"/>
      <c r="J82" s="519"/>
      <c r="K82" s="519"/>
      <c r="L82" s="520"/>
      <c r="M82" s="464"/>
    </row>
    <row r="83" spans="1:13" ht="12.75">
      <c r="A83" s="466" t="s">
        <v>3538</v>
      </c>
      <c r="B83" s="497"/>
      <c r="C83" s="502"/>
      <c r="D83" s="505"/>
      <c r="E83" s="505"/>
      <c r="F83" s="505"/>
      <c r="G83" s="506"/>
      <c r="H83" s="466"/>
      <c r="I83" s="464"/>
      <c r="J83" s="513"/>
      <c r="K83" s="514"/>
      <c r="L83" s="514"/>
      <c r="M83" s="464"/>
    </row>
    <row r="84" spans="1:13" ht="12.75">
      <c r="A84" s="466" t="s">
        <v>3538</v>
      </c>
      <c r="B84" s="497"/>
      <c r="C84" s="677"/>
      <c r="D84" s="678"/>
      <c r="E84" s="678"/>
      <c r="F84" s="678"/>
      <c r="G84" s="506"/>
      <c r="H84" s="466"/>
      <c r="I84" s="464"/>
      <c r="J84" s="513"/>
      <c r="K84" s="514"/>
      <c r="L84" s="514"/>
      <c r="M84" s="464"/>
    </row>
    <row r="85" spans="1:13" ht="12.75">
      <c r="A85" s="466" t="s">
        <v>3538</v>
      </c>
      <c r="B85" s="497"/>
      <c r="C85" s="677"/>
      <c r="D85" s="678"/>
      <c r="E85" s="678"/>
      <c r="F85" s="678"/>
      <c r="G85" s="506"/>
      <c r="H85" s="466"/>
      <c r="I85" s="464"/>
      <c r="J85" s="513"/>
      <c r="K85" s="514"/>
      <c r="L85" s="514"/>
      <c r="M85" s="464"/>
    </row>
    <row r="86" spans="1:13" ht="12.75">
      <c r="A86" s="466" t="s">
        <v>3538</v>
      </c>
      <c r="B86" s="497"/>
      <c r="C86" s="677"/>
      <c r="D86" s="678"/>
      <c r="E86" s="678"/>
      <c r="F86" s="678"/>
      <c r="G86" s="506"/>
      <c r="H86" s="466"/>
      <c r="I86" s="464"/>
      <c r="J86" s="464"/>
      <c r="K86" s="464"/>
      <c r="L86" s="464"/>
      <c r="M86" s="464"/>
    </row>
    <row r="87" spans="1:13" ht="12.75" customHeight="1">
      <c r="A87" s="466" t="s">
        <v>3538</v>
      </c>
      <c r="B87" s="497"/>
      <c r="C87" s="502"/>
      <c r="D87" s="505"/>
      <c r="E87" s="505"/>
      <c r="F87" s="505"/>
      <c r="G87" s="506"/>
      <c r="H87" s="466"/>
      <c r="I87" s="464"/>
      <c r="J87" s="464"/>
      <c r="K87" s="464"/>
      <c r="L87" s="464"/>
      <c r="M87" s="464"/>
    </row>
    <row r="88" spans="1:13" ht="12.75" customHeight="1" thickBot="1">
      <c r="A88" s="466" t="s">
        <v>3538</v>
      </c>
      <c r="B88" s="521"/>
      <c r="C88" s="522"/>
      <c r="D88" s="523"/>
      <c r="E88" s="523"/>
      <c r="F88" s="523"/>
      <c r="G88" s="524"/>
      <c r="H88" s="466"/>
      <c r="I88" s="464"/>
      <c r="J88" s="464"/>
      <c r="K88" s="464"/>
      <c r="L88" s="464"/>
      <c r="M88" s="464"/>
    </row>
    <row r="89" spans="1:13" ht="12.75" customHeight="1" thickBot="1">
      <c r="A89" s="466" t="s">
        <v>3538</v>
      </c>
      <c r="B89" s="466"/>
      <c r="C89" s="525"/>
      <c r="D89" s="525"/>
      <c r="E89" s="525"/>
      <c r="F89" s="525"/>
      <c r="G89" s="525"/>
      <c r="H89" s="466"/>
      <c r="I89" s="464"/>
      <c r="J89" s="464"/>
      <c r="K89" s="464"/>
      <c r="L89" s="464"/>
      <c r="M89" s="464"/>
    </row>
    <row r="90" spans="1:13" ht="20.25">
      <c r="A90" s="466" t="s">
        <v>3538</v>
      </c>
      <c r="B90" s="526"/>
      <c r="C90" s="527"/>
      <c r="D90" s="528" t="s">
        <v>3542</v>
      </c>
      <c r="E90" s="529"/>
      <c r="F90" s="525"/>
      <c r="G90" s="525"/>
      <c r="H90" s="466"/>
      <c r="I90" s="464"/>
      <c r="J90" s="464"/>
      <c r="K90" s="464"/>
      <c r="L90" s="464"/>
      <c r="M90" s="464"/>
    </row>
    <row r="91" spans="1:13" ht="21" thickBot="1">
      <c r="A91" s="466" t="s">
        <v>3538</v>
      </c>
      <c r="B91" s="485"/>
      <c r="C91" s="486"/>
      <c r="D91" s="486"/>
      <c r="E91" s="487"/>
      <c r="F91" s="525"/>
      <c r="G91" s="525"/>
      <c r="H91" s="466"/>
      <c r="I91" s="464"/>
      <c r="J91" s="464"/>
      <c r="K91" s="464"/>
      <c r="L91" s="464"/>
      <c r="M91" s="464"/>
    </row>
    <row r="92" spans="1:13" ht="12.75">
      <c r="A92" s="466" t="s">
        <v>3538</v>
      </c>
      <c r="B92" s="530"/>
      <c r="C92" s="531"/>
      <c r="D92" s="532"/>
      <c r="E92" s="533"/>
      <c r="F92" s="525"/>
      <c r="G92" s="525"/>
      <c r="H92" s="466"/>
      <c r="I92" s="464"/>
      <c r="J92" s="464"/>
      <c r="K92" s="464"/>
      <c r="L92" s="464"/>
      <c r="M92" s="464"/>
    </row>
    <row r="93" spans="1:13" ht="12.75">
      <c r="A93" s="466" t="s">
        <v>3538</v>
      </c>
      <c r="B93" s="501"/>
      <c r="C93" s="507"/>
      <c r="D93" s="534"/>
      <c r="E93" s="535"/>
      <c r="F93" s="525"/>
      <c r="G93" s="525"/>
      <c r="H93" s="466"/>
      <c r="I93" s="464"/>
      <c r="J93" s="464"/>
      <c r="K93" s="464"/>
      <c r="L93" s="464"/>
      <c r="M93" s="464"/>
    </row>
    <row r="94" spans="1:13" ht="12.75">
      <c r="A94" s="466" t="s">
        <v>3538</v>
      </c>
      <c r="B94" s="501"/>
      <c r="C94" s="507"/>
      <c r="D94" s="534"/>
      <c r="E94" s="535"/>
      <c r="F94" s="525"/>
      <c r="G94" s="525"/>
      <c r="H94" s="466"/>
      <c r="I94" s="464"/>
      <c r="J94" s="464"/>
      <c r="K94" s="464"/>
      <c r="L94" s="464"/>
      <c r="M94" s="464"/>
    </row>
    <row r="95" spans="1:13" ht="12.75">
      <c r="A95" s="466" t="s">
        <v>3538</v>
      </c>
      <c r="B95" s="501"/>
      <c r="C95" s="507"/>
      <c r="D95" s="534"/>
      <c r="E95" s="535"/>
      <c r="F95" s="525"/>
      <c r="G95" s="525"/>
      <c r="H95" s="466"/>
      <c r="I95" s="464"/>
      <c r="J95" s="464"/>
      <c r="K95" s="464"/>
      <c r="L95" s="464"/>
      <c r="M95" s="464"/>
    </row>
    <row r="96" spans="1:13" ht="12.75">
      <c r="A96" s="466" t="s">
        <v>3538</v>
      </c>
      <c r="B96" s="501"/>
      <c r="C96" s="507"/>
      <c r="D96" s="534"/>
      <c r="E96" s="535"/>
      <c r="F96" s="525"/>
      <c r="G96" s="525"/>
      <c r="H96" s="466"/>
      <c r="I96" s="464"/>
      <c r="J96" s="464"/>
      <c r="K96" s="464"/>
      <c r="L96" s="464"/>
      <c r="M96" s="464"/>
    </row>
    <row r="97" spans="1:13" ht="12.75">
      <c r="A97" s="466" t="s">
        <v>3538</v>
      </c>
      <c r="B97" s="501"/>
      <c r="C97" s="507"/>
      <c r="D97" s="534"/>
      <c r="E97" s="535"/>
      <c r="F97" s="466"/>
      <c r="G97" s="466"/>
      <c r="H97" s="466"/>
      <c r="I97" s="464"/>
      <c r="J97" s="464"/>
      <c r="K97" s="464"/>
      <c r="L97" s="464"/>
      <c r="M97" s="464"/>
    </row>
    <row r="98" spans="1:13" ht="12.75">
      <c r="A98" s="466" t="s">
        <v>3538</v>
      </c>
      <c r="B98" s="501"/>
      <c r="C98" s="507"/>
      <c r="D98" s="534"/>
      <c r="E98" s="535"/>
      <c r="F98" s="466"/>
      <c r="G98" s="466"/>
      <c r="H98" s="466"/>
      <c r="I98" s="464"/>
      <c r="J98" s="464"/>
      <c r="K98" s="464"/>
      <c r="L98" s="464"/>
      <c r="M98" s="464"/>
    </row>
    <row r="99" spans="1:13" ht="12.75">
      <c r="A99" s="466" t="s">
        <v>3538</v>
      </c>
      <c r="B99" s="501"/>
      <c r="C99" s="507"/>
      <c r="D99" s="534"/>
      <c r="E99" s="535"/>
      <c r="F99" s="466"/>
      <c r="G99" s="466"/>
      <c r="H99" s="466"/>
      <c r="I99" s="464"/>
      <c r="J99" s="464"/>
      <c r="K99" s="464"/>
      <c r="L99" s="464"/>
      <c r="M99" s="464"/>
    </row>
    <row r="100" spans="1:13" ht="12.75">
      <c r="A100" s="466" t="s">
        <v>3538</v>
      </c>
      <c r="B100" s="501"/>
      <c r="C100" s="507"/>
      <c r="D100" s="534"/>
      <c r="E100" s="535"/>
      <c r="F100" s="466"/>
      <c r="G100" s="466"/>
      <c r="H100" s="466"/>
      <c r="I100" s="464"/>
      <c r="J100" s="464"/>
      <c r="K100" s="464"/>
      <c r="L100" s="464"/>
      <c r="M100" s="464"/>
    </row>
    <row r="101" spans="1:13" ht="12.75">
      <c r="A101" s="466" t="s">
        <v>3538</v>
      </c>
      <c r="B101" s="501"/>
      <c r="C101" s="507"/>
      <c r="D101" s="534"/>
      <c r="E101" s="535"/>
      <c r="F101" s="466"/>
      <c r="G101" s="466"/>
      <c r="H101" s="466"/>
      <c r="I101" s="464"/>
      <c r="J101" s="464"/>
      <c r="K101" s="464"/>
      <c r="L101" s="464"/>
      <c r="M101" s="464"/>
    </row>
    <row r="102" spans="1:13" ht="12.75">
      <c r="A102" s="466" t="s">
        <v>3538</v>
      </c>
      <c r="B102" s="501"/>
      <c r="C102" s="507"/>
      <c r="D102" s="534"/>
      <c r="E102" s="535"/>
      <c r="F102" s="466"/>
      <c r="G102" s="466"/>
      <c r="H102" s="466"/>
      <c r="I102" s="464"/>
      <c r="J102" s="464"/>
      <c r="K102" s="464"/>
      <c r="L102" s="464"/>
      <c r="M102" s="464"/>
    </row>
    <row r="103" spans="1:13" ht="12.75">
      <c r="A103" s="466" t="s">
        <v>3538</v>
      </c>
      <c r="B103" s="501"/>
      <c r="C103" s="507"/>
      <c r="D103" s="534"/>
      <c r="E103" s="535"/>
      <c r="F103" s="466"/>
      <c r="G103" s="466"/>
      <c r="H103" s="466"/>
      <c r="I103" s="464"/>
      <c r="J103" s="464"/>
      <c r="K103" s="464"/>
      <c r="L103" s="464"/>
      <c r="M103" s="464"/>
    </row>
    <row r="104" spans="1:13" ht="12.75">
      <c r="A104" s="466" t="s">
        <v>3538</v>
      </c>
      <c r="B104" s="501"/>
      <c r="C104" s="507"/>
      <c r="D104" s="534"/>
      <c r="E104" s="535"/>
      <c r="F104" s="466"/>
      <c r="G104" s="466"/>
      <c r="H104" s="466"/>
      <c r="I104" s="464"/>
      <c r="J104" s="464"/>
      <c r="K104" s="464"/>
      <c r="L104" s="464"/>
      <c r="M104" s="464"/>
    </row>
    <row r="105" spans="1:13" ht="12.75">
      <c r="A105" s="466" t="s">
        <v>3538</v>
      </c>
      <c r="B105" s="501"/>
      <c r="C105" s="507"/>
      <c r="D105" s="534"/>
      <c r="E105" s="535"/>
      <c r="F105" s="466"/>
      <c r="G105" s="466"/>
      <c r="H105" s="466"/>
      <c r="I105" s="464"/>
      <c r="J105" s="464"/>
      <c r="K105" s="464"/>
      <c r="L105" s="464"/>
      <c r="M105" s="464"/>
    </row>
    <row r="106" spans="1:13" ht="12.75">
      <c r="A106" s="466" t="s">
        <v>3538</v>
      </c>
      <c r="B106" s="501"/>
      <c r="C106" s="507"/>
      <c r="D106" s="534"/>
      <c r="E106" s="535"/>
      <c r="F106" s="466"/>
      <c r="G106" s="466"/>
      <c r="H106" s="466"/>
      <c r="I106" s="464"/>
      <c r="J106" s="464"/>
      <c r="K106" s="464"/>
      <c r="L106" s="464"/>
      <c r="M106" s="464"/>
    </row>
    <row r="107" spans="1:13" ht="12.75">
      <c r="A107" s="466" t="s">
        <v>3538</v>
      </c>
      <c r="B107" s="501"/>
      <c r="C107" s="507"/>
      <c r="D107" s="534"/>
      <c r="E107" s="535"/>
      <c r="F107" s="466"/>
      <c r="G107" s="466"/>
      <c r="H107" s="466"/>
      <c r="I107" s="464"/>
      <c r="J107" s="464"/>
      <c r="K107" s="464"/>
      <c r="L107" s="464"/>
      <c r="M107" s="464"/>
    </row>
    <row r="108" spans="1:13" ht="12.75">
      <c r="A108" s="466" t="s">
        <v>3538</v>
      </c>
      <c r="B108" s="501"/>
      <c r="C108" s="507"/>
      <c r="D108" s="534"/>
      <c r="E108" s="535"/>
      <c r="F108" s="466"/>
      <c r="G108" s="466"/>
      <c r="H108" s="466"/>
      <c r="I108" s="464"/>
      <c r="J108" s="464"/>
      <c r="K108" s="464"/>
      <c r="L108" s="464"/>
      <c r="M108" s="464"/>
    </row>
    <row r="109" spans="1:13" ht="12.75">
      <c r="A109" s="466" t="s">
        <v>3538</v>
      </c>
      <c r="B109" s="501"/>
      <c r="C109" s="507"/>
      <c r="D109" s="534"/>
      <c r="E109" s="535"/>
      <c r="F109" s="466"/>
      <c r="G109" s="466"/>
      <c r="H109" s="466"/>
      <c r="I109" s="464"/>
      <c r="J109" s="464"/>
      <c r="K109" s="464"/>
      <c r="L109" s="464"/>
      <c r="M109" s="464"/>
    </row>
    <row r="110" spans="1:13" ht="12.75">
      <c r="A110" s="466" t="s">
        <v>3538</v>
      </c>
      <c r="B110" s="501"/>
      <c r="C110" s="507"/>
      <c r="D110" s="534"/>
      <c r="E110" s="535"/>
      <c r="F110" s="466"/>
      <c r="G110" s="466"/>
      <c r="H110" s="466"/>
      <c r="I110" s="464"/>
      <c r="J110" s="464"/>
      <c r="K110" s="464"/>
      <c r="L110" s="464"/>
      <c r="M110" s="464"/>
    </row>
    <row r="111" spans="1:13" ht="12.75">
      <c r="A111" s="466" t="s">
        <v>3538</v>
      </c>
      <c r="B111" s="501"/>
      <c r="C111" s="507"/>
      <c r="D111" s="534"/>
      <c r="E111" s="535"/>
      <c r="F111" s="466"/>
      <c r="G111" s="466"/>
      <c r="H111" s="466"/>
      <c r="I111" s="464"/>
      <c r="J111" s="464"/>
      <c r="K111" s="464"/>
      <c r="L111" s="464"/>
      <c r="M111" s="464"/>
    </row>
    <row r="112" spans="1:13" ht="12.75">
      <c r="A112" s="466" t="s">
        <v>3538</v>
      </c>
      <c r="B112" s="501"/>
      <c r="C112" s="507"/>
      <c r="D112" s="534"/>
      <c r="E112" s="535"/>
      <c r="F112" s="466"/>
      <c r="G112" s="466"/>
      <c r="H112" s="466"/>
      <c r="I112" s="464"/>
      <c r="J112" s="464"/>
      <c r="K112" s="464"/>
      <c r="L112" s="464"/>
      <c r="M112" s="464"/>
    </row>
    <row r="113" spans="1:13" ht="12.75">
      <c r="A113" s="466" t="s">
        <v>3538</v>
      </c>
      <c r="B113" s="501"/>
      <c r="C113" s="507"/>
      <c r="D113" s="534"/>
      <c r="E113" s="535"/>
      <c r="F113" s="466"/>
      <c r="G113" s="466"/>
      <c r="H113" s="466"/>
      <c r="I113" s="464"/>
      <c r="J113" s="464"/>
      <c r="K113" s="464"/>
      <c r="L113" s="464"/>
      <c r="M113" s="464"/>
    </row>
    <row r="114" spans="1:13" ht="12.75">
      <c r="A114" s="466" t="s">
        <v>3538</v>
      </c>
      <c r="B114" s="501"/>
      <c r="C114" s="507"/>
      <c r="D114" s="534"/>
      <c r="E114" s="535"/>
      <c r="F114" s="466"/>
      <c r="G114" s="466"/>
      <c r="H114" s="466"/>
      <c r="I114" s="464"/>
      <c r="J114" s="464"/>
      <c r="K114" s="464"/>
      <c r="L114" s="464"/>
      <c r="M114" s="464"/>
    </row>
    <row r="115" spans="1:13" ht="12.75">
      <c r="A115" s="466" t="s">
        <v>3538</v>
      </c>
      <c r="B115" s="501"/>
      <c r="C115" s="507"/>
      <c r="D115" s="534"/>
      <c r="E115" s="535"/>
      <c r="F115" s="466"/>
      <c r="G115" s="466"/>
      <c r="H115" s="466"/>
      <c r="I115" s="464"/>
      <c r="J115" s="464"/>
      <c r="K115" s="464"/>
      <c r="L115" s="464"/>
      <c r="M115" s="464"/>
    </row>
    <row r="116" spans="1:13" ht="12.75">
      <c r="A116" s="466" t="s">
        <v>3538</v>
      </c>
      <c r="B116" s="501"/>
      <c r="C116" s="507"/>
      <c r="D116" s="534"/>
      <c r="E116" s="535"/>
      <c r="F116" s="466"/>
      <c r="G116" s="466"/>
      <c r="H116" s="466"/>
      <c r="I116" s="464"/>
      <c r="J116" s="464"/>
      <c r="K116" s="464"/>
      <c r="L116" s="464"/>
      <c r="M116" s="464"/>
    </row>
    <row r="117" spans="1:13" ht="12.75">
      <c r="A117" s="466" t="s">
        <v>3538</v>
      </c>
      <c r="B117" s="501"/>
      <c r="C117" s="507"/>
      <c r="D117" s="534"/>
      <c r="E117" s="535"/>
      <c r="F117" s="466"/>
      <c r="G117" s="466"/>
      <c r="H117" s="466"/>
      <c r="I117" s="464"/>
      <c r="J117" s="464"/>
      <c r="K117" s="464"/>
      <c r="L117" s="464"/>
      <c r="M117" s="464"/>
    </row>
    <row r="118" spans="1:13" ht="12.75">
      <c r="A118" s="466" t="s">
        <v>3538</v>
      </c>
      <c r="B118" s="501"/>
      <c r="C118" s="507"/>
      <c r="D118" s="534"/>
      <c r="E118" s="535"/>
      <c r="F118" s="466"/>
      <c r="G118" s="466"/>
      <c r="H118" s="466"/>
      <c r="I118" s="464"/>
      <c r="J118" s="464"/>
      <c r="K118" s="464"/>
      <c r="L118" s="464"/>
      <c r="M118" s="464"/>
    </row>
    <row r="119" spans="1:13" ht="12.75">
      <c r="A119" s="466" t="s">
        <v>3538</v>
      </c>
      <c r="B119" s="501"/>
      <c r="C119" s="507"/>
      <c r="D119" s="534"/>
      <c r="E119" s="535"/>
      <c r="F119" s="466"/>
      <c r="G119" s="466"/>
      <c r="H119" s="466"/>
      <c r="I119" s="464"/>
      <c r="J119" s="464"/>
      <c r="K119" s="464"/>
      <c r="L119" s="464"/>
      <c r="M119" s="464"/>
    </row>
    <row r="120" spans="1:13" ht="12.75">
      <c r="A120" s="466" t="s">
        <v>3538</v>
      </c>
      <c r="B120" s="501"/>
      <c r="C120" s="507"/>
      <c r="D120" s="534"/>
      <c r="E120" s="535"/>
      <c r="F120" s="466"/>
      <c r="G120" s="466"/>
      <c r="H120" s="466"/>
      <c r="I120" s="464"/>
      <c r="J120" s="464"/>
      <c r="K120" s="464"/>
      <c r="L120" s="464"/>
      <c r="M120" s="464"/>
    </row>
    <row r="121" spans="1:13" ht="12.75">
      <c r="A121" s="466" t="s">
        <v>3538</v>
      </c>
      <c r="B121" s="501"/>
      <c r="C121" s="507"/>
      <c r="D121" s="534"/>
      <c r="E121" s="535"/>
      <c r="F121" s="466"/>
      <c r="G121" s="466"/>
      <c r="H121" s="466"/>
      <c r="I121" s="464"/>
      <c r="J121" s="464"/>
      <c r="K121" s="464"/>
      <c r="L121" s="464"/>
      <c r="M121" s="464"/>
    </row>
    <row r="122" spans="1:13" ht="12.75">
      <c r="A122" s="466" t="s">
        <v>3538</v>
      </c>
      <c r="B122" s="501"/>
      <c r="C122" s="507"/>
      <c r="D122" s="534"/>
      <c r="E122" s="535"/>
      <c r="F122" s="466"/>
      <c r="G122" s="466"/>
      <c r="H122" s="466"/>
      <c r="I122" s="464"/>
      <c r="J122" s="464"/>
      <c r="K122" s="464"/>
      <c r="L122" s="464"/>
      <c r="M122" s="464"/>
    </row>
    <row r="123" spans="1:13" ht="12.75">
      <c r="A123" s="466" t="s">
        <v>3538</v>
      </c>
      <c r="B123" s="501"/>
      <c r="C123" s="507"/>
      <c r="D123" s="534"/>
      <c r="E123" s="535"/>
      <c r="F123" s="466"/>
      <c r="G123" s="466"/>
      <c r="H123" s="466"/>
      <c r="I123" s="464"/>
      <c r="J123" s="464"/>
      <c r="K123" s="464"/>
      <c r="L123" s="464"/>
      <c r="M123" s="464"/>
    </row>
    <row r="124" spans="1:13" ht="12.75">
      <c r="A124" s="466" t="s">
        <v>3538</v>
      </c>
      <c r="B124" s="501"/>
      <c r="C124" s="507"/>
      <c r="D124" s="534"/>
      <c r="E124" s="535"/>
      <c r="F124" s="466"/>
      <c r="G124" s="466"/>
      <c r="H124" s="466"/>
      <c r="I124" s="464"/>
      <c r="J124" s="464"/>
      <c r="K124" s="464"/>
      <c r="L124" s="464"/>
      <c r="M124" s="464"/>
    </row>
    <row r="125" spans="1:13" ht="12.75">
      <c r="A125" s="466" t="s">
        <v>3538</v>
      </c>
      <c r="B125" s="501"/>
      <c r="C125" s="507"/>
      <c r="D125" s="534"/>
      <c r="E125" s="535"/>
      <c r="F125" s="466"/>
      <c r="G125" s="466"/>
      <c r="H125" s="466"/>
      <c r="I125" s="464"/>
      <c r="J125" s="464"/>
      <c r="K125" s="464"/>
      <c r="L125" s="464"/>
      <c r="M125" s="464"/>
    </row>
    <row r="126" spans="1:13" ht="12.75">
      <c r="A126" s="466" t="s">
        <v>3538</v>
      </c>
      <c r="B126" s="501"/>
      <c r="C126" s="507"/>
      <c r="D126" s="534"/>
      <c r="E126" s="535"/>
      <c r="F126" s="466"/>
      <c r="G126" s="466"/>
      <c r="H126" s="466"/>
      <c r="I126" s="464"/>
      <c r="J126" s="464"/>
      <c r="K126" s="464"/>
      <c r="L126" s="464"/>
      <c r="M126" s="464"/>
    </row>
    <row r="127" spans="1:13" ht="12.75">
      <c r="A127" s="466" t="s">
        <v>3538</v>
      </c>
      <c r="B127" s="501"/>
      <c r="C127" s="507"/>
      <c r="D127" s="534"/>
      <c r="E127" s="535"/>
      <c r="F127" s="466"/>
      <c r="G127" s="466"/>
      <c r="H127" s="466"/>
      <c r="I127" s="464"/>
      <c r="J127" s="464"/>
      <c r="K127" s="464"/>
      <c r="L127" s="464"/>
      <c r="M127" s="464"/>
    </row>
    <row r="128" spans="1:13" ht="12.75">
      <c r="A128" s="466" t="s">
        <v>3538</v>
      </c>
      <c r="B128" s="501"/>
      <c r="C128" s="507"/>
      <c r="D128" s="534"/>
      <c r="E128" s="535"/>
      <c r="F128" s="466"/>
      <c r="G128" s="466"/>
      <c r="H128" s="466"/>
      <c r="I128" s="464"/>
      <c r="J128" s="464"/>
      <c r="K128" s="464"/>
      <c r="L128" s="464"/>
      <c r="M128" s="464"/>
    </row>
    <row r="129" spans="1:13" ht="12.75">
      <c r="A129" s="466" t="s">
        <v>3538</v>
      </c>
      <c r="B129" s="501"/>
      <c r="C129" s="507"/>
      <c r="D129" s="534"/>
      <c r="E129" s="535"/>
      <c r="F129" s="466"/>
      <c r="G129" s="466"/>
      <c r="H129" s="466"/>
      <c r="I129" s="464"/>
      <c r="J129" s="464"/>
      <c r="K129" s="464"/>
      <c r="L129" s="464"/>
      <c r="M129" s="464"/>
    </row>
    <row r="130" spans="1:13" ht="12.75">
      <c r="A130" s="466" t="s">
        <v>3538</v>
      </c>
      <c r="B130" s="501"/>
      <c r="C130" s="507"/>
      <c r="D130" s="534"/>
      <c r="E130" s="535"/>
      <c r="F130" s="466"/>
      <c r="G130" s="466"/>
      <c r="H130" s="466"/>
      <c r="I130" s="464"/>
      <c r="J130" s="464"/>
      <c r="K130" s="464"/>
      <c r="L130" s="464"/>
      <c r="M130" s="464"/>
    </row>
    <row r="131" spans="1:13" ht="12.75">
      <c r="A131" s="466" t="s">
        <v>3538</v>
      </c>
      <c r="B131" s="501"/>
      <c r="C131" s="507"/>
      <c r="D131" s="534"/>
      <c r="E131" s="535"/>
      <c r="F131" s="466"/>
      <c r="G131" s="466"/>
      <c r="H131" s="466"/>
      <c r="I131" s="464"/>
      <c r="J131" s="464"/>
      <c r="K131" s="464"/>
      <c r="L131" s="464"/>
      <c r="M131" s="464"/>
    </row>
    <row r="132" spans="1:13" ht="12.75">
      <c r="A132" s="466" t="s">
        <v>3538</v>
      </c>
      <c r="B132" s="501"/>
      <c r="C132" s="507"/>
      <c r="D132" s="534"/>
      <c r="E132" s="535"/>
      <c r="F132" s="466"/>
      <c r="G132" s="466"/>
      <c r="H132" s="466"/>
      <c r="I132" s="464"/>
      <c r="J132" s="464"/>
      <c r="K132" s="464"/>
      <c r="L132" s="464"/>
      <c r="M132" s="464"/>
    </row>
    <row r="133" spans="1:13" ht="12.75">
      <c r="A133" s="466" t="s">
        <v>3538</v>
      </c>
      <c r="B133" s="501"/>
      <c r="C133" s="507"/>
      <c r="D133" s="534"/>
      <c r="E133" s="535"/>
      <c r="F133" s="466"/>
      <c r="G133" s="466"/>
      <c r="H133" s="466"/>
      <c r="I133" s="464"/>
      <c r="J133" s="464"/>
      <c r="K133" s="464"/>
      <c r="L133" s="464"/>
      <c r="M133" s="464"/>
    </row>
    <row r="134" spans="1:13" ht="12.75">
      <c r="A134" s="466" t="s">
        <v>3538</v>
      </c>
      <c r="B134" s="501"/>
      <c r="C134" s="507"/>
      <c r="D134" s="534"/>
      <c r="E134" s="535"/>
      <c r="F134" s="466"/>
      <c r="G134" s="466"/>
      <c r="H134" s="466"/>
      <c r="I134" s="464"/>
      <c r="J134" s="464"/>
      <c r="K134" s="464"/>
      <c r="L134" s="464"/>
      <c r="M134" s="464"/>
    </row>
    <row r="135" spans="1:13" ht="12.75">
      <c r="A135" s="466" t="s">
        <v>3538</v>
      </c>
      <c r="B135" s="501"/>
      <c r="C135" s="507"/>
      <c r="D135" s="534"/>
      <c r="E135" s="535"/>
      <c r="F135" s="466"/>
      <c r="G135" s="466"/>
      <c r="H135" s="466"/>
      <c r="I135" s="464"/>
      <c r="J135" s="464"/>
      <c r="K135" s="464"/>
      <c r="L135" s="464"/>
      <c r="M135" s="464"/>
    </row>
    <row r="136" spans="1:13" ht="12.75">
      <c r="A136" s="466" t="s">
        <v>3538</v>
      </c>
      <c r="B136" s="501"/>
      <c r="C136" s="507"/>
      <c r="D136" s="534"/>
      <c r="E136" s="535"/>
      <c r="F136" s="466"/>
      <c r="G136" s="466"/>
      <c r="H136" s="466"/>
      <c r="I136" s="464"/>
      <c r="J136" s="464"/>
      <c r="K136" s="464"/>
      <c r="L136" s="464"/>
      <c r="M136" s="464"/>
    </row>
    <row r="137" spans="1:13" ht="12.75">
      <c r="A137" s="466" t="s">
        <v>3538</v>
      </c>
      <c r="B137" s="501"/>
      <c r="C137" s="507"/>
      <c r="D137" s="534"/>
      <c r="E137" s="535"/>
      <c r="F137" s="466"/>
      <c r="G137" s="466"/>
      <c r="H137" s="466"/>
      <c r="I137" s="464"/>
      <c r="J137" s="464"/>
      <c r="K137" s="464"/>
      <c r="L137" s="464"/>
      <c r="M137" s="464"/>
    </row>
    <row r="138" spans="1:13" ht="12.75">
      <c r="A138" s="466" t="s">
        <v>3538</v>
      </c>
      <c r="B138" s="501"/>
      <c r="C138" s="507"/>
      <c r="D138" s="534"/>
      <c r="E138" s="535"/>
      <c r="F138" s="466"/>
      <c r="G138" s="466"/>
      <c r="H138" s="466"/>
      <c r="I138" s="464"/>
      <c r="J138" s="464"/>
      <c r="K138" s="464"/>
      <c r="L138" s="464"/>
      <c r="M138" s="464"/>
    </row>
    <row r="139" spans="1:13" ht="12.75">
      <c r="A139" s="466" t="s">
        <v>3538</v>
      </c>
      <c r="B139" s="501"/>
      <c r="C139" s="507"/>
      <c r="D139" s="534"/>
      <c r="E139" s="535"/>
      <c r="F139" s="466"/>
      <c r="G139" s="466"/>
      <c r="H139" s="466"/>
      <c r="I139" s="464"/>
      <c r="J139" s="464"/>
      <c r="K139" s="464"/>
      <c r="L139" s="464"/>
      <c r="M139" s="464"/>
    </row>
    <row r="140" spans="1:13" ht="12.75">
      <c r="A140" s="466" t="s">
        <v>3538</v>
      </c>
      <c r="B140" s="501"/>
      <c r="C140" s="507"/>
      <c r="D140" s="534"/>
      <c r="E140" s="535"/>
      <c r="F140" s="466"/>
      <c r="G140" s="466"/>
      <c r="H140" s="466"/>
      <c r="I140" s="464"/>
      <c r="J140" s="464"/>
      <c r="K140" s="464"/>
      <c r="L140" s="464"/>
      <c r="M140" s="464"/>
    </row>
    <row r="141" spans="1:13" ht="12.75">
      <c r="A141" s="466" t="s">
        <v>3538</v>
      </c>
      <c r="B141" s="501"/>
      <c r="C141" s="507"/>
      <c r="D141" s="534"/>
      <c r="E141" s="535"/>
      <c r="F141" s="466"/>
      <c r="G141" s="466"/>
      <c r="H141" s="466"/>
      <c r="I141" s="464"/>
      <c r="J141" s="464"/>
      <c r="K141" s="464"/>
      <c r="L141" s="464"/>
      <c r="M141" s="464"/>
    </row>
    <row r="142" spans="1:13" ht="12.75">
      <c r="A142" s="466" t="s">
        <v>3538</v>
      </c>
      <c r="B142" s="501"/>
      <c r="C142" s="507"/>
      <c r="D142" s="534"/>
      <c r="E142" s="535"/>
      <c r="F142" s="466"/>
      <c r="G142" s="466"/>
      <c r="H142" s="466"/>
      <c r="I142" s="464"/>
      <c r="J142" s="464"/>
      <c r="K142" s="464"/>
      <c r="L142" s="464"/>
      <c r="M142" s="464"/>
    </row>
    <row r="143" spans="1:13" ht="12.75">
      <c r="A143" s="466" t="s">
        <v>3538</v>
      </c>
      <c r="B143" s="501"/>
      <c r="C143" s="507"/>
      <c r="D143" s="534"/>
      <c r="E143" s="535"/>
      <c r="F143" s="466"/>
      <c r="G143" s="466"/>
      <c r="H143" s="466"/>
      <c r="I143" s="464"/>
      <c r="J143" s="464"/>
      <c r="K143" s="464"/>
      <c r="L143" s="464"/>
      <c r="M143" s="464"/>
    </row>
    <row r="144" spans="1:13" ht="12.75">
      <c r="A144" s="466" t="s">
        <v>3538</v>
      </c>
      <c r="B144" s="501"/>
      <c r="C144" s="507"/>
      <c r="D144" s="534"/>
      <c r="E144" s="535"/>
      <c r="F144" s="466"/>
      <c r="G144" s="466"/>
      <c r="H144" s="466"/>
      <c r="I144" s="464"/>
      <c r="J144" s="464"/>
      <c r="K144" s="464"/>
      <c r="L144" s="464"/>
      <c r="M144" s="464"/>
    </row>
    <row r="145" spans="1:13" ht="12.75">
      <c r="A145" s="466" t="s">
        <v>3538</v>
      </c>
      <c r="B145" s="501"/>
      <c r="C145" s="507"/>
      <c r="D145" s="534"/>
      <c r="E145" s="535"/>
      <c r="F145" s="466"/>
      <c r="G145" s="466"/>
      <c r="H145" s="466"/>
      <c r="I145" s="464"/>
      <c r="J145" s="464"/>
      <c r="K145" s="464"/>
      <c r="L145" s="464"/>
      <c r="M145" s="464"/>
    </row>
    <row r="146" spans="1:13" ht="12.75">
      <c r="A146" s="466" t="s">
        <v>3538</v>
      </c>
      <c r="B146" s="501"/>
      <c r="C146" s="507"/>
      <c r="D146" s="534"/>
      <c r="E146" s="535"/>
      <c r="F146" s="466"/>
      <c r="G146" s="466"/>
      <c r="H146" s="466"/>
      <c r="I146" s="464"/>
      <c r="J146" s="464"/>
      <c r="K146" s="464"/>
      <c r="L146" s="464"/>
      <c r="M146" s="464"/>
    </row>
    <row r="147" spans="1:13" ht="13.5" thickBot="1">
      <c r="A147" s="466" t="s">
        <v>3538</v>
      </c>
      <c r="B147" s="508"/>
      <c r="C147" s="509"/>
      <c r="D147" s="537"/>
      <c r="E147" s="538"/>
      <c r="F147" s="466"/>
      <c r="G147" s="466"/>
      <c r="H147" s="466"/>
      <c r="I147" s="464"/>
      <c r="J147" s="464"/>
      <c r="K147" s="464"/>
      <c r="L147" s="464"/>
      <c r="M147" s="464"/>
    </row>
    <row r="148" spans="1:13" ht="12.75">
      <c r="A148" s="466" t="s">
        <v>3538</v>
      </c>
      <c r="B148" s="466" t="s">
        <v>3538</v>
      </c>
      <c r="C148" s="466" t="s">
        <v>3538</v>
      </c>
      <c r="D148" s="466" t="s">
        <v>3538</v>
      </c>
      <c r="E148" s="466" t="s">
        <v>3538</v>
      </c>
      <c r="F148" s="466"/>
      <c r="G148" s="466"/>
      <c r="H148" s="466"/>
      <c r="I148" s="464"/>
      <c r="J148" s="464"/>
      <c r="K148" s="464"/>
      <c r="L148" s="464"/>
      <c r="M148" s="466" t="s">
        <v>3538</v>
      </c>
    </row>
    <row r="149" spans="1:13" ht="12.75">
      <c r="A149" s="465"/>
      <c r="B149" s="465"/>
      <c r="C149" s="465"/>
      <c r="D149" s="465"/>
      <c r="E149" s="465"/>
      <c r="F149" s="465"/>
      <c r="G149" s="465"/>
      <c r="H149" s="465"/>
      <c r="I149" s="465"/>
      <c r="J149" s="465"/>
      <c r="K149" s="465"/>
      <c r="L149" s="465"/>
      <c r="M149" s="465"/>
    </row>
    <row r="150" spans="1:13" ht="12.75">
      <c r="A150" s="465"/>
      <c r="B150" s="465"/>
      <c r="C150" s="465"/>
      <c r="D150" s="465"/>
      <c r="E150" s="465"/>
      <c r="F150" s="465"/>
      <c r="G150" s="465"/>
      <c r="H150" s="465"/>
      <c r="I150" s="465"/>
      <c r="J150" s="465"/>
      <c r="K150" s="465"/>
      <c r="L150" s="465"/>
      <c r="M150" s="465"/>
    </row>
    <row r="151" spans="1:17" s="536" customFormat="1" ht="12.75">
      <c r="A151" s="465"/>
      <c r="B151" s="465"/>
      <c r="C151" s="465"/>
      <c r="D151" s="465"/>
      <c r="E151" s="465"/>
      <c r="F151" s="465"/>
      <c r="G151" s="465"/>
      <c r="H151" s="465"/>
      <c r="I151" s="465"/>
      <c r="J151" s="465"/>
      <c r="K151" s="465"/>
      <c r="L151" s="465"/>
      <c r="M151" s="465"/>
      <c r="N151" s="465"/>
      <c r="O151" s="465"/>
      <c r="P151" s="465"/>
      <c r="Q151" s="465"/>
    </row>
    <row r="152" spans="1:17" s="536" customFormat="1" ht="12.75">
      <c r="A152" s="465"/>
      <c r="B152" s="465"/>
      <c r="C152" s="465"/>
      <c r="D152" s="465"/>
      <c r="E152" s="465"/>
      <c r="F152" s="465"/>
      <c r="G152" s="465"/>
      <c r="H152" s="465"/>
      <c r="I152" s="465"/>
      <c r="J152" s="465"/>
      <c r="K152" s="465"/>
      <c r="L152" s="465"/>
      <c r="M152" s="465"/>
      <c r="N152" s="465"/>
      <c r="O152" s="465"/>
      <c r="P152" s="465"/>
      <c r="Q152" s="465"/>
    </row>
    <row r="153" spans="1:17" s="536" customFormat="1" ht="12.75">
      <c r="A153" s="465"/>
      <c r="B153" s="465"/>
      <c r="C153" s="465"/>
      <c r="D153" s="465"/>
      <c r="E153" s="465"/>
      <c r="F153" s="465"/>
      <c r="G153" s="465"/>
      <c r="H153" s="465"/>
      <c r="I153" s="465"/>
      <c r="J153" s="465"/>
      <c r="K153" s="465"/>
      <c r="L153" s="465"/>
      <c r="M153" s="465"/>
      <c r="N153" s="465"/>
      <c r="O153" s="465"/>
      <c r="P153" s="465"/>
      <c r="Q153" s="465"/>
    </row>
    <row r="154" spans="1:17" s="536" customFormat="1" ht="12.75">
      <c r="A154" s="465"/>
      <c r="B154" s="465"/>
      <c r="C154" s="465"/>
      <c r="D154" s="465"/>
      <c r="E154" s="465"/>
      <c r="F154" s="465"/>
      <c r="G154" s="465"/>
      <c r="H154" s="465"/>
      <c r="I154" s="465"/>
      <c r="J154" s="465"/>
      <c r="K154" s="465"/>
      <c r="L154" s="465"/>
      <c r="M154" s="465"/>
      <c r="N154" s="465"/>
      <c r="O154" s="465"/>
      <c r="P154" s="465"/>
      <c r="Q154" s="465"/>
    </row>
    <row r="155" spans="9:17" s="536" customFormat="1" ht="12.75">
      <c r="I155" s="465"/>
      <c r="J155" s="465"/>
      <c r="K155" s="465"/>
      <c r="L155" s="465"/>
      <c r="M155" s="465"/>
      <c r="N155" s="465"/>
      <c r="O155" s="465"/>
      <c r="P155" s="465"/>
      <c r="Q155" s="465"/>
    </row>
    <row r="156" spans="9:17" s="536" customFormat="1" ht="12.75">
      <c r="I156" s="465"/>
      <c r="J156" s="465"/>
      <c r="K156" s="465"/>
      <c r="L156" s="465"/>
      <c r="M156" s="465"/>
      <c r="N156" s="465"/>
      <c r="O156" s="465"/>
      <c r="P156" s="465"/>
      <c r="Q156" s="465"/>
    </row>
    <row r="157" spans="9:17" s="536" customFormat="1" ht="12.75">
      <c r="I157" s="465"/>
      <c r="J157" s="465"/>
      <c r="K157" s="465"/>
      <c r="L157" s="465"/>
      <c r="M157" s="465"/>
      <c r="N157" s="465"/>
      <c r="O157" s="465"/>
      <c r="P157" s="465"/>
      <c r="Q157" s="465"/>
    </row>
    <row r="158" spans="9:17" s="536" customFormat="1" ht="12.75">
      <c r="I158" s="465"/>
      <c r="J158" s="465"/>
      <c r="K158" s="465"/>
      <c r="L158" s="465"/>
      <c r="M158" s="465"/>
      <c r="N158" s="465"/>
      <c r="O158" s="465"/>
      <c r="P158" s="465"/>
      <c r="Q158" s="465"/>
    </row>
    <row r="159" spans="9:17" s="536" customFormat="1" ht="12.75">
      <c r="I159" s="465"/>
      <c r="J159" s="465"/>
      <c r="K159" s="465"/>
      <c r="L159" s="465"/>
      <c r="M159" s="465"/>
      <c r="N159" s="465"/>
      <c r="O159" s="465"/>
      <c r="P159" s="465"/>
      <c r="Q159" s="465"/>
    </row>
    <row r="160" spans="9:17" s="536" customFormat="1" ht="12.75">
      <c r="I160" s="465"/>
      <c r="J160" s="465"/>
      <c r="K160" s="465"/>
      <c r="L160" s="465"/>
      <c r="M160" s="465"/>
      <c r="N160" s="465"/>
      <c r="O160" s="465"/>
      <c r="P160" s="465"/>
      <c r="Q160" s="465"/>
    </row>
    <row r="161" spans="9:17" s="536" customFormat="1" ht="12.75">
      <c r="I161" s="465"/>
      <c r="J161" s="465"/>
      <c r="K161" s="465"/>
      <c r="L161" s="465"/>
      <c r="M161" s="465"/>
      <c r="N161" s="465"/>
      <c r="O161" s="465"/>
      <c r="P161" s="465"/>
      <c r="Q161" s="465"/>
    </row>
    <row r="162" spans="9:17" s="536" customFormat="1" ht="12.75">
      <c r="I162" s="465"/>
      <c r="J162" s="465"/>
      <c r="K162" s="465"/>
      <c r="L162" s="465"/>
      <c r="M162" s="465"/>
      <c r="N162" s="465"/>
      <c r="O162" s="465"/>
      <c r="P162" s="465"/>
      <c r="Q162" s="465"/>
    </row>
    <row r="163" spans="9:17" s="536" customFormat="1" ht="12.75">
      <c r="I163" s="465"/>
      <c r="J163" s="465"/>
      <c r="K163" s="465"/>
      <c r="L163" s="465"/>
      <c r="M163" s="465"/>
      <c r="N163" s="465"/>
      <c r="O163" s="465"/>
      <c r="P163" s="465"/>
      <c r="Q163" s="465"/>
    </row>
    <row r="164" spans="9:17" s="536" customFormat="1" ht="12.75">
      <c r="I164" s="465"/>
      <c r="J164" s="465"/>
      <c r="K164" s="465"/>
      <c r="L164" s="465"/>
      <c r="M164" s="465"/>
      <c r="N164" s="465"/>
      <c r="O164" s="465"/>
      <c r="P164" s="465"/>
      <c r="Q164" s="465"/>
    </row>
    <row r="165" spans="9:17" s="536" customFormat="1" ht="12.75">
      <c r="I165" s="465"/>
      <c r="J165" s="465"/>
      <c r="K165" s="465"/>
      <c r="L165" s="465"/>
      <c r="M165" s="465"/>
      <c r="N165" s="465"/>
      <c r="O165" s="465"/>
      <c r="P165" s="465"/>
      <c r="Q165" s="465"/>
    </row>
    <row r="166" spans="9:17" s="536" customFormat="1" ht="12.75">
      <c r="I166" s="465"/>
      <c r="J166" s="465"/>
      <c r="K166" s="465"/>
      <c r="L166" s="465"/>
      <c r="M166" s="465"/>
      <c r="N166" s="465"/>
      <c r="O166" s="465"/>
      <c r="P166" s="465"/>
      <c r="Q166" s="465"/>
    </row>
    <row r="167" spans="9:17" s="536" customFormat="1" ht="12.75">
      <c r="I167" s="465"/>
      <c r="J167" s="465"/>
      <c r="K167" s="465"/>
      <c r="L167" s="465"/>
      <c r="M167" s="465"/>
      <c r="N167" s="465"/>
      <c r="O167" s="465"/>
      <c r="P167" s="465"/>
      <c r="Q167" s="465"/>
    </row>
    <row r="168" spans="9:17" s="536" customFormat="1" ht="12.75">
      <c r="I168" s="465"/>
      <c r="J168" s="465"/>
      <c r="K168" s="465"/>
      <c r="L168" s="465"/>
      <c r="M168" s="465"/>
      <c r="N168" s="465"/>
      <c r="O168" s="465"/>
      <c r="P168" s="465"/>
      <c r="Q168" s="465"/>
    </row>
    <row r="169" spans="9:17" s="536" customFormat="1" ht="12.75">
      <c r="I169" s="465"/>
      <c r="J169" s="465"/>
      <c r="K169" s="465"/>
      <c r="L169" s="465"/>
      <c r="M169" s="465"/>
      <c r="N169" s="465"/>
      <c r="O169" s="465"/>
      <c r="P169" s="465"/>
      <c r="Q169" s="465"/>
    </row>
    <row r="170" spans="9:17" s="536" customFormat="1" ht="12.75">
      <c r="I170" s="465"/>
      <c r="J170" s="465"/>
      <c r="K170" s="465"/>
      <c r="L170" s="465"/>
      <c r="M170" s="465"/>
      <c r="N170" s="465"/>
      <c r="O170" s="465"/>
      <c r="P170" s="465"/>
      <c r="Q170" s="465"/>
    </row>
    <row r="171" spans="9:17" s="536" customFormat="1" ht="12.75">
      <c r="I171" s="465"/>
      <c r="J171" s="465"/>
      <c r="K171" s="465"/>
      <c r="L171" s="465"/>
      <c r="M171" s="465"/>
      <c r="N171" s="465"/>
      <c r="O171" s="465"/>
      <c r="P171" s="465"/>
      <c r="Q171" s="465"/>
    </row>
    <row r="172" spans="9:17" s="536" customFormat="1" ht="12.75">
      <c r="I172" s="465"/>
      <c r="J172" s="465"/>
      <c r="K172" s="465"/>
      <c r="L172" s="465"/>
      <c r="M172" s="465"/>
      <c r="N172" s="465"/>
      <c r="O172" s="465"/>
      <c r="P172" s="465"/>
      <c r="Q172" s="465"/>
    </row>
    <row r="173" spans="9:17" s="536" customFormat="1" ht="12.75">
      <c r="I173" s="465"/>
      <c r="J173" s="465"/>
      <c r="K173" s="465"/>
      <c r="L173" s="465"/>
      <c r="M173" s="465"/>
      <c r="N173" s="465"/>
      <c r="O173" s="465"/>
      <c r="P173" s="465"/>
      <c r="Q173" s="465"/>
    </row>
    <row r="174" spans="9:17" s="536" customFormat="1" ht="12.75">
      <c r="I174" s="465"/>
      <c r="J174" s="465"/>
      <c r="K174" s="465"/>
      <c r="L174" s="465"/>
      <c r="M174" s="465"/>
      <c r="N174" s="465"/>
      <c r="O174" s="465"/>
      <c r="P174" s="465"/>
      <c r="Q174" s="465"/>
    </row>
    <row r="175" spans="9:17" s="536" customFormat="1" ht="12.75">
      <c r="I175" s="465"/>
      <c r="J175" s="465"/>
      <c r="K175" s="465"/>
      <c r="L175" s="465"/>
      <c r="M175" s="465"/>
      <c r="N175" s="465"/>
      <c r="O175" s="465"/>
      <c r="P175" s="465"/>
      <c r="Q175" s="465"/>
    </row>
    <row r="176" spans="9:17" s="536" customFormat="1" ht="12.75">
      <c r="I176" s="465"/>
      <c r="J176" s="465"/>
      <c r="K176" s="465"/>
      <c r="L176" s="465"/>
      <c r="M176" s="465"/>
      <c r="N176" s="465"/>
      <c r="O176" s="465"/>
      <c r="P176" s="465"/>
      <c r="Q176" s="465"/>
    </row>
    <row r="177" spans="9:17" s="536" customFormat="1" ht="12.75">
      <c r="I177" s="465"/>
      <c r="J177" s="465"/>
      <c r="K177" s="465"/>
      <c r="L177" s="465"/>
      <c r="M177" s="465"/>
      <c r="N177" s="465"/>
      <c r="O177" s="465"/>
      <c r="P177" s="465"/>
      <c r="Q177" s="465"/>
    </row>
    <row r="178" spans="9:17" s="536" customFormat="1" ht="12.75">
      <c r="I178" s="465"/>
      <c r="J178" s="465"/>
      <c r="K178" s="465"/>
      <c r="L178" s="465"/>
      <c r="M178" s="465"/>
      <c r="N178" s="465"/>
      <c r="O178" s="465"/>
      <c r="P178" s="465"/>
      <c r="Q178" s="465"/>
    </row>
    <row r="179" spans="9:17" s="536" customFormat="1" ht="12.75">
      <c r="I179" s="465"/>
      <c r="J179" s="465"/>
      <c r="K179" s="465"/>
      <c r="L179" s="465"/>
      <c r="M179" s="465"/>
      <c r="N179" s="465"/>
      <c r="O179" s="465"/>
      <c r="P179" s="465"/>
      <c r="Q179" s="465"/>
    </row>
    <row r="180" spans="9:17" s="536" customFormat="1" ht="12.75">
      <c r="I180" s="465"/>
      <c r="J180" s="465"/>
      <c r="K180" s="465"/>
      <c r="L180" s="465"/>
      <c r="M180" s="465"/>
      <c r="N180" s="465"/>
      <c r="O180" s="465"/>
      <c r="P180" s="465"/>
      <c r="Q180" s="465"/>
    </row>
    <row r="181" spans="9:17" s="536" customFormat="1" ht="12.75">
      <c r="I181" s="465"/>
      <c r="J181" s="465"/>
      <c r="K181" s="465"/>
      <c r="L181" s="465"/>
      <c r="M181" s="465"/>
      <c r="N181" s="465"/>
      <c r="O181" s="465"/>
      <c r="P181" s="465"/>
      <c r="Q181" s="465"/>
    </row>
    <row r="182" spans="9:17" s="536" customFormat="1" ht="12.75">
      <c r="I182" s="465"/>
      <c r="J182" s="465"/>
      <c r="K182" s="465"/>
      <c r="L182" s="465"/>
      <c r="M182" s="465"/>
      <c r="N182" s="465"/>
      <c r="O182" s="465"/>
      <c r="P182" s="465"/>
      <c r="Q182" s="465"/>
    </row>
    <row r="183" spans="9:17" s="536" customFormat="1" ht="12.75">
      <c r="I183" s="465"/>
      <c r="J183" s="465"/>
      <c r="K183" s="465"/>
      <c r="L183" s="465"/>
      <c r="M183" s="465"/>
      <c r="N183" s="465"/>
      <c r="O183" s="465"/>
      <c r="P183" s="465"/>
      <c r="Q183" s="465"/>
    </row>
    <row r="184" spans="9:17" s="536" customFormat="1" ht="12.75">
      <c r="I184" s="465"/>
      <c r="J184" s="465"/>
      <c r="K184" s="465"/>
      <c r="L184" s="465"/>
      <c r="M184" s="465"/>
      <c r="N184" s="465"/>
      <c r="O184" s="465"/>
      <c r="P184" s="465"/>
      <c r="Q184" s="465"/>
    </row>
    <row r="185" spans="9:17" s="536" customFormat="1" ht="12.75">
      <c r="I185" s="465"/>
      <c r="J185" s="465"/>
      <c r="K185" s="465"/>
      <c r="L185" s="465"/>
      <c r="M185" s="465"/>
      <c r="N185" s="465"/>
      <c r="O185" s="465"/>
      <c r="P185" s="465"/>
      <c r="Q185" s="465"/>
    </row>
    <row r="186" spans="9:17" s="536" customFormat="1" ht="12.75">
      <c r="I186" s="465"/>
      <c r="J186" s="465"/>
      <c r="K186" s="465"/>
      <c r="L186" s="465"/>
      <c r="M186" s="465"/>
      <c r="N186" s="465"/>
      <c r="O186" s="465"/>
      <c r="P186" s="465"/>
      <c r="Q186" s="465"/>
    </row>
    <row r="187" spans="9:17" s="536" customFormat="1" ht="12.75">
      <c r="I187" s="465"/>
      <c r="J187" s="465"/>
      <c r="K187" s="465"/>
      <c r="L187" s="465"/>
      <c r="M187" s="465"/>
      <c r="N187" s="465"/>
      <c r="O187" s="465"/>
      <c r="P187" s="465"/>
      <c r="Q187" s="465"/>
    </row>
    <row r="188" spans="9:17" s="536" customFormat="1" ht="12.75">
      <c r="I188" s="465"/>
      <c r="J188" s="465"/>
      <c r="K188" s="465"/>
      <c r="L188" s="465"/>
      <c r="M188" s="465"/>
      <c r="N188" s="465"/>
      <c r="O188" s="465"/>
      <c r="P188" s="465"/>
      <c r="Q188" s="465"/>
    </row>
    <row r="189" spans="9:17" s="536" customFormat="1" ht="12.75">
      <c r="I189" s="465"/>
      <c r="J189" s="465"/>
      <c r="K189" s="465"/>
      <c r="L189" s="465"/>
      <c r="M189" s="465"/>
      <c r="N189" s="465"/>
      <c r="O189" s="465"/>
      <c r="P189" s="465"/>
      <c r="Q189" s="465"/>
    </row>
    <row r="190" spans="9:17" s="536" customFormat="1" ht="12.75">
      <c r="I190" s="465"/>
      <c r="J190" s="465"/>
      <c r="K190" s="465"/>
      <c r="L190" s="465"/>
      <c r="M190" s="465"/>
      <c r="N190" s="465"/>
      <c r="O190" s="465"/>
      <c r="P190" s="465"/>
      <c r="Q190" s="465"/>
    </row>
    <row r="191" spans="9:17" s="536" customFormat="1" ht="12.75">
      <c r="I191" s="465"/>
      <c r="J191" s="465"/>
      <c r="K191" s="465"/>
      <c r="L191" s="465"/>
      <c r="M191" s="465"/>
      <c r="N191" s="465"/>
      <c r="O191" s="465"/>
      <c r="P191" s="465"/>
      <c r="Q191" s="465"/>
    </row>
    <row r="192" spans="9:17" s="536" customFormat="1" ht="12.75">
      <c r="I192" s="465"/>
      <c r="J192" s="465"/>
      <c r="K192" s="465"/>
      <c r="L192" s="465"/>
      <c r="M192" s="465"/>
      <c r="N192" s="465"/>
      <c r="O192" s="465"/>
      <c r="P192" s="465"/>
      <c r="Q192" s="465"/>
    </row>
    <row r="193" spans="9:17" s="536" customFormat="1" ht="12.75">
      <c r="I193" s="465"/>
      <c r="J193" s="465"/>
      <c r="K193" s="465"/>
      <c r="L193" s="465"/>
      <c r="M193" s="465"/>
      <c r="N193" s="465"/>
      <c r="O193" s="465"/>
      <c r="P193" s="465"/>
      <c r="Q193" s="465"/>
    </row>
    <row r="194" spans="9:17" s="536" customFormat="1" ht="12.75">
      <c r="I194" s="465"/>
      <c r="J194" s="465"/>
      <c r="K194" s="465"/>
      <c r="L194" s="465"/>
      <c r="M194" s="465"/>
      <c r="N194" s="465"/>
      <c r="O194" s="465"/>
      <c r="P194" s="465"/>
      <c r="Q194" s="465"/>
    </row>
    <row r="195" spans="9:17" s="536" customFormat="1" ht="12.75">
      <c r="I195" s="465"/>
      <c r="J195" s="465"/>
      <c r="K195" s="465"/>
      <c r="L195" s="465"/>
      <c r="M195" s="465"/>
      <c r="N195" s="465"/>
      <c r="O195" s="465"/>
      <c r="P195" s="465"/>
      <c r="Q195" s="465"/>
    </row>
    <row r="196" spans="9:17" s="536" customFormat="1" ht="12.75">
      <c r="I196" s="465"/>
      <c r="J196" s="465"/>
      <c r="K196" s="465"/>
      <c r="L196" s="465"/>
      <c r="M196" s="465"/>
      <c r="N196" s="465"/>
      <c r="O196" s="465"/>
      <c r="P196" s="465"/>
      <c r="Q196" s="465"/>
    </row>
    <row r="197" spans="9:17" s="536" customFormat="1" ht="12.75">
      <c r="I197" s="465"/>
      <c r="J197" s="465"/>
      <c r="K197" s="465"/>
      <c r="L197" s="465"/>
      <c r="M197" s="465"/>
      <c r="N197" s="465"/>
      <c r="O197" s="465"/>
      <c r="P197" s="465"/>
      <c r="Q197" s="465"/>
    </row>
    <row r="198" spans="9:17" s="536" customFormat="1" ht="12.75">
      <c r="I198" s="465"/>
      <c r="J198" s="465"/>
      <c r="K198" s="465"/>
      <c r="L198" s="465"/>
      <c r="M198" s="465"/>
      <c r="N198" s="465"/>
      <c r="O198" s="465"/>
      <c r="P198" s="465"/>
      <c r="Q198" s="465"/>
    </row>
    <row r="199" spans="9:17" s="536" customFormat="1" ht="12.75">
      <c r="I199" s="465"/>
      <c r="J199" s="465"/>
      <c r="K199" s="465"/>
      <c r="L199" s="465"/>
      <c r="M199" s="465"/>
      <c r="N199" s="465"/>
      <c r="O199" s="465"/>
      <c r="P199" s="465"/>
      <c r="Q199" s="465"/>
    </row>
    <row r="200" spans="9:17" s="536" customFormat="1" ht="12.75">
      <c r="I200" s="465"/>
      <c r="J200" s="465"/>
      <c r="K200" s="465"/>
      <c r="L200" s="465"/>
      <c r="M200" s="465"/>
      <c r="N200" s="465"/>
      <c r="O200" s="465"/>
      <c r="P200" s="465"/>
      <c r="Q200" s="465"/>
    </row>
    <row r="201" spans="9:17" s="536" customFormat="1" ht="12.75">
      <c r="I201" s="465"/>
      <c r="J201" s="465"/>
      <c r="K201" s="465"/>
      <c r="L201" s="465"/>
      <c r="M201" s="465"/>
      <c r="N201" s="465"/>
      <c r="O201" s="465"/>
      <c r="P201" s="465"/>
      <c r="Q201" s="465"/>
    </row>
    <row r="202" spans="9:17" s="536" customFormat="1" ht="12.75">
      <c r="I202" s="465"/>
      <c r="J202" s="465"/>
      <c r="K202" s="465"/>
      <c r="L202" s="465"/>
      <c r="M202" s="465"/>
      <c r="N202" s="465"/>
      <c r="O202" s="465"/>
      <c r="P202" s="465"/>
      <c r="Q202" s="465"/>
    </row>
    <row r="203" spans="9:17" s="536" customFormat="1" ht="12.75">
      <c r="I203" s="465"/>
      <c r="J203" s="465"/>
      <c r="K203" s="465"/>
      <c r="L203" s="465"/>
      <c r="M203" s="465"/>
      <c r="N203" s="465"/>
      <c r="O203" s="465"/>
      <c r="P203" s="465"/>
      <c r="Q203" s="465"/>
    </row>
    <row r="204" spans="9:17" s="536" customFormat="1" ht="12.75">
      <c r="I204" s="465"/>
      <c r="J204" s="465"/>
      <c r="K204" s="465"/>
      <c r="L204" s="465"/>
      <c r="M204" s="465"/>
      <c r="N204" s="465"/>
      <c r="O204" s="465"/>
      <c r="P204" s="465"/>
      <c r="Q204" s="465"/>
    </row>
    <row r="205" spans="9:17" s="536" customFormat="1" ht="12.75">
      <c r="I205" s="465"/>
      <c r="J205" s="465"/>
      <c r="K205" s="465"/>
      <c r="L205" s="465"/>
      <c r="M205" s="465"/>
      <c r="N205" s="465"/>
      <c r="O205" s="465"/>
      <c r="P205" s="465"/>
      <c r="Q205" s="465"/>
    </row>
    <row r="206" spans="9:17" s="536" customFormat="1" ht="12.75">
      <c r="I206" s="465"/>
      <c r="J206" s="465"/>
      <c r="K206" s="465"/>
      <c r="L206" s="465"/>
      <c r="M206" s="465"/>
      <c r="N206" s="465"/>
      <c r="O206" s="465"/>
      <c r="P206" s="465"/>
      <c r="Q206" s="465"/>
    </row>
    <row r="207" spans="9:17" s="536" customFormat="1" ht="12.75">
      <c r="I207" s="465"/>
      <c r="J207" s="465"/>
      <c r="K207" s="465"/>
      <c r="L207" s="465"/>
      <c r="M207" s="465"/>
      <c r="N207" s="465"/>
      <c r="O207" s="465"/>
      <c r="P207" s="465"/>
      <c r="Q207" s="465"/>
    </row>
    <row r="208" spans="9:17" s="536" customFormat="1" ht="12.75">
      <c r="I208" s="465"/>
      <c r="J208" s="465"/>
      <c r="K208" s="465"/>
      <c r="L208" s="465"/>
      <c r="M208" s="465"/>
      <c r="N208" s="465"/>
      <c r="O208" s="465"/>
      <c r="P208" s="465"/>
      <c r="Q208" s="465"/>
    </row>
    <row r="209" spans="9:17" s="536" customFormat="1" ht="12.75">
      <c r="I209" s="465"/>
      <c r="J209" s="465"/>
      <c r="K209" s="465"/>
      <c r="L209" s="465"/>
      <c r="M209" s="465"/>
      <c r="N209" s="465"/>
      <c r="O209" s="465"/>
      <c r="P209" s="465"/>
      <c r="Q209" s="465"/>
    </row>
    <row r="210" spans="9:17" s="536" customFormat="1" ht="12.75">
      <c r="I210" s="465"/>
      <c r="J210" s="465"/>
      <c r="K210" s="465"/>
      <c r="L210" s="465"/>
      <c r="M210" s="465"/>
      <c r="N210" s="465"/>
      <c r="O210" s="465"/>
      <c r="P210" s="465"/>
      <c r="Q210" s="465"/>
    </row>
    <row r="211" spans="9:17" s="536" customFormat="1" ht="12.75">
      <c r="I211" s="465"/>
      <c r="J211" s="465"/>
      <c r="K211" s="465"/>
      <c r="L211" s="465"/>
      <c r="M211" s="465"/>
      <c r="N211" s="465"/>
      <c r="O211" s="465"/>
      <c r="P211" s="465"/>
      <c r="Q211" s="465"/>
    </row>
    <row r="212" spans="9:17" s="536" customFormat="1" ht="12.75">
      <c r="I212" s="465"/>
      <c r="J212" s="465"/>
      <c r="K212" s="465"/>
      <c r="L212" s="465"/>
      <c r="M212" s="465"/>
      <c r="N212" s="465"/>
      <c r="O212" s="465"/>
      <c r="P212" s="465"/>
      <c r="Q212" s="465"/>
    </row>
    <row r="213" spans="9:17" s="536" customFormat="1" ht="12.75">
      <c r="I213" s="465"/>
      <c r="J213" s="465"/>
      <c r="K213" s="465"/>
      <c r="L213" s="465"/>
      <c r="M213" s="465"/>
      <c r="N213" s="465"/>
      <c r="O213" s="465"/>
      <c r="P213" s="465"/>
      <c r="Q213" s="465"/>
    </row>
    <row r="214" spans="9:17" s="536" customFormat="1" ht="12.75">
      <c r="I214" s="465"/>
      <c r="J214" s="465"/>
      <c r="K214" s="465"/>
      <c r="L214" s="465"/>
      <c r="M214" s="465"/>
      <c r="N214" s="465"/>
      <c r="O214" s="465"/>
      <c r="P214" s="465"/>
      <c r="Q214" s="465"/>
    </row>
    <row r="215" spans="9:17" s="536" customFormat="1" ht="12.75">
      <c r="I215" s="465"/>
      <c r="J215" s="465"/>
      <c r="K215" s="465"/>
      <c r="L215" s="465"/>
      <c r="M215" s="465"/>
      <c r="N215" s="465"/>
      <c r="O215" s="465"/>
      <c r="P215" s="465"/>
      <c r="Q215" s="465"/>
    </row>
    <row r="216" spans="9:17" s="536" customFormat="1" ht="12.75">
      <c r="I216" s="465"/>
      <c r="J216" s="465"/>
      <c r="K216" s="465"/>
      <c r="L216" s="465"/>
      <c r="M216" s="465"/>
      <c r="N216" s="465"/>
      <c r="O216" s="465"/>
      <c r="P216" s="465"/>
      <c r="Q216" s="465"/>
    </row>
    <row r="217" spans="9:17" s="536" customFormat="1" ht="12.75">
      <c r="I217" s="465"/>
      <c r="J217" s="465"/>
      <c r="K217" s="465"/>
      <c r="L217" s="465"/>
      <c r="M217" s="465"/>
      <c r="N217" s="465"/>
      <c r="O217" s="465"/>
      <c r="P217" s="465"/>
      <c r="Q217" s="465"/>
    </row>
    <row r="218" spans="9:17" s="536" customFormat="1" ht="12.75">
      <c r="I218" s="465"/>
      <c r="J218" s="465"/>
      <c r="K218" s="465"/>
      <c r="L218" s="465"/>
      <c r="M218" s="465"/>
      <c r="N218" s="465"/>
      <c r="O218" s="465"/>
      <c r="P218" s="465"/>
      <c r="Q218" s="465"/>
    </row>
    <row r="219" spans="9:17" s="536" customFormat="1" ht="12.75">
      <c r="I219" s="465"/>
      <c r="J219" s="465"/>
      <c r="K219" s="465"/>
      <c r="L219" s="465"/>
      <c r="M219" s="465"/>
      <c r="N219" s="465"/>
      <c r="O219" s="465"/>
      <c r="P219" s="465"/>
      <c r="Q219" s="465"/>
    </row>
    <row r="220" spans="9:17" s="536" customFormat="1" ht="12.75">
      <c r="I220" s="465"/>
      <c r="J220" s="465"/>
      <c r="K220" s="465"/>
      <c r="L220" s="465"/>
      <c r="M220" s="465"/>
      <c r="N220" s="465"/>
      <c r="O220" s="465"/>
      <c r="P220" s="465"/>
      <c r="Q220" s="465"/>
    </row>
    <row r="221" spans="9:17" s="536" customFormat="1" ht="12.75">
      <c r="I221" s="465"/>
      <c r="J221" s="465"/>
      <c r="K221" s="465"/>
      <c r="L221" s="465"/>
      <c r="M221" s="465"/>
      <c r="N221" s="465"/>
      <c r="O221" s="465"/>
      <c r="P221" s="465"/>
      <c r="Q221" s="465"/>
    </row>
    <row r="222" spans="9:17" s="536" customFormat="1" ht="12.75">
      <c r="I222" s="465"/>
      <c r="J222" s="465"/>
      <c r="K222" s="465"/>
      <c r="L222" s="465"/>
      <c r="M222" s="465"/>
      <c r="N222" s="465"/>
      <c r="O222" s="465"/>
      <c r="P222" s="465"/>
      <c r="Q222" s="465"/>
    </row>
    <row r="223" spans="9:17" s="536" customFormat="1" ht="12.75">
      <c r="I223" s="465"/>
      <c r="J223" s="465"/>
      <c r="K223" s="465"/>
      <c r="L223" s="465"/>
      <c r="M223" s="465"/>
      <c r="N223" s="465"/>
      <c r="O223" s="465"/>
      <c r="P223" s="465"/>
      <c r="Q223" s="465"/>
    </row>
    <row r="224" spans="9:17" s="536" customFormat="1" ht="12.75">
      <c r="I224" s="465"/>
      <c r="J224" s="465"/>
      <c r="K224" s="465"/>
      <c r="L224" s="465"/>
      <c r="M224" s="465"/>
      <c r="N224" s="465"/>
      <c r="O224" s="465"/>
      <c r="P224" s="465"/>
      <c r="Q224" s="465"/>
    </row>
    <row r="225" spans="9:17" s="536" customFormat="1" ht="12.75">
      <c r="I225" s="465"/>
      <c r="J225" s="465"/>
      <c r="K225" s="465"/>
      <c r="L225" s="465"/>
      <c r="M225" s="465"/>
      <c r="N225" s="465"/>
      <c r="O225" s="465"/>
      <c r="P225" s="465"/>
      <c r="Q225" s="465"/>
    </row>
    <row r="226" spans="9:17" s="536" customFormat="1" ht="12.75">
      <c r="I226" s="465"/>
      <c r="J226" s="465"/>
      <c r="K226" s="465"/>
      <c r="L226" s="465"/>
      <c r="M226" s="465"/>
      <c r="N226" s="465"/>
      <c r="O226" s="465"/>
      <c r="P226" s="465"/>
      <c r="Q226" s="465"/>
    </row>
    <row r="227" spans="9:17" s="536" customFormat="1" ht="12.75">
      <c r="I227" s="465"/>
      <c r="J227" s="465"/>
      <c r="K227" s="465"/>
      <c r="L227" s="465"/>
      <c r="M227" s="465"/>
      <c r="N227" s="465"/>
      <c r="O227" s="465"/>
      <c r="P227" s="465"/>
      <c r="Q227" s="465"/>
    </row>
    <row r="228" spans="9:17" s="536" customFormat="1" ht="12.75">
      <c r="I228" s="465"/>
      <c r="J228" s="465"/>
      <c r="K228" s="465"/>
      <c r="L228" s="465"/>
      <c r="M228" s="465"/>
      <c r="N228" s="465"/>
      <c r="O228" s="465"/>
      <c r="P228" s="465"/>
      <c r="Q228" s="465"/>
    </row>
    <row r="229" spans="9:17" s="536" customFormat="1" ht="12.75">
      <c r="I229" s="465"/>
      <c r="J229" s="465"/>
      <c r="K229" s="465"/>
      <c r="L229" s="465"/>
      <c r="M229" s="465"/>
      <c r="N229" s="465"/>
      <c r="O229" s="465"/>
      <c r="P229" s="465"/>
      <c r="Q229" s="465"/>
    </row>
    <row r="230" spans="9:17" s="536" customFormat="1" ht="12.75">
      <c r="I230" s="465"/>
      <c r="J230" s="465"/>
      <c r="K230" s="465"/>
      <c r="L230" s="465"/>
      <c r="M230" s="465"/>
      <c r="N230" s="465"/>
      <c r="O230" s="465"/>
      <c r="P230" s="465"/>
      <c r="Q230" s="465"/>
    </row>
    <row r="231" spans="9:17" s="536" customFormat="1" ht="12.75">
      <c r="I231" s="465"/>
      <c r="J231" s="465"/>
      <c r="K231" s="465"/>
      <c r="L231" s="465"/>
      <c r="M231" s="465"/>
      <c r="N231" s="465"/>
      <c r="O231" s="465"/>
      <c r="P231" s="465"/>
      <c r="Q231" s="465"/>
    </row>
    <row r="232" spans="9:17" s="536" customFormat="1" ht="12.75">
      <c r="I232" s="465"/>
      <c r="J232" s="465"/>
      <c r="K232" s="465"/>
      <c r="L232" s="465"/>
      <c r="M232" s="465"/>
      <c r="N232" s="465"/>
      <c r="O232" s="465"/>
      <c r="P232" s="465"/>
      <c r="Q232" s="465"/>
    </row>
    <row r="233" spans="9:17" s="536" customFormat="1" ht="12.75">
      <c r="I233" s="465"/>
      <c r="J233" s="465"/>
      <c r="K233" s="465"/>
      <c r="L233" s="465"/>
      <c r="M233" s="465"/>
      <c r="N233" s="465"/>
      <c r="O233" s="465"/>
      <c r="P233" s="465"/>
      <c r="Q233" s="465"/>
    </row>
    <row r="234" spans="9:17" s="536" customFormat="1" ht="12.75">
      <c r="I234" s="465"/>
      <c r="J234" s="465"/>
      <c r="K234" s="465"/>
      <c r="L234" s="465"/>
      <c r="M234" s="465"/>
      <c r="N234" s="465"/>
      <c r="O234" s="465"/>
      <c r="P234" s="465"/>
      <c r="Q234" s="465"/>
    </row>
    <row r="235" spans="9:17" s="536" customFormat="1" ht="12.75">
      <c r="I235" s="465"/>
      <c r="J235" s="465"/>
      <c r="K235" s="465"/>
      <c r="L235" s="465"/>
      <c r="M235" s="465"/>
      <c r="N235" s="465"/>
      <c r="O235" s="465"/>
      <c r="P235" s="465"/>
      <c r="Q235" s="465"/>
    </row>
    <row r="236" spans="9:17" s="536" customFormat="1" ht="12.75">
      <c r="I236" s="465"/>
      <c r="J236" s="465"/>
      <c r="K236" s="465"/>
      <c r="L236" s="465"/>
      <c r="M236" s="465"/>
      <c r="N236" s="465"/>
      <c r="O236" s="465"/>
      <c r="P236" s="465"/>
      <c r="Q236" s="465"/>
    </row>
    <row r="237" spans="9:17" s="536" customFormat="1" ht="12.75">
      <c r="I237" s="465"/>
      <c r="J237" s="465"/>
      <c r="K237" s="465"/>
      <c r="L237" s="465"/>
      <c r="M237" s="465"/>
      <c r="N237" s="465"/>
      <c r="O237" s="465"/>
      <c r="P237" s="465"/>
      <c r="Q237" s="465"/>
    </row>
    <row r="238" spans="9:17" s="536" customFormat="1" ht="12.75">
      <c r="I238" s="465"/>
      <c r="J238" s="465"/>
      <c r="K238" s="465"/>
      <c r="L238" s="465"/>
      <c r="M238" s="465"/>
      <c r="N238" s="465"/>
      <c r="O238" s="465"/>
      <c r="P238" s="465"/>
      <c r="Q238" s="465"/>
    </row>
    <row r="239" spans="9:17" s="536" customFormat="1" ht="12.75">
      <c r="I239" s="465"/>
      <c r="J239" s="465"/>
      <c r="K239" s="465"/>
      <c r="L239" s="465"/>
      <c r="M239" s="465"/>
      <c r="N239" s="465"/>
      <c r="O239" s="465"/>
      <c r="P239" s="465"/>
      <c r="Q239" s="465"/>
    </row>
    <row r="240" spans="9:17" s="536" customFormat="1" ht="12.75">
      <c r="I240" s="465"/>
      <c r="J240" s="465"/>
      <c r="K240" s="465"/>
      <c r="L240" s="465"/>
      <c r="M240" s="465"/>
      <c r="N240" s="465"/>
      <c r="O240" s="465"/>
      <c r="P240" s="465"/>
      <c r="Q240" s="465"/>
    </row>
    <row r="241" spans="9:17" s="536" customFormat="1" ht="12.75">
      <c r="I241" s="465"/>
      <c r="J241" s="465"/>
      <c r="K241" s="465"/>
      <c r="L241" s="465"/>
      <c r="M241" s="465"/>
      <c r="N241" s="465"/>
      <c r="O241" s="465"/>
      <c r="P241" s="465"/>
      <c r="Q241" s="465"/>
    </row>
    <row r="242" spans="9:17" s="536" customFormat="1" ht="12.75">
      <c r="I242" s="465"/>
      <c r="J242" s="465"/>
      <c r="K242" s="465"/>
      <c r="L242" s="465"/>
      <c r="M242" s="465"/>
      <c r="N242" s="465"/>
      <c r="O242" s="465"/>
      <c r="P242" s="465"/>
      <c r="Q242" s="465"/>
    </row>
    <row r="243" spans="9:17" s="536" customFormat="1" ht="12.75">
      <c r="I243" s="465"/>
      <c r="J243" s="465"/>
      <c r="K243" s="465"/>
      <c r="L243" s="465"/>
      <c r="M243" s="465"/>
      <c r="N243" s="465"/>
      <c r="O243" s="465"/>
      <c r="P243" s="465"/>
      <c r="Q243" s="465"/>
    </row>
    <row r="244" spans="9:17" s="536" customFormat="1" ht="12.75">
      <c r="I244" s="465"/>
      <c r="J244" s="465"/>
      <c r="K244" s="465"/>
      <c r="L244" s="465"/>
      <c r="M244" s="465"/>
      <c r="N244" s="465"/>
      <c r="O244" s="465"/>
      <c r="P244" s="465"/>
      <c r="Q244" s="465"/>
    </row>
    <row r="245" spans="9:17" s="536" customFormat="1" ht="12.75">
      <c r="I245" s="465"/>
      <c r="J245" s="465"/>
      <c r="K245" s="465"/>
      <c r="L245" s="465"/>
      <c r="M245" s="465"/>
      <c r="N245" s="465"/>
      <c r="O245" s="465"/>
      <c r="P245" s="465"/>
      <c r="Q245" s="465"/>
    </row>
    <row r="246" spans="9:17" s="536" customFormat="1" ht="12.75">
      <c r="I246" s="465"/>
      <c r="J246" s="465"/>
      <c r="K246" s="465"/>
      <c r="L246" s="465"/>
      <c r="M246" s="465"/>
      <c r="N246" s="465"/>
      <c r="O246" s="465"/>
      <c r="P246" s="465"/>
      <c r="Q246" s="465"/>
    </row>
    <row r="247" spans="9:17" s="536" customFormat="1" ht="12.75">
      <c r="I247" s="465"/>
      <c r="J247" s="465"/>
      <c r="K247" s="465"/>
      <c r="L247" s="465"/>
      <c r="M247" s="465"/>
      <c r="N247" s="465"/>
      <c r="O247" s="465"/>
      <c r="P247" s="465"/>
      <c r="Q247" s="465"/>
    </row>
    <row r="248" spans="9:17" s="536" customFormat="1" ht="12.75">
      <c r="I248" s="465"/>
      <c r="J248" s="465"/>
      <c r="K248" s="465"/>
      <c r="L248" s="465"/>
      <c r="M248" s="465"/>
      <c r="N248" s="465"/>
      <c r="O248" s="465"/>
      <c r="P248" s="465"/>
      <c r="Q248" s="465"/>
    </row>
    <row r="249" spans="9:17" s="536" customFormat="1" ht="12.75">
      <c r="I249" s="465"/>
      <c r="J249" s="465"/>
      <c r="K249" s="465"/>
      <c r="L249" s="465"/>
      <c r="M249" s="465"/>
      <c r="N249" s="465"/>
      <c r="O249" s="465"/>
      <c r="P249" s="465"/>
      <c r="Q249" s="465"/>
    </row>
    <row r="250" spans="9:17" s="536" customFormat="1" ht="12.75">
      <c r="I250" s="465"/>
      <c r="J250" s="465"/>
      <c r="K250" s="465"/>
      <c r="L250" s="465"/>
      <c r="M250" s="465"/>
      <c r="N250" s="465"/>
      <c r="O250" s="465"/>
      <c r="P250" s="465"/>
      <c r="Q250" s="465"/>
    </row>
    <row r="251" spans="9:17" s="536" customFormat="1" ht="12.75">
      <c r="I251" s="465"/>
      <c r="J251" s="465"/>
      <c r="K251" s="465"/>
      <c r="L251" s="465"/>
      <c r="M251" s="465"/>
      <c r="N251" s="465"/>
      <c r="O251" s="465"/>
      <c r="P251" s="465"/>
      <c r="Q251" s="465"/>
    </row>
    <row r="252" spans="9:17" s="536" customFormat="1" ht="12.75">
      <c r="I252" s="465"/>
      <c r="J252" s="465"/>
      <c r="K252" s="465"/>
      <c r="L252" s="465"/>
      <c r="M252" s="465"/>
      <c r="N252" s="465"/>
      <c r="O252" s="465"/>
      <c r="P252" s="465"/>
      <c r="Q252" s="465"/>
    </row>
    <row r="253" spans="9:17" s="536" customFormat="1" ht="12.75">
      <c r="I253" s="465"/>
      <c r="J253" s="465"/>
      <c r="K253" s="465"/>
      <c r="L253" s="465"/>
      <c r="M253" s="465"/>
      <c r="N253" s="465"/>
      <c r="O253" s="465"/>
      <c r="P253" s="465"/>
      <c r="Q253" s="465"/>
    </row>
    <row r="254" spans="9:17" s="536" customFormat="1" ht="12.75">
      <c r="I254" s="465"/>
      <c r="J254" s="465"/>
      <c r="K254" s="465"/>
      <c r="L254" s="465"/>
      <c r="M254" s="465"/>
      <c r="N254" s="465"/>
      <c r="O254" s="465"/>
      <c r="P254" s="465"/>
      <c r="Q254" s="465"/>
    </row>
    <row r="255" spans="9:17" s="536" customFormat="1" ht="12.75">
      <c r="I255" s="465"/>
      <c r="J255" s="465"/>
      <c r="K255" s="465"/>
      <c r="L255" s="465"/>
      <c r="M255" s="465"/>
      <c r="N255" s="465"/>
      <c r="O255" s="465"/>
      <c r="P255" s="465"/>
      <c r="Q255" s="465"/>
    </row>
    <row r="256" spans="9:17" s="536" customFormat="1" ht="12.75">
      <c r="I256" s="465"/>
      <c r="J256" s="465"/>
      <c r="K256" s="465"/>
      <c r="L256" s="465"/>
      <c r="M256" s="465"/>
      <c r="N256" s="465"/>
      <c r="O256" s="465"/>
      <c r="P256" s="465"/>
      <c r="Q256" s="465"/>
    </row>
    <row r="257" spans="9:17" s="536" customFormat="1" ht="12.75">
      <c r="I257" s="465"/>
      <c r="J257" s="465"/>
      <c r="K257" s="465"/>
      <c r="L257" s="465"/>
      <c r="M257" s="465"/>
      <c r="N257" s="465"/>
      <c r="O257" s="465"/>
      <c r="P257" s="465"/>
      <c r="Q257" s="465"/>
    </row>
    <row r="258" spans="9:17" s="536" customFormat="1" ht="12.75">
      <c r="I258" s="465"/>
      <c r="J258" s="465"/>
      <c r="K258" s="465"/>
      <c r="L258" s="465"/>
      <c r="M258" s="465"/>
      <c r="N258" s="465"/>
      <c r="O258" s="465"/>
      <c r="P258" s="465"/>
      <c r="Q258" s="465"/>
    </row>
    <row r="259" spans="9:17" s="536" customFormat="1" ht="12.75">
      <c r="I259" s="465"/>
      <c r="J259" s="465"/>
      <c r="K259" s="465"/>
      <c r="L259" s="465"/>
      <c r="M259" s="465"/>
      <c r="N259" s="465"/>
      <c r="O259" s="465"/>
      <c r="P259" s="465"/>
      <c r="Q259" s="465"/>
    </row>
    <row r="260" spans="9:17" s="536" customFormat="1" ht="12.75">
      <c r="I260" s="465"/>
      <c r="J260" s="465"/>
      <c r="K260" s="465"/>
      <c r="L260" s="465"/>
      <c r="M260" s="465"/>
      <c r="N260" s="465"/>
      <c r="O260" s="465"/>
      <c r="P260" s="465"/>
      <c r="Q260" s="465"/>
    </row>
    <row r="261" spans="9:17" s="536" customFormat="1" ht="12.75">
      <c r="I261" s="465"/>
      <c r="J261" s="465"/>
      <c r="K261" s="465"/>
      <c r="L261" s="465"/>
      <c r="M261" s="465"/>
      <c r="N261" s="465"/>
      <c r="O261" s="465"/>
      <c r="P261" s="465"/>
      <c r="Q261" s="465"/>
    </row>
    <row r="262" spans="9:17" s="536" customFormat="1" ht="12.75">
      <c r="I262" s="465"/>
      <c r="J262" s="465"/>
      <c r="K262" s="465"/>
      <c r="L262" s="465"/>
      <c r="M262" s="465"/>
      <c r="N262" s="465"/>
      <c r="O262" s="465"/>
      <c r="P262" s="465"/>
      <c r="Q262" s="465"/>
    </row>
    <row r="263" spans="9:17" s="536" customFormat="1" ht="12.75">
      <c r="I263" s="465"/>
      <c r="J263" s="465"/>
      <c r="K263" s="465"/>
      <c r="L263" s="465"/>
      <c r="M263" s="465"/>
      <c r="N263" s="465"/>
      <c r="O263" s="465"/>
      <c r="P263" s="465"/>
      <c r="Q263" s="465"/>
    </row>
    <row r="264" spans="9:17" s="536" customFormat="1" ht="12.75">
      <c r="I264" s="465"/>
      <c r="J264" s="465"/>
      <c r="K264" s="465"/>
      <c r="L264" s="465"/>
      <c r="M264" s="465"/>
      <c r="N264" s="465"/>
      <c r="O264" s="465"/>
      <c r="P264" s="465"/>
      <c r="Q264" s="465"/>
    </row>
    <row r="265" spans="9:17" s="536" customFormat="1" ht="12.75">
      <c r="I265" s="465"/>
      <c r="J265" s="465"/>
      <c r="K265" s="465"/>
      <c r="L265" s="465"/>
      <c r="M265" s="465"/>
      <c r="N265" s="465"/>
      <c r="O265" s="465"/>
      <c r="P265" s="465"/>
      <c r="Q265" s="465"/>
    </row>
    <row r="266" spans="9:17" s="536" customFormat="1" ht="12.75">
      <c r="I266" s="465"/>
      <c r="J266" s="465"/>
      <c r="K266" s="465"/>
      <c r="L266" s="465"/>
      <c r="M266" s="465"/>
      <c r="N266" s="465"/>
      <c r="O266" s="465"/>
      <c r="P266" s="465"/>
      <c r="Q266" s="465"/>
    </row>
    <row r="267" spans="9:17" s="536" customFormat="1" ht="12.75">
      <c r="I267" s="465"/>
      <c r="J267" s="465"/>
      <c r="K267" s="465"/>
      <c r="L267" s="465"/>
      <c r="M267" s="465"/>
      <c r="N267" s="465"/>
      <c r="O267" s="465"/>
      <c r="P267" s="465"/>
      <c r="Q267" s="465"/>
    </row>
    <row r="268" spans="9:17" s="536" customFormat="1" ht="12.75">
      <c r="I268" s="465"/>
      <c r="J268" s="465"/>
      <c r="K268" s="465"/>
      <c r="L268" s="465"/>
      <c r="M268" s="465"/>
      <c r="N268" s="465"/>
      <c r="O268" s="465"/>
      <c r="P268" s="465"/>
      <c r="Q268" s="465"/>
    </row>
    <row r="269" spans="9:17" s="536" customFormat="1" ht="12.75">
      <c r="I269" s="465"/>
      <c r="J269" s="465"/>
      <c r="K269" s="465"/>
      <c r="L269" s="465"/>
      <c r="M269" s="465"/>
      <c r="N269" s="465"/>
      <c r="O269" s="465"/>
      <c r="P269" s="465"/>
      <c r="Q269" s="465"/>
    </row>
    <row r="270" spans="9:17" s="536" customFormat="1" ht="12.75">
      <c r="I270" s="465"/>
      <c r="J270" s="465"/>
      <c r="K270" s="465"/>
      <c r="L270" s="465"/>
      <c r="M270" s="465"/>
      <c r="N270" s="465"/>
      <c r="O270" s="465"/>
      <c r="P270" s="465"/>
      <c r="Q270" s="465"/>
    </row>
    <row r="271" spans="9:17" s="536" customFormat="1" ht="12.75">
      <c r="I271" s="465"/>
      <c r="J271" s="465"/>
      <c r="K271" s="465"/>
      <c r="L271" s="465"/>
      <c r="M271" s="465"/>
      <c r="N271" s="465"/>
      <c r="O271" s="465"/>
      <c r="P271" s="465"/>
      <c r="Q271" s="465"/>
    </row>
    <row r="272" spans="9:17" s="536" customFormat="1" ht="12.75">
      <c r="I272" s="465"/>
      <c r="J272" s="465"/>
      <c r="K272" s="465"/>
      <c r="L272" s="465"/>
      <c r="M272" s="465"/>
      <c r="N272" s="465"/>
      <c r="O272" s="465"/>
      <c r="P272" s="465"/>
      <c r="Q272" s="465"/>
    </row>
    <row r="273" spans="9:17" s="536" customFormat="1" ht="12.75">
      <c r="I273" s="465"/>
      <c r="J273" s="465"/>
      <c r="K273" s="465"/>
      <c r="L273" s="465"/>
      <c r="M273" s="465"/>
      <c r="N273" s="465"/>
      <c r="O273" s="465"/>
      <c r="P273" s="465"/>
      <c r="Q273" s="465"/>
    </row>
    <row r="274" spans="9:17" s="536" customFormat="1" ht="12.75">
      <c r="I274" s="465"/>
      <c r="J274" s="465"/>
      <c r="K274" s="465"/>
      <c r="L274" s="465"/>
      <c r="M274" s="465"/>
      <c r="N274" s="465"/>
      <c r="O274" s="465"/>
      <c r="P274" s="465"/>
      <c r="Q274" s="465"/>
    </row>
    <row r="275" spans="9:17" s="536" customFormat="1" ht="12.75">
      <c r="I275" s="465"/>
      <c r="J275" s="465"/>
      <c r="K275" s="465"/>
      <c r="L275" s="465"/>
      <c r="M275" s="465"/>
      <c r="N275" s="465"/>
      <c r="O275" s="465"/>
      <c r="P275" s="465"/>
      <c r="Q275" s="465"/>
    </row>
    <row r="276" spans="9:17" s="536" customFormat="1" ht="12.75">
      <c r="I276" s="465"/>
      <c r="J276" s="465"/>
      <c r="K276" s="465"/>
      <c r="L276" s="465"/>
      <c r="M276" s="465"/>
      <c r="N276" s="465"/>
      <c r="O276" s="465"/>
      <c r="P276" s="465"/>
      <c r="Q276" s="465"/>
    </row>
    <row r="277" spans="9:17" s="536" customFormat="1" ht="12.75">
      <c r="I277" s="465"/>
      <c r="J277" s="465"/>
      <c r="K277" s="465"/>
      <c r="L277" s="465"/>
      <c r="M277" s="465"/>
      <c r="N277" s="465"/>
      <c r="O277" s="465"/>
      <c r="P277" s="465"/>
      <c r="Q277" s="465"/>
    </row>
    <row r="278" spans="9:17" s="536" customFormat="1" ht="12.75">
      <c r="I278" s="465"/>
      <c r="J278" s="465"/>
      <c r="K278" s="465"/>
      <c r="L278" s="465"/>
      <c r="M278" s="465"/>
      <c r="N278" s="465"/>
      <c r="O278" s="465"/>
      <c r="P278" s="465"/>
      <c r="Q278" s="465"/>
    </row>
    <row r="279" spans="9:17" s="536" customFormat="1" ht="12.75">
      <c r="I279" s="465"/>
      <c r="J279" s="465"/>
      <c r="K279" s="465"/>
      <c r="L279" s="465"/>
      <c r="M279" s="465"/>
      <c r="N279" s="465"/>
      <c r="O279" s="465"/>
      <c r="P279" s="465"/>
      <c r="Q279" s="465"/>
    </row>
    <row r="280" spans="9:17" s="536" customFormat="1" ht="12.75">
      <c r="I280" s="465"/>
      <c r="J280" s="465"/>
      <c r="K280" s="465"/>
      <c r="L280" s="465"/>
      <c r="M280" s="465"/>
      <c r="N280" s="465"/>
      <c r="O280" s="465"/>
      <c r="P280" s="465"/>
      <c r="Q280" s="465"/>
    </row>
    <row r="281" spans="9:17" s="536" customFormat="1" ht="12.75">
      <c r="I281" s="465"/>
      <c r="J281" s="465"/>
      <c r="K281" s="465"/>
      <c r="L281" s="465"/>
      <c r="M281" s="465"/>
      <c r="N281" s="465"/>
      <c r="O281" s="465"/>
      <c r="P281" s="465"/>
      <c r="Q281" s="465"/>
    </row>
    <row r="282" spans="9:17" s="536" customFormat="1" ht="12.75">
      <c r="I282" s="465"/>
      <c r="J282" s="465"/>
      <c r="K282" s="465"/>
      <c r="L282" s="465"/>
      <c r="M282" s="465"/>
      <c r="N282" s="465"/>
      <c r="O282" s="465"/>
      <c r="P282" s="465"/>
      <c r="Q282" s="465"/>
    </row>
    <row r="283" spans="9:17" s="536" customFormat="1" ht="12.75">
      <c r="I283" s="465"/>
      <c r="J283" s="465"/>
      <c r="K283" s="465"/>
      <c r="L283" s="465"/>
      <c r="M283" s="465"/>
      <c r="N283" s="465"/>
      <c r="O283" s="465"/>
      <c r="P283" s="465"/>
      <c r="Q283" s="465"/>
    </row>
    <row r="284" spans="9:17" s="536" customFormat="1" ht="12.75">
      <c r="I284" s="465"/>
      <c r="J284" s="465"/>
      <c r="K284" s="465"/>
      <c r="L284" s="465"/>
      <c r="M284" s="465"/>
      <c r="N284" s="465"/>
      <c r="O284" s="465"/>
      <c r="P284" s="465"/>
      <c r="Q284" s="465"/>
    </row>
    <row r="285" spans="9:17" s="536" customFormat="1" ht="12.75">
      <c r="I285" s="465"/>
      <c r="J285" s="465"/>
      <c r="K285" s="465"/>
      <c r="L285" s="465"/>
      <c r="M285" s="465"/>
      <c r="N285" s="465"/>
      <c r="O285" s="465"/>
      <c r="P285" s="465"/>
      <c r="Q285" s="465"/>
    </row>
    <row r="286" spans="9:17" s="536" customFormat="1" ht="12.75">
      <c r="I286" s="465"/>
      <c r="J286" s="465"/>
      <c r="K286" s="465"/>
      <c r="L286" s="465"/>
      <c r="M286" s="465"/>
      <c r="N286" s="465"/>
      <c r="O286" s="465"/>
      <c r="P286" s="465"/>
      <c r="Q286" s="465"/>
    </row>
    <row r="287" spans="9:17" s="536" customFormat="1" ht="12.75">
      <c r="I287" s="465"/>
      <c r="J287" s="465"/>
      <c r="K287" s="465"/>
      <c r="L287" s="465"/>
      <c r="M287" s="465"/>
      <c r="N287" s="465"/>
      <c r="O287" s="465"/>
      <c r="P287" s="465"/>
      <c r="Q287" s="465"/>
    </row>
    <row r="288" spans="9:17" s="536" customFormat="1" ht="12.75">
      <c r="I288" s="465"/>
      <c r="J288" s="465"/>
      <c r="K288" s="465"/>
      <c r="L288" s="465"/>
      <c r="M288" s="465"/>
      <c r="N288" s="465"/>
      <c r="O288" s="465"/>
      <c r="P288" s="465"/>
      <c r="Q288" s="465"/>
    </row>
    <row r="289" spans="9:17" s="536" customFormat="1" ht="12.75">
      <c r="I289" s="465"/>
      <c r="J289" s="465"/>
      <c r="K289" s="465"/>
      <c r="L289" s="465"/>
      <c r="M289" s="465"/>
      <c r="N289" s="465"/>
      <c r="O289" s="465"/>
      <c r="P289" s="465"/>
      <c r="Q289" s="465"/>
    </row>
    <row r="290" spans="9:17" s="536" customFormat="1" ht="12.75">
      <c r="I290" s="465"/>
      <c r="J290" s="465"/>
      <c r="K290" s="465"/>
      <c r="L290" s="465"/>
      <c r="M290" s="465"/>
      <c r="N290" s="465"/>
      <c r="O290" s="465"/>
      <c r="P290" s="465"/>
      <c r="Q290" s="465"/>
    </row>
    <row r="291" spans="9:17" s="536" customFormat="1" ht="12.75">
      <c r="I291" s="465"/>
      <c r="J291" s="465"/>
      <c r="K291" s="465"/>
      <c r="L291" s="465"/>
      <c r="M291" s="465"/>
      <c r="N291" s="465"/>
      <c r="O291" s="465"/>
      <c r="P291" s="465"/>
      <c r="Q291" s="465"/>
    </row>
    <row r="292" spans="9:17" s="536" customFormat="1" ht="12.75">
      <c r="I292" s="465"/>
      <c r="J292" s="465"/>
      <c r="K292" s="465"/>
      <c r="L292" s="465"/>
      <c r="M292" s="465"/>
      <c r="N292" s="465"/>
      <c r="O292" s="465"/>
      <c r="P292" s="465"/>
      <c r="Q292" s="465"/>
    </row>
    <row r="293" spans="9:17" s="536" customFormat="1" ht="12.75">
      <c r="I293" s="465"/>
      <c r="J293" s="465"/>
      <c r="K293" s="465"/>
      <c r="L293" s="465"/>
      <c r="M293" s="465"/>
      <c r="N293" s="465"/>
      <c r="O293" s="465"/>
      <c r="P293" s="465"/>
      <c r="Q293" s="465"/>
    </row>
    <row r="294" spans="9:17" s="536" customFormat="1" ht="12.75">
      <c r="I294" s="465"/>
      <c r="J294" s="465"/>
      <c r="K294" s="465"/>
      <c r="L294" s="465"/>
      <c r="M294" s="465"/>
      <c r="N294" s="465"/>
      <c r="O294" s="465"/>
      <c r="P294" s="465"/>
      <c r="Q294" s="465"/>
    </row>
    <row r="295" spans="9:17" s="536" customFormat="1" ht="12.75">
      <c r="I295" s="465"/>
      <c r="J295" s="465"/>
      <c r="K295" s="465"/>
      <c r="L295" s="465"/>
      <c r="M295" s="465"/>
      <c r="N295" s="465"/>
      <c r="O295" s="465"/>
      <c r="P295" s="465"/>
      <c r="Q295" s="465"/>
    </row>
    <row r="296" spans="9:17" s="536" customFormat="1" ht="12.75">
      <c r="I296" s="465"/>
      <c r="J296" s="465"/>
      <c r="K296" s="465"/>
      <c r="L296" s="465"/>
      <c r="M296" s="465"/>
      <c r="N296" s="465"/>
      <c r="O296" s="465"/>
      <c r="P296" s="465"/>
      <c r="Q296" s="465"/>
    </row>
    <row r="297" spans="9:17" s="536" customFormat="1" ht="12.75">
      <c r="I297" s="465"/>
      <c r="J297" s="465"/>
      <c r="K297" s="465"/>
      <c r="L297" s="465"/>
      <c r="M297" s="465"/>
      <c r="N297" s="465"/>
      <c r="O297" s="465"/>
      <c r="P297" s="465"/>
      <c r="Q297" s="465"/>
    </row>
    <row r="298" spans="9:17" s="536" customFormat="1" ht="12.75">
      <c r="I298" s="465"/>
      <c r="J298" s="465"/>
      <c r="K298" s="465"/>
      <c r="L298" s="465"/>
      <c r="M298" s="465"/>
      <c r="N298" s="465"/>
      <c r="O298" s="465"/>
      <c r="P298" s="465"/>
      <c r="Q298" s="465"/>
    </row>
    <row r="299" spans="9:17" s="536" customFormat="1" ht="12.75">
      <c r="I299" s="465"/>
      <c r="J299" s="465"/>
      <c r="K299" s="465"/>
      <c r="L299" s="465"/>
      <c r="M299" s="465"/>
      <c r="N299" s="465"/>
      <c r="O299" s="465"/>
      <c r="P299" s="465"/>
      <c r="Q299" s="465"/>
    </row>
    <row r="300" spans="9:17" s="536" customFormat="1" ht="12.75">
      <c r="I300" s="465"/>
      <c r="J300" s="465"/>
      <c r="K300" s="465"/>
      <c r="L300" s="465"/>
      <c r="M300" s="465"/>
      <c r="N300" s="465"/>
      <c r="O300" s="465"/>
      <c r="P300" s="465"/>
      <c r="Q300" s="465"/>
    </row>
    <row r="301" spans="9:17" s="536" customFormat="1" ht="12.75">
      <c r="I301" s="465"/>
      <c r="J301" s="465"/>
      <c r="K301" s="465"/>
      <c r="L301" s="465"/>
      <c r="M301" s="465"/>
      <c r="N301" s="465"/>
      <c r="O301" s="465"/>
      <c r="P301" s="465"/>
      <c r="Q301" s="465"/>
    </row>
    <row r="302" spans="9:17" s="536" customFormat="1" ht="12.75">
      <c r="I302" s="465"/>
      <c r="J302" s="465"/>
      <c r="K302" s="465"/>
      <c r="L302" s="465"/>
      <c r="M302" s="465"/>
      <c r="N302" s="465"/>
      <c r="O302" s="465"/>
      <c r="P302" s="465"/>
      <c r="Q302" s="465"/>
    </row>
    <row r="303" spans="9:17" s="536" customFormat="1" ht="12.75">
      <c r="I303" s="465"/>
      <c r="J303" s="465"/>
      <c r="K303" s="465"/>
      <c r="L303" s="465"/>
      <c r="M303" s="465"/>
      <c r="N303" s="465"/>
      <c r="O303" s="465"/>
      <c r="P303" s="465"/>
      <c r="Q303" s="465"/>
    </row>
    <row r="304" spans="9:17" s="536" customFormat="1" ht="12.75">
      <c r="I304" s="465"/>
      <c r="J304" s="465"/>
      <c r="K304" s="465"/>
      <c r="L304" s="465"/>
      <c r="M304" s="465"/>
      <c r="N304" s="465"/>
      <c r="O304" s="465"/>
      <c r="P304" s="465"/>
      <c r="Q304" s="465"/>
    </row>
    <row r="305" spans="9:17" s="536" customFormat="1" ht="12.75">
      <c r="I305" s="465"/>
      <c r="J305" s="465"/>
      <c r="K305" s="465"/>
      <c r="L305" s="465"/>
      <c r="M305" s="465"/>
      <c r="N305" s="465"/>
      <c r="O305" s="465"/>
      <c r="P305" s="465"/>
      <c r="Q305" s="465"/>
    </row>
    <row r="306" spans="9:17" s="536" customFormat="1" ht="12.75">
      <c r="I306" s="465"/>
      <c r="J306" s="465"/>
      <c r="K306" s="465"/>
      <c r="L306" s="465"/>
      <c r="M306" s="465"/>
      <c r="N306" s="465"/>
      <c r="O306" s="465"/>
      <c r="P306" s="465"/>
      <c r="Q306" s="465"/>
    </row>
    <row r="307" spans="9:17" s="536" customFormat="1" ht="12.75">
      <c r="I307" s="465"/>
      <c r="J307" s="465"/>
      <c r="K307" s="465"/>
      <c r="L307" s="465"/>
      <c r="M307" s="465"/>
      <c r="N307" s="465"/>
      <c r="O307" s="465"/>
      <c r="P307" s="465"/>
      <c r="Q307" s="465"/>
    </row>
    <row r="308" spans="9:17" s="536" customFormat="1" ht="12.75">
      <c r="I308" s="465"/>
      <c r="J308" s="465"/>
      <c r="K308" s="465"/>
      <c r="L308" s="465"/>
      <c r="M308" s="465"/>
      <c r="N308" s="465"/>
      <c r="O308" s="465"/>
      <c r="P308" s="465"/>
      <c r="Q308" s="465"/>
    </row>
    <row r="309" spans="9:17" s="536" customFormat="1" ht="12.75">
      <c r="I309" s="465"/>
      <c r="J309" s="465"/>
      <c r="K309" s="465"/>
      <c r="L309" s="465"/>
      <c r="M309" s="465"/>
      <c r="N309" s="465"/>
      <c r="O309" s="465"/>
      <c r="P309" s="465"/>
      <c r="Q309" s="465"/>
    </row>
    <row r="310" spans="9:17" s="536" customFormat="1" ht="12.75">
      <c r="I310" s="465"/>
      <c r="J310" s="465"/>
      <c r="K310" s="465"/>
      <c r="L310" s="465"/>
      <c r="M310" s="465"/>
      <c r="N310" s="465"/>
      <c r="O310" s="465"/>
      <c r="P310" s="465"/>
      <c r="Q310" s="465"/>
    </row>
    <row r="311" spans="9:17" s="536" customFormat="1" ht="12.75">
      <c r="I311" s="465"/>
      <c r="J311" s="465"/>
      <c r="K311" s="465"/>
      <c r="L311" s="465"/>
      <c r="M311" s="465"/>
      <c r="N311" s="465"/>
      <c r="O311" s="465"/>
      <c r="P311" s="465"/>
      <c r="Q311" s="465"/>
    </row>
    <row r="312" spans="9:17" s="536" customFormat="1" ht="12.75">
      <c r="I312" s="465"/>
      <c r="J312" s="465"/>
      <c r="K312" s="465"/>
      <c r="L312" s="465"/>
      <c r="M312" s="465"/>
      <c r="N312" s="465"/>
      <c r="O312" s="465"/>
      <c r="P312" s="465"/>
      <c r="Q312" s="465"/>
    </row>
    <row r="313" spans="9:17" s="536" customFormat="1" ht="12.75">
      <c r="I313" s="465"/>
      <c r="J313" s="465"/>
      <c r="K313" s="465"/>
      <c r="L313" s="465"/>
      <c r="M313" s="465"/>
      <c r="N313" s="465"/>
      <c r="O313" s="465"/>
      <c r="P313" s="465"/>
      <c r="Q313" s="465"/>
    </row>
    <row r="314" spans="9:17" s="536" customFormat="1" ht="12.75">
      <c r="I314" s="465"/>
      <c r="J314" s="465"/>
      <c r="K314" s="465"/>
      <c r="L314" s="465"/>
      <c r="M314" s="465"/>
      <c r="N314" s="465"/>
      <c r="O314" s="465"/>
      <c r="P314" s="465"/>
      <c r="Q314" s="465"/>
    </row>
    <row r="315" spans="9:17" s="536" customFormat="1" ht="12.75">
      <c r="I315" s="465"/>
      <c r="J315" s="465"/>
      <c r="K315" s="465"/>
      <c r="L315" s="465"/>
      <c r="M315" s="465"/>
      <c r="N315" s="465"/>
      <c r="O315" s="465"/>
      <c r="P315" s="465"/>
      <c r="Q315" s="465"/>
    </row>
    <row r="316" spans="9:17" s="536" customFormat="1" ht="12.75">
      <c r="I316" s="465"/>
      <c r="J316" s="465"/>
      <c r="K316" s="465"/>
      <c r="L316" s="465"/>
      <c r="M316" s="465"/>
      <c r="N316" s="465"/>
      <c r="O316" s="465"/>
      <c r="P316" s="465"/>
      <c r="Q316" s="465"/>
    </row>
    <row r="317" spans="9:17" s="536" customFormat="1" ht="12.75">
      <c r="I317" s="465"/>
      <c r="J317" s="465"/>
      <c r="K317" s="465"/>
      <c r="L317" s="465"/>
      <c r="M317" s="465"/>
      <c r="N317" s="465"/>
      <c r="O317" s="465"/>
      <c r="P317" s="465"/>
      <c r="Q317" s="465"/>
    </row>
    <row r="318" spans="9:17" s="536" customFormat="1" ht="12.75">
      <c r="I318" s="465"/>
      <c r="J318" s="465"/>
      <c r="K318" s="465"/>
      <c r="L318" s="465"/>
      <c r="M318" s="465"/>
      <c r="N318" s="465"/>
      <c r="O318" s="465"/>
      <c r="P318" s="465"/>
      <c r="Q318" s="465"/>
    </row>
    <row r="319" spans="9:17" s="536" customFormat="1" ht="12.75">
      <c r="I319" s="465"/>
      <c r="J319" s="465"/>
      <c r="K319" s="465"/>
      <c r="L319" s="465"/>
      <c r="M319" s="465"/>
      <c r="N319" s="465"/>
      <c r="O319" s="465"/>
      <c r="P319" s="465"/>
      <c r="Q319" s="465"/>
    </row>
    <row r="320" spans="9:17" s="536" customFormat="1" ht="12.75">
      <c r="I320" s="465"/>
      <c r="J320" s="465"/>
      <c r="K320" s="465"/>
      <c r="L320" s="465"/>
      <c r="M320" s="465"/>
      <c r="N320" s="465"/>
      <c r="O320" s="465"/>
      <c r="P320" s="465"/>
      <c r="Q320" s="465"/>
    </row>
    <row r="321" spans="9:17" s="536" customFormat="1" ht="12.75">
      <c r="I321" s="465"/>
      <c r="J321" s="465"/>
      <c r="K321" s="465"/>
      <c r="L321" s="465"/>
      <c r="M321" s="465"/>
      <c r="N321" s="465"/>
      <c r="O321" s="465"/>
      <c r="P321" s="465"/>
      <c r="Q321" s="465"/>
    </row>
    <row r="322" spans="9:17" s="536" customFormat="1" ht="12.75">
      <c r="I322" s="465"/>
      <c r="J322" s="465"/>
      <c r="K322" s="465"/>
      <c r="L322" s="465"/>
      <c r="M322" s="465"/>
      <c r="N322" s="465"/>
      <c r="O322" s="465"/>
      <c r="P322" s="465"/>
      <c r="Q322" s="465"/>
    </row>
    <row r="323" spans="9:17" s="536" customFormat="1" ht="12.75">
      <c r="I323" s="465"/>
      <c r="J323" s="465"/>
      <c r="K323" s="465"/>
      <c r="L323" s="465"/>
      <c r="M323" s="465"/>
      <c r="N323" s="465"/>
      <c r="O323" s="465"/>
      <c r="P323" s="465"/>
      <c r="Q323" s="465"/>
    </row>
    <row r="324" spans="9:17" s="536" customFormat="1" ht="12.75">
      <c r="I324" s="465"/>
      <c r="J324" s="465"/>
      <c r="K324" s="465"/>
      <c r="L324" s="465"/>
      <c r="M324" s="465"/>
      <c r="N324" s="465"/>
      <c r="O324" s="465"/>
      <c r="P324" s="465"/>
      <c r="Q324" s="465"/>
    </row>
    <row r="325" spans="9:17" s="536" customFormat="1" ht="12.75">
      <c r="I325" s="465"/>
      <c r="J325" s="465"/>
      <c r="K325" s="465"/>
      <c r="L325" s="465"/>
      <c r="M325" s="465"/>
      <c r="N325" s="465"/>
      <c r="O325" s="465"/>
      <c r="P325" s="465"/>
      <c r="Q325" s="465"/>
    </row>
    <row r="326" spans="9:17" s="536" customFormat="1" ht="12.75">
      <c r="I326" s="465"/>
      <c r="J326" s="465"/>
      <c r="K326" s="465"/>
      <c r="L326" s="465"/>
      <c r="M326" s="465"/>
      <c r="N326" s="465"/>
      <c r="O326" s="465"/>
      <c r="P326" s="465"/>
      <c r="Q326" s="465"/>
    </row>
    <row r="327" spans="9:17" s="536" customFormat="1" ht="12.75">
      <c r="I327" s="465"/>
      <c r="J327" s="465"/>
      <c r="K327" s="465"/>
      <c r="L327" s="465"/>
      <c r="M327" s="465"/>
      <c r="N327" s="465"/>
      <c r="O327" s="465"/>
      <c r="P327" s="465"/>
      <c r="Q327" s="465"/>
    </row>
    <row r="328" spans="9:17" s="536" customFormat="1" ht="12.75">
      <c r="I328" s="465"/>
      <c r="J328" s="465"/>
      <c r="K328" s="465"/>
      <c r="L328" s="465"/>
      <c r="M328" s="465"/>
      <c r="N328" s="465"/>
      <c r="O328" s="465"/>
      <c r="P328" s="465"/>
      <c r="Q328" s="465"/>
    </row>
    <row r="329" spans="9:17" s="536" customFormat="1" ht="12.75">
      <c r="I329" s="465"/>
      <c r="J329" s="465"/>
      <c r="K329" s="465"/>
      <c r="L329" s="465"/>
      <c r="M329" s="465"/>
      <c r="N329" s="465"/>
      <c r="O329" s="465"/>
      <c r="P329" s="465"/>
      <c r="Q329" s="465"/>
    </row>
    <row r="330" spans="9:17" s="536" customFormat="1" ht="12.75">
      <c r="I330" s="465"/>
      <c r="J330" s="465"/>
      <c r="K330" s="465"/>
      <c r="L330" s="465"/>
      <c r="M330" s="465"/>
      <c r="N330" s="465"/>
      <c r="O330" s="465"/>
      <c r="P330" s="465"/>
      <c r="Q330" s="465"/>
    </row>
    <row r="331" spans="9:17" s="536" customFormat="1" ht="12.75">
      <c r="I331" s="465"/>
      <c r="J331" s="465"/>
      <c r="K331" s="465"/>
      <c r="L331" s="465"/>
      <c r="M331" s="465"/>
      <c r="N331" s="465"/>
      <c r="O331" s="465"/>
      <c r="P331" s="465"/>
      <c r="Q331" s="465"/>
    </row>
    <row r="332" spans="9:17" s="536" customFormat="1" ht="12.75">
      <c r="I332" s="465"/>
      <c r="J332" s="465"/>
      <c r="K332" s="465"/>
      <c r="L332" s="465"/>
      <c r="M332" s="465"/>
      <c r="N332" s="465"/>
      <c r="O332" s="465"/>
      <c r="P332" s="465"/>
      <c r="Q332" s="465"/>
    </row>
    <row r="333" spans="9:17" s="536" customFormat="1" ht="12.75">
      <c r="I333" s="465"/>
      <c r="J333" s="465"/>
      <c r="K333" s="465"/>
      <c r="L333" s="465"/>
      <c r="M333" s="465"/>
      <c r="N333" s="465"/>
      <c r="O333" s="465"/>
      <c r="P333" s="465"/>
      <c r="Q333" s="465"/>
    </row>
    <row r="334" spans="9:17" s="536" customFormat="1" ht="12.75">
      <c r="I334" s="465"/>
      <c r="J334" s="465"/>
      <c r="K334" s="465"/>
      <c r="L334" s="465"/>
      <c r="M334" s="465"/>
      <c r="N334" s="465"/>
      <c r="O334" s="465"/>
      <c r="P334" s="465"/>
      <c r="Q334" s="465"/>
    </row>
    <row r="335" spans="9:17" s="536" customFormat="1" ht="12.75">
      <c r="I335" s="465"/>
      <c r="J335" s="465"/>
      <c r="K335" s="465"/>
      <c r="L335" s="465"/>
      <c r="M335" s="465"/>
      <c r="N335" s="465"/>
      <c r="O335" s="465"/>
      <c r="P335" s="465"/>
      <c r="Q335" s="465"/>
    </row>
    <row r="336" spans="9:17" s="536" customFormat="1" ht="12.75">
      <c r="I336" s="465"/>
      <c r="J336" s="465"/>
      <c r="K336" s="465"/>
      <c r="L336" s="465"/>
      <c r="M336" s="465"/>
      <c r="N336" s="465"/>
      <c r="O336" s="465"/>
      <c r="P336" s="465"/>
      <c r="Q336" s="465"/>
    </row>
    <row r="337" spans="9:17" s="536" customFormat="1" ht="12.75">
      <c r="I337" s="465"/>
      <c r="J337" s="465"/>
      <c r="K337" s="465"/>
      <c r="L337" s="465"/>
      <c r="M337" s="465"/>
      <c r="N337" s="465"/>
      <c r="O337" s="465"/>
      <c r="P337" s="465"/>
      <c r="Q337" s="465"/>
    </row>
    <row r="338" spans="9:17" s="536" customFormat="1" ht="12.75">
      <c r="I338" s="465"/>
      <c r="J338" s="465"/>
      <c r="K338" s="465"/>
      <c r="L338" s="465"/>
      <c r="M338" s="465"/>
      <c r="N338" s="465"/>
      <c r="O338" s="465"/>
      <c r="P338" s="465"/>
      <c r="Q338" s="465"/>
    </row>
    <row r="339" spans="9:17" s="536" customFormat="1" ht="12.75">
      <c r="I339" s="465"/>
      <c r="J339" s="465"/>
      <c r="K339" s="465"/>
      <c r="L339" s="465"/>
      <c r="M339" s="465"/>
      <c r="N339" s="465"/>
      <c r="O339" s="465"/>
      <c r="P339" s="465"/>
      <c r="Q339" s="465"/>
    </row>
    <row r="340" spans="9:17" s="536" customFormat="1" ht="12.75">
      <c r="I340" s="465"/>
      <c r="J340" s="465"/>
      <c r="K340" s="465"/>
      <c r="L340" s="465"/>
      <c r="M340" s="465"/>
      <c r="N340" s="465"/>
      <c r="O340" s="465"/>
      <c r="P340" s="465"/>
      <c r="Q340" s="465"/>
    </row>
    <row r="341" spans="9:17" s="536" customFormat="1" ht="12.75">
      <c r="I341" s="465"/>
      <c r="J341" s="465"/>
      <c r="K341" s="465"/>
      <c r="L341" s="465"/>
      <c r="M341" s="465"/>
      <c r="N341" s="465"/>
      <c r="O341" s="465"/>
      <c r="P341" s="465"/>
      <c r="Q341" s="465"/>
    </row>
    <row r="342" spans="9:17" s="536" customFormat="1" ht="12.75">
      <c r="I342" s="465"/>
      <c r="J342" s="465"/>
      <c r="K342" s="465"/>
      <c r="L342" s="465"/>
      <c r="M342" s="465"/>
      <c r="N342" s="465"/>
      <c r="O342" s="465"/>
      <c r="P342" s="465"/>
      <c r="Q342" s="465"/>
    </row>
    <row r="343" spans="9:17" s="536" customFormat="1" ht="12.75">
      <c r="I343" s="465"/>
      <c r="J343" s="465"/>
      <c r="K343" s="465"/>
      <c r="L343" s="465"/>
      <c r="M343" s="465"/>
      <c r="N343" s="465"/>
      <c r="O343" s="465"/>
      <c r="P343" s="465"/>
      <c r="Q343" s="465"/>
    </row>
    <row r="344" spans="9:17" s="536" customFormat="1" ht="12.75">
      <c r="I344" s="465"/>
      <c r="J344" s="465"/>
      <c r="K344" s="465"/>
      <c r="L344" s="465"/>
      <c r="M344" s="465"/>
      <c r="N344" s="465"/>
      <c r="O344" s="465"/>
      <c r="P344" s="465"/>
      <c r="Q344" s="465"/>
    </row>
    <row r="345" spans="9:17" s="536" customFormat="1" ht="12.75">
      <c r="I345" s="465"/>
      <c r="J345" s="465"/>
      <c r="K345" s="465"/>
      <c r="L345" s="465"/>
      <c r="M345" s="465"/>
      <c r="N345" s="465"/>
      <c r="O345" s="465"/>
      <c r="P345" s="465"/>
      <c r="Q345" s="465"/>
    </row>
    <row r="346" spans="9:17" s="536" customFormat="1" ht="12.75">
      <c r="I346" s="465"/>
      <c r="J346" s="465"/>
      <c r="K346" s="465"/>
      <c r="L346" s="465"/>
      <c r="M346" s="465"/>
      <c r="N346" s="465"/>
      <c r="O346" s="465"/>
      <c r="P346" s="465"/>
      <c r="Q346" s="465"/>
    </row>
    <row r="347" spans="9:17" s="536" customFormat="1" ht="12.75">
      <c r="I347" s="465"/>
      <c r="J347" s="465"/>
      <c r="K347" s="465"/>
      <c r="L347" s="465"/>
      <c r="M347" s="465"/>
      <c r="N347" s="465"/>
      <c r="O347" s="465"/>
      <c r="P347" s="465"/>
      <c r="Q347" s="465"/>
    </row>
    <row r="348" spans="9:17" s="536" customFormat="1" ht="12.75">
      <c r="I348" s="465"/>
      <c r="J348" s="465"/>
      <c r="K348" s="465"/>
      <c r="L348" s="465"/>
      <c r="M348" s="465"/>
      <c r="N348" s="465"/>
      <c r="O348" s="465"/>
      <c r="P348" s="465"/>
      <c r="Q348" s="465"/>
    </row>
    <row r="349" spans="9:17" s="536" customFormat="1" ht="12.75">
      <c r="I349" s="465"/>
      <c r="J349" s="465"/>
      <c r="K349" s="465"/>
      <c r="L349" s="465"/>
      <c r="M349" s="465"/>
      <c r="N349" s="465"/>
      <c r="O349" s="465"/>
      <c r="P349" s="465"/>
      <c r="Q349" s="465"/>
    </row>
    <row r="350" spans="9:17" s="536" customFormat="1" ht="12.75">
      <c r="I350" s="465"/>
      <c r="J350" s="465"/>
      <c r="K350" s="465"/>
      <c r="L350" s="465"/>
      <c r="M350" s="465"/>
      <c r="N350" s="465"/>
      <c r="O350" s="465"/>
      <c r="P350" s="465"/>
      <c r="Q350" s="465"/>
    </row>
    <row r="351" spans="9:17" s="536" customFormat="1" ht="12.75">
      <c r="I351" s="465"/>
      <c r="J351" s="465"/>
      <c r="K351" s="465"/>
      <c r="L351" s="465"/>
      <c r="M351" s="465"/>
      <c r="N351" s="465"/>
      <c r="O351" s="465"/>
      <c r="P351" s="465"/>
      <c r="Q351" s="465"/>
    </row>
    <row r="352" spans="9:17" s="536" customFormat="1" ht="12.75">
      <c r="I352" s="465"/>
      <c r="J352" s="465"/>
      <c r="K352" s="465"/>
      <c r="L352" s="465"/>
      <c r="M352" s="465"/>
      <c r="N352" s="465"/>
      <c r="O352" s="465"/>
      <c r="P352" s="465"/>
      <c r="Q352" s="465"/>
    </row>
    <row r="353" spans="9:17" s="536" customFormat="1" ht="12.75">
      <c r="I353" s="465"/>
      <c r="J353" s="465"/>
      <c r="K353" s="465"/>
      <c r="L353" s="465"/>
      <c r="M353" s="465"/>
      <c r="N353" s="465"/>
      <c r="O353" s="465"/>
      <c r="P353" s="465"/>
      <c r="Q353" s="465"/>
    </row>
    <row r="354" spans="9:17" s="536" customFormat="1" ht="12.75">
      <c r="I354" s="465"/>
      <c r="J354" s="465"/>
      <c r="K354" s="465"/>
      <c r="L354" s="465"/>
      <c r="M354" s="465"/>
      <c r="N354" s="465"/>
      <c r="O354" s="465"/>
      <c r="P354" s="465"/>
      <c r="Q354" s="465"/>
    </row>
    <row r="355" spans="9:17" s="536" customFormat="1" ht="12.75">
      <c r="I355" s="465"/>
      <c r="J355" s="465"/>
      <c r="K355" s="465"/>
      <c r="L355" s="465"/>
      <c r="M355" s="465"/>
      <c r="N355" s="465"/>
      <c r="O355" s="465"/>
      <c r="P355" s="465"/>
      <c r="Q355" s="465"/>
    </row>
    <row r="356" spans="9:17" s="536" customFormat="1" ht="12.75">
      <c r="I356" s="465"/>
      <c r="J356" s="465"/>
      <c r="K356" s="465"/>
      <c r="L356" s="465"/>
      <c r="M356" s="465"/>
      <c r="N356" s="465"/>
      <c r="O356" s="465"/>
      <c r="P356" s="465"/>
      <c r="Q356" s="465"/>
    </row>
    <row r="357" spans="9:17" s="536" customFormat="1" ht="12.75">
      <c r="I357" s="465"/>
      <c r="J357" s="465"/>
      <c r="K357" s="465"/>
      <c r="L357" s="465"/>
      <c r="M357" s="465"/>
      <c r="N357" s="465"/>
      <c r="O357" s="465"/>
      <c r="P357" s="465"/>
      <c r="Q357" s="465"/>
    </row>
    <row r="358" spans="9:17" s="536" customFormat="1" ht="12.75">
      <c r="I358" s="465"/>
      <c r="J358" s="465"/>
      <c r="K358" s="465"/>
      <c r="L358" s="465"/>
      <c r="M358" s="465"/>
      <c r="N358" s="465"/>
      <c r="O358" s="465"/>
      <c r="P358" s="465"/>
      <c r="Q358" s="465"/>
    </row>
    <row r="359" spans="9:17" s="536" customFormat="1" ht="12.75">
      <c r="I359" s="465"/>
      <c r="J359" s="465"/>
      <c r="K359" s="465"/>
      <c r="L359" s="465"/>
      <c r="M359" s="465"/>
      <c r="N359" s="465"/>
      <c r="O359" s="465"/>
      <c r="P359" s="465"/>
      <c r="Q359" s="465"/>
    </row>
    <row r="360" spans="9:17" s="536" customFormat="1" ht="12.75">
      <c r="I360" s="465"/>
      <c r="J360" s="465"/>
      <c r="K360" s="465"/>
      <c r="L360" s="465"/>
      <c r="M360" s="465"/>
      <c r="N360" s="465"/>
      <c r="O360" s="465"/>
      <c r="P360" s="465"/>
      <c r="Q360" s="465"/>
    </row>
    <row r="361" spans="9:17" s="536" customFormat="1" ht="12.75">
      <c r="I361" s="465"/>
      <c r="J361" s="465"/>
      <c r="K361" s="465"/>
      <c r="L361" s="465"/>
      <c r="M361" s="465"/>
      <c r="N361" s="465"/>
      <c r="O361" s="465"/>
      <c r="P361" s="465"/>
      <c r="Q361" s="465"/>
    </row>
    <row r="362" spans="9:17" s="536" customFormat="1" ht="12.75">
      <c r="I362" s="465"/>
      <c r="J362" s="465"/>
      <c r="K362" s="465"/>
      <c r="L362" s="465"/>
      <c r="M362" s="465"/>
      <c r="N362" s="465"/>
      <c r="O362" s="465"/>
      <c r="P362" s="465"/>
      <c r="Q362" s="465"/>
    </row>
    <row r="363" spans="9:17" s="536" customFormat="1" ht="12.75">
      <c r="I363" s="465"/>
      <c r="J363" s="465"/>
      <c r="K363" s="465"/>
      <c r="L363" s="465"/>
      <c r="M363" s="465"/>
      <c r="N363" s="465"/>
      <c r="O363" s="465"/>
      <c r="P363" s="465"/>
      <c r="Q363" s="465"/>
    </row>
    <row r="364" spans="9:17" s="536" customFormat="1" ht="12.75">
      <c r="I364" s="465"/>
      <c r="J364" s="465"/>
      <c r="K364" s="465"/>
      <c r="L364" s="465"/>
      <c r="M364" s="465"/>
      <c r="N364" s="465"/>
      <c r="O364" s="465"/>
      <c r="P364" s="465"/>
      <c r="Q364" s="465"/>
    </row>
    <row r="365" spans="9:17" s="536" customFormat="1" ht="12.75">
      <c r="I365" s="465"/>
      <c r="J365" s="465"/>
      <c r="K365" s="465"/>
      <c r="L365" s="465"/>
      <c r="M365" s="465"/>
      <c r="N365" s="465"/>
      <c r="O365" s="465"/>
      <c r="P365" s="465"/>
      <c r="Q365" s="465"/>
    </row>
    <row r="366" spans="9:17" s="536" customFormat="1" ht="12.75">
      <c r="I366" s="465"/>
      <c r="J366" s="465"/>
      <c r="K366" s="465"/>
      <c r="L366" s="465"/>
      <c r="M366" s="465"/>
      <c r="N366" s="465"/>
      <c r="O366" s="465"/>
      <c r="P366" s="465"/>
      <c r="Q366" s="465"/>
    </row>
    <row r="367" spans="9:17" s="536" customFormat="1" ht="12.75">
      <c r="I367" s="465"/>
      <c r="J367" s="465"/>
      <c r="K367" s="465"/>
      <c r="L367" s="465"/>
      <c r="M367" s="465"/>
      <c r="N367" s="465"/>
      <c r="O367" s="465"/>
      <c r="P367" s="465"/>
      <c r="Q367" s="465"/>
    </row>
    <row r="368" spans="9:17" s="536" customFormat="1" ht="12.75">
      <c r="I368" s="465"/>
      <c r="J368" s="465"/>
      <c r="K368" s="465"/>
      <c r="L368" s="465"/>
      <c r="M368" s="465"/>
      <c r="N368" s="465"/>
      <c r="O368" s="465"/>
      <c r="P368" s="465"/>
      <c r="Q368" s="465"/>
    </row>
    <row r="369" spans="9:17" s="536" customFormat="1" ht="12.75">
      <c r="I369" s="465"/>
      <c r="J369" s="465"/>
      <c r="K369" s="465"/>
      <c r="L369" s="465"/>
      <c r="M369" s="465"/>
      <c r="N369" s="465"/>
      <c r="O369" s="465"/>
      <c r="P369" s="465"/>
      <c r="Q369" s="465"/>
    </row>
    <row r="370" spans="9:17" s="536" customFormat="1" ht="12.75">
      <c r="I370" s="465"/>
      <c r="J370" s="465"/>
      <c r="K370" s="465"/>
      <c r="L370" s="465"/>
      <c r="M370" s="465"/>
      <c r="N370" s="465"/>
      <c r="O370" s="465"/>
      <c r="P370" s="465"/>
      <c r="Q370" s="465"/>
    </row>
    <row r="371" spans="9:17" s="536" customFormat="1" ht="12.75">
      <c r="I371" s="465"/>
      <c r="J371" s="465"/>
      <c r="K371" s="465"/>
      <c r="L371" s="465"/>
      <c r="M371" s="465"/>
      <c r="N371" s="465"/>
      <c r="O371" s="465"/>
      <c r="P371" s="465"/>
      <c r="Q371" s="465"/>
    </row>
    <row r="372" spans="9:17" s="536" customFormat="1" ht="12.75">
      <c r="I372" s="465"/>
      <c r="J372" s="465"/>
      <c r="K372" s="465"/>
      <c r="L372" s="465"/>
      <c r="M372" s="465"/>
      <c r="N372" s="465"/>
      <c r="O372" s="465"/>
      <c r="P372" s="465"/>
      <c r="Q372" s="465"/>
    </row>
    <row r="373" spans="9:17" s="536" customFormat="1" ht="12.75">
      <c r="I373" s="465"/>
      <c r="J373" s="465"/>
      <c r="K373" s="465"/>
      <c r="L373" s="465"/>
      <c r="M373" s="465"/>
      <c r="N373" s="465"/>
      <c r="O373" s="465"/>
      <c r="P373" s="465"/>
      <c r="Q373" s="465"/>
    </row>
    <row r="374" spans="9:17" s="536" customFormat="1" ht="12.75">
      <c r="I374" s="465"/>
      <c r="J374" s="465"/>
      <c r="K374" s="465"/>
      <c r="L374" s="465"/>
      <c r="M374" s="465"/>
      <c r="N374" s="465"/>
      <c r="O374" s="465"/>
      <c r="P374" s="465"/>
      <c r="Q374" s="465"/>
    </row>
    <row r="375" spans="9:17" s="536" customFormat="1" ht="12.75">
      <c r="I375" s="465"/>
      <c r="J375" s="465"/>
      <c r="K375" s="465"/>
      <c r="L375" s="465"/>
      <c r="M375" s="465"/>
      <c r="N375" s="465"/>
      <c r="O375" s="465"/>
      <c r="P375" s="465"/>
      <c r="Q375" s="465"/>
    </row>
    <row r="376" spans="9:17" s="536" customFormat="1" ht="12.75">
      <c r="I376" s="465"/>
      <c r="J376" s="465"/>
      <c r="K376" s="465"/>
      <c r="L376" s="465"/>
      <c r="M376" s="465"/>
      <c r="N376" s="465"/>
      <c r="O376" s="465"/>
      <c r="P376" s="465"/>
      <c r="Q376" s="465"/>
    </row>
    <row r="377" spans="9:17" s="536" customFormat="1" ht="12.75">
      <c r="I377" s="465"/>
      <c r="J377" s="465"/>
      <c r="K377" s="465"/>
      <c r="L377" s="465"/>
      <c r="M377" s="465"/>
      <c r="N377" s="465"/>
      <c r="O377" s="465"/>
      <c r="P377" s="465"/>
      <c r="Q377" s="465"/>
    </row>
    <row r="378" spans="9:17" s="536" customFormat="1" ht="12.75">
      <c r="I378" s="465"/>
      <c r="J378" s="465"/>
      <c r="K378" s="465"/>
      <c r="L378" s="465"/>
      <c r="M378" s="465"/>
      <c r="N378" s="465"/>
      <c r="O378" s="465"/>
      <c r="P378" s="465"/>
      <c r="Q378" s="465"/>
    </row>
    <row r="379" spans="9:17" s="536" customFormat="1" ht="12.75">
      <c r="I379" s="465"/>
      <c r="J379" s="465"/>
      <c r="K379" s="465"/>
      <c r="L379" s="465"/>
      <c r="M379" s="465"/>
      <c r="N379" s="465"/>
      <c r="O379" s="465"/>
      <c r="P379" s="465"/>
      <c r="Q379" s="465"/>
    </row>
    <row r="380" spans="9:17" s="536" customFormat="1" ht="12.75">
      <c r="I380" s="465"/>
      <c r="J380" s="465"/>
      <c r="K380" s="465"/>
      <c r="L380" s="465"/>
      <c r="M380" s="465"/>
      <c r="N380" s="465"/>
      <c r="O380" s="465"/>
      <c r="P380" s="465"/>
      <c r="Q380" s="465"/>
    </row>
    <row r="381" spans="9:17" s="536" customFormat="1" ht="12.75">
      <c r="I381" s="465"/>
      <c r="J381" s="465"/>
      <c r="K381" s="465"/>
      <c r="L381" s="465"/>
      <c r="M381" s="465"/>
      <c r="N381" s="465"/>
      <c r="O381" s="465"/>
      <c r="P381" s="465"/>
      <c r="Q381" s="465"/>
    </row>
    <row r="382" spans="9:17" s="536" customFormat="1" ht="12.75">
      <c r="I382" s="465"/>
      <c r="J382" s="465"/>
      <c r="K382" s="465"/>
      <c r="L382" s="465"/>
      <c r="M382" s="465"/>
      <c r="N382" s="465"/>
      <c r="O382" s="465"/>
      <c r="P382" s="465"/>
      <c r="Q382" s="465"/>
    </row>
    <row r="383" spans="9:17" s="536" customFormat="1" ht="12.75">
      <c r="I383" s="465"/>
      <c r="J383" s="465"/>
      <c r="K383" s="465"/>
      <c r="L383" s="465"/>
      <c r="M383" s="465"/>
      <c r="N383" s="465"/>
      <c r="O383" s="465"/>
      <c r="P383" s="465"/>
      <c r="Q383" s="465"/>
    </row>
    <row r="384" spans="9:17" s="536" customFormat="1" ht="12.75">
      <c r="I384" s="465"/>
      <c r="J384" s="465"/>
      <c r="K384" s="465"/>
      <c r="L384" s="465"/>
      <c r="M384" s="465"/>
      <c r="N384" s="465"/>
      <c r="O384" s="465"/>
      <c r="P384" s="465"/>
      <c r="Q384" s="465"/>
    </row>
    <row r="385" spans="9:17" s="536" customFormat="1" ht="12.75">
      <c r="I385" s="465"/>
      <c r="J385" s="465"/>
      <c r="K385" s="465"/>
      <c r="L385" s="465"/>
      <c r="M385" s="465"/>
      <c r="N385" s="465"/>
      <c r="O385" s="465"/>
      <c r="P385" s="465"/>
      <c r="Q385" s="465"/>
    </row>
    <row r="386" spans="9:17" s="536" customFormat="1" ht="12.75">
      <c r="I386" s="465"/>
      <c r="J386" s="465"/>
      <c r="K386" s="465"/>
      <c r="L386" s="465"/>
      <c r="M386" s="465"/>
      <c r="N386" s="465"/>
      <c r="O386" s="465"/>
      <c r="P386" s="465"/>
      <c r="Q386" s="465"/>
    </row>
    <row r="387" spans="9:17" s="536" customFormat="1" ht="12.75">
      <c r="I387" s="465"/>
      <c r="J387" s="465"/>
      <c r="K387" s="465"/>
      <c r="L387" s="465"/>
      <c r="M387" s="465"/>
      <c r="N387" s="465"/>
      <c r="O387" s="465"/>
      <c r="P387" s="465"/>
      <c r="Q387" s="465"/>
    </row>
    <row r="388" spans="9:17" s="536" customFormat="1" ht="12.75">
      <c r="I388" s="465"/>
      <c r="J388" s="465"/>
      <c r="K388" s="465"/>
      <c r="L388" s="465"/>
      <c r="M388" s="465"/>
      <c r="N388" s="465"/>
      <c r="O388" s="465"/>
      <c r="P388" s="465"/>
      <c r="Q388" s="465"/>
    </row>
    <row r="389" spans="9:17" s="536" customFormat="1" ht="12.75">
      <c r="I389" s="465"/>
      <c r="J389" s="465"/>
      <c r="K389" s="465"/>
      <c r="L389" s="465"/>
      <c r="M389" s="465"/>
      <c r="N389" s="465"/>
      <c r="O389" s="465"/>
      <c r="P389" s="465"/>
      <c r="Q389" s="465"/>
    </row>
    <row r="390" spans="9:17" s="536" customFormat="1" ht="12.75">
      <c r="I390" s="465"/>
      <c r="J390" s="465"/>
      <c r="K390" s="465"/>
      <c r="L390" s="465"/>
      <c r="M390" s="465"/>
      <c r="N390" s="465"/>
      <c r="O390" s="465"/>
      <c r="P390" s="465"/>
      <c r="Q390" s="465"/>
    </row>
    <row r="391" spans="9:17" s="536" customFormat="1" ht="12.75">
      <c r="I391" s="465"/>
      <c r="J391" s="465"/>
      <c r="K391" s="465"/>
      <c r="L391" s="465"/>
      <c r="M391" s="465"/>
      <c r="N391" s="465"/>
      <c r="O391" s="465"/>
      <c r="P391" s="465"/>
      <c r="Q391" s="465"/>
    </row>
    <row r="392" spans="9:17" s="536" customFormat="1" ht="12.75">
      <c r="I392" s="465"/>
      <c r="J392" s="465"/>
      <c r="K392" s="465"/>
      <c r="L392" s="465"/>
      <c r="M392" s="465"/>
      <c r="N392" s="465"/>
      <c r="O392" s="465"/>
      <c r="P392" s="465"/>
      <c r="Q392" s="465"/>
    </row>
    <row r="393" spans="9:17" s="536" customFormat="1" ht="12.75">
      <c r="I393" s="465"/>
      <c r="J393" s="465"/>
      <c r="K393" s="465"/>
      <c r="L393" s="465"/>
      <c r="M393" s="465"/>
      <c r="N393" s="465"/>
      <c r="O393" s="465"/>
      <c r="P393" s="465"/>
      <c r="Q393" s="465"/>
    </row>
    <row r="394" spans="9:17" s="536" customFormat="1" ht="12.75">
      <c r="I394" s="465"/>
      <c r="J394" s="465"/>
      <c r="K394" s="465"/>
      <c r="L394" s="465"/>
      <c r="M394" s="465"/>
      <c r="N394" s="465"/>
      <c r="O394" s="465"/>
      <c r="P394" s="465"/>
      <c r="Q394" s="465"/>
    </row>
    <row r="395" spans="9:17" s="536" customFormat="1" ht="12.75">
      <c r="I395" s="465"/>
      <c r="J395" s="465"/>
      <c r="K395" s="465"/>
      <c r="L395" s="465"/>
      <c r="M395" s="465"/>
      <c r="N395" s="465"/>
      <c r="O395" s="465"/>
      <c r="P395" s="465"/>
      <c r="Q395" s="465"/>
    </row>
    <row r="396" spans="9:17" s="536" customFormat="1" ht="12.75">
      <c r="I396" s="465"/>
      <c r="J396" s="465"/>
      <c r="K396" s="465"/>
      <c r="L396" s="465"/>
      <c r="M396" s="465"/>
      <c r="N396" s="465"/>
      <c r="O396" s="465"/>
      <c r="P396" s="465"/>
      <c r="Q396" s="465"/>
    </row>
    <row r="397" spans="9:17" s="536" customFormat="1" ht="12.75">
      <c r="I397" s="465"/>
      <c r="J397" s="465"/>
      <c r="K397" s="465"/>
      <c r="L397" s="465"/>
      <c r="M397" s="465"/>
      <c r="N397" s="465"/>
      <c r="O397" s="465"/>
      <c r="P397" s="465"/>
      <c r="Q397" s="465"/>
    </row>
    <row r="398" spans="9:17" s="536" customFormat="1" ht="12.75">
      <c r="I398" s="465"/>
      <c r="J398" s="465"/>
      <c r="K398" s="465"/>
      <c r="L398" s="465"/>
      <c r="M398" s="465"/>
      <c r="N398" s="465"/>
      <c r="O398" s="465"/>
      <c r="P398" s="465"/>
      <c r="Q398" s="465"/>
    </row>
    <row r="399" spans="9:17" s="536" customFormat="1" ht="12.75">
      <c r="I399" s="465"/>
      <c r="J399" s="465"/>
      <c r="K399" s="465"/>
      <c r="L399" s="465"/>
      <c r="M399" s="465"/>
      <c r="N399" s="465"/>
      <c r="O399" s="465"/>
      <c r="P399" s="465"/>
      <c r="Q399" s="465"/>
    </row>
    <row r="400" spans="9:17" s="536" customFormat="1" ht="12.75">
      <c r="I400" s="465"/>
      <c r="J400" s="465"/>
      <c r="K400" s="465"/>
      <c r="L400" s="465"/>
      <c r="M400" s="465"/>
      <c r="N400" s="465"/>
      <c r="O400" s="465"/>
      <c r="P400" s="465"/>
      <c r="Q400" s="465"/>
    </row>
    <row r="401" spans="9:17" s="536" customFormat="1" ht="12.75">
      <c r="I401" s="465"/>
      <c r="J401" s="465"/>
      <c r="K401" s="465"/>
      <c r="L401" s="465"/>
      <c r="M401" s="465"/>
      <c r="N401" s="465"/>
      <c r="O401" s="465"/>
      <c r="P401" s="465"/>
      <c r="Q401" s="465"/>
    </row>
    <row r="402" spans="9:17" s="536" customFormat="1" ht="12.75">
      <c r="I402" s="465"/>
      <c r="J402" s="465"/>
      <c r="K402" s="465"/>
      <c r="L402" s="465"/>
      <c r="M402" s="465"/>
      <c r="N402" s="465"/>
      <c r="O402" s="465"/>
      <c r="P402" s="465"/>
      <c r="Q402" s="465"/>
    </row>
    <row r="403" spans="9:17" s="536" customFormat="1" ht="12.75">
      <c r="I403" s="465"/>
      <c r="J403" s="465"/>
      <c r="K403" s="465"/>
      <c r="L403" s="465"/>
      <c r="M403" s="465"/>
      <c r="N403" s="465"/>
      <c r="O403" s="465"/>
      <c r="P403" s="465"/>
      <c r="Q403" s="465"/>
    </row>
    <row r="404" spans="9:17" s="536" customFormat="1" ht="12.75">
      <c r="I404" s="465"/>
      <c r="J404" s="465"/>
      <c r="K404" s="465"/>
      <c r="L404" s="465"/>
      <c r="M404" s="465"/>
      <c r="N404" s="465"/>
      <c r="O404" s="465"/>
      <c r="P404" s="465"/>
      <c r="Q404" s="465"/>
    </row>
    <row r="405" spans="9:17" s="536" customFormat="1" ht="12.75">
      <c r="I405" s="465"/>
      <c r="J405" s="465"/>
      <c r="K405" s="465"/>
      <c r="L405" s="465"/>
      <c r="M405" s="465"/>
      <c r="N405" s="465"/>
      <c r="O405" s="465"/>
      <c r="P405" s="465"/>
      <c r="Q405" s="465"/>
    </row>
    <row r="406" spans="9:17" s="536" customFormat="1" ht="12.75">
      <c r="I406" s="465"/>
      <c r="J406" s="465"/>
      <c r="K406" s="465"/>
      <c r="L406" s="465"/>
      <c r="M406" s="465"/>
      <c r="N406" s="465"/>
      <c r="O406" s="465"/>
      <c r="P406" s="465"/>
      <c r="Q406" s="465"/>
    </row>
    <row r="407" spans="9:17" s="536" customFormat="1" ht="12.75">
      <c r="I407" s="465"/>
      <c r="J407" s="465"/>
      <c r="K407" s="465"/>
      <c r="L407" s="465"/>
      <c r="M407" s="465"/>
      <c r="N407" s="465"/>
      <c r="O407" s="465"/>
      <c r="P407" s="465"/>
      <c r="Q407" s="465"/>
    </row>
    <row r="408" spans="9:17" s="536" customFormat="1" ht="12.75">
      <c r="I408" s="465"/>
      <c r="J408" s="465"/>
      <c r="K408" s="465"/>
      <c r="L408" s="465"/>
      <c r="M408" s="465"/>
      <c r="N408" s="465"/>
      <c r="O408" s="465"/>
      <c r="P408" s="465"/>
      <c r="Q408" s="465"/>
    </row>
    <row r="409" spans="9:17" s="536" customFormat="1" ht="12.75">
      <c r="I409" s="465"/>
      <c r="J409" s="465"/>
      <c r="K409" s="465"/>
      <c r="L409" s="465"/>
      <c r="M409" s="465"/>
      <c r="N409" s="465"/>
      <c r="O409" s="465"/>
      <c r="P409" s="465"/>
      <c r="Q409" s="465"/>
    </row>
    <row r="410" spans="9:17" s="536" customFormat="1" ht="12.75">
      <c r="I410" s="465"/>
      <c r="J410" s="465"/>
      <c r="K410" s="465"/>
      <c r="L410" s="465"/>
      <c r="M410" s="465"/>
      <c r="N410" s="465"/>
      <c r="O410" s="465"/>
      <c r="P410" s="465"/>
      <c r="Q410" s="465"/>
    </row>
    <row r="411" spans="9:17" s="536" customFormat="1" ht="12.75">
      <c r="I411" s="465"/>
      <c r="J411" s="465"/>
      <c r="K411" s="465"/>
      <c r="L411" s="465"/>
      <c r="M411" s="465"/>
      <c r="N411" s="465"/>
      <c r="O411" s="465"/>
      <c r="P411" s="465"/>
      <c r="Q411" s="465"/>
    </row>
    <row r="412" spans="9:17" s="536" customFormat="1" ht="12.75">
      <c r="I412" s="465"/>
      <c r="J412" s="465"/>
      <c r="K412" s="465"/>
      <c r="L412" s="465"/>
      <c r="M412" s="465"/>
      <c r="N412" s="465"/>
      <c r="O412" s="465"/>
      <c r="P412" s="465"/>
      <c r="Q412" s="465"/>
    </row>
    <row r="413" spans="9:17" s="536" customFormat="1" ht="12.75">
      <c r="I413" s="465"/>
      <c r="J413" s="465"/>
      <c r="K413" s="465"/>
      <c r="L413" s="465"/>
      <c r="M413" s="465"/>
      <c r="N413" s="465"/>
      <c r="O413" s="465"/>
      <c r="P413" s="465"/>
      <c r="Q413" s="465"/>
    </row>
    <row r="414" spans="9:17" s="536" customFormat="1" ht="12.75">
      <c r="I414" s="465"/>
      <c r="J414" s="465"/>
      <c r="K414" s="465"/>
      <c r="L414" s="465"/>
      <c r="M414" s="465"/>
      <c r="N414" s="465"/>
      <c r="O414" s="465"/>
      <c r="P414" s="465"/>
      <c r="Q414" s="465"/>
    </row>
    <row r="415" spans="9:17" s="536" customFormat="1" ht="12.75">
      <c r="I415" s="465"/>
      <c r="J415" s="465"/>
      <c r="K415" s="465"/>
      <c r="L415" s="465"/>
      <c r="M415" s="465"/>
      <c r="N415" s="465"/>
      <c r="O415" s="465"/>
      <c r="P415" s="465"/>
      <c r="Q415" s="465"/>
    </row>
    <row r="416" spans="9:17" s="536" customFormat="1" ht="12.75">
      <c r="I416" s="465"/>
      <c r="J416" s="465"/>
      <c r="K416" s="465"/>
      <c r="L416" s="465"/>
      <c r="M416" s="465"/>
      <c r="N416" s="465"/>
      <c r="O416" s="465"/>
      <c r="P416" s="465"/>
      <c r="Q416" s="465"/>
    </row>
    <row r="417" spans="9:17" s="536" customFormat="1" ht="12.75">
      <c r="I417" s="465"/>
      <c r="J417" s="465"/>
      <c r="K417" s="465"/>
      <c r="L417" s="465"/>
      <c r="M417" s="465"/>
      <c r="N417" s="465"/>
      <c r="O417" s="465"/>
      <c r="P417" s="465"/>
      <c r="Q417" s="465"/>
    </row>
    <row r="418" spans="9:17" s="536" customFormat="1" ht="12.75">
      <c r="I418" s="465"/>
      <c r="J418" s="465"/>
      <c r="K418" s="465"/>
      <c r="L418" s="465"/>
      <c r="M418" s="465"/>
      <c r="N418" s="465"/>
      <c r="O418" s="465"/>
      <c r="P418" s="465"/>
      <c r="Q418" s="465"/>
    </row>
    <row r="419" spans="9:17" s="536" customFormat="1" ht="12.75">
      <c r="I419" s="465"/>
      <c r="J419" s="465"/>
      <c r="K419" s="465"/>
      <c r="L419" s="465"/>
      <c r="M419" s="465"/>
      <c r="N419" s="465"/>
      <c r="O419" s="465"/>
      <c r="P419" s="465"/>
      <c r="Q419" s="465"/>
    </row>
    <row r="420" spans="9:17" s="536" customFormat="1" ht="12.75">
      <c r="I420" s="465"/>
      <c r="J420" s="465"/>
      <c r="K420" s="465"/>
      <c r="L420" s="465"/>
      <c r="M420" s="465"/>
      <c r="N420" s="465"/>
      <c r="O420" s="465"/>
      <c r="P420" s="465"/>
      <c r="Q420" s="465"/>
    </row>
    <row r="421" spans="9:17" s="536" customFormat="1" ht="12.75">
      <c r="I421" s="465"/>
      <c r="J421" s="465"/>
      <c r="K421" s="465"/>
      <c r="L421" s="465"/>
      <c r="M421" s="465"/>
      <c r="N421" s="465"/>
      <c r="O421" s="465"/>
      <c r="P421" s="465"/>
      <c r="Q421" s="465"/>
    </row>
    <row r="422" spans="9:17" s="536" customFormat="1" ht="12.75">
      <c r="I422" s="465"/>
      <c r="J422" s="465"/>
      <c r="K422" s="465"/>
      <c r="L422" s="465"/>
      <c r="M422" s="465"/>
      <c r="N422" s="465"/>
      <c r="O422" s="465"/>
      <c r="P422" s="465"/>
      <c r="Q422" s="465"/>
    </row>
    <row r="423" spans="9:17" s="536" customFormat="1" ht="12.75">
      <c r="I423" s="465"/>
      <c r="J423" s="465"/>
      <c r="K423" s="465"/>
      <c r="L423" s="465"/>
      <c r="M423" s="465"/>
      <c r="N423" s="465"/>
      <c r="O423" s="465"/>
      <c r="P423" s="465"/>
      <c r="Q423" s="465"/>
    </row>
    <row r="424" spans="9:17" s="536" customFormat="1" ht="12.75">
      <c r="I424" s="465"/>
      <c r="J424" s="465"/>
      <c r="K424" s="465"/>
      <c r="L424" s="465"/>
      <c r="M424" s="465"/>
      <c r="N424" s="465"/>
      <c r="O424" s="465"/>
      <c r="P424" s="465"/>
      <c r="Q424" s="465"/>
    </row>
    <row r="425" spans="9:17" s="536" customFormat="1" ht="12.75">
      <c r="I425" s="465"/>
      <c r="J425" s="465"/>
      <c r="K425" s="465"/>
      <c r="L425" s="465"/>
      <c r="M425" s="465"/>
      <c r="N425" s="465"/>
      <c r="O425" s="465"/>
      <c r="P425" s="465"/>
      <c r="Q425" s="465"/>
    </row>
    <row r="426" spans="9:17" s="536" customFormat="1" ht="12.75">
      <c r="I426" s="465"/>
      <c r="J426" s="465"/>
      <c r="K426" s="465"/>
      <c r="L426" s="465"/>
      <c r="M426" s="465"/>
      <c r="N426" s="465"/>
      <c r="O426" s="465"/>
      <c r="P426" s="465"/>
      <c r="Q426" s="465"/>
    </row>
    <row r="427" spans="9:17" s="536" customFormat="1" ht="12.75">
      <c r="I427" s="465"/>
      <c r="J427" s="465"/>
      <c r="K427" s="465"/>
      <c r="L427" s="465"/>
      <c r="M427" s="465"/>
      <c r="N427" s="465"/>
      <c r="O427" s="465"/>
      <c r="P427" s="465"/>
      <c r="Q427" s="465"/>
    </row>
    <row r="428" spans="9:17" s="536" customFormat="1" ht="12.75">
      <c r="I428" s="465"/>
      <c r="J428" s="465"/>
      <c r="K428" s="465"/>
      <c r="L428" s="465"/>
      <c r="M428" s="465"/>
      <c r="N428" s="465"/>
      <c r="O428" s="465"/>
      <c r="P428" s="465"/>
      <c r="Q428" s="465"/>
    </row>
    <row r="429" spans="9:17" s="536" customFormat="1" ht="12.75">
      <c r="I429" s="465"/>
      <c r="J429" s="465"/>
      <c r="K429" s="465"/>
      <c r="L429" s="465"/>
      <c r="M429" s="465"/>
      <c r="N429" s="465"/>
      <c r="O429" s="465"/>
      <c r="P429" s="465"/>
      <c r="Q429" s="465"/>
    </row>
    <row r="430" spans="9:17" s="536" customFormat="1" ht="12.75">
      <c r="I430" s="465"/>
      <c r="J430" s="465"/>
      <c r="K430" s="465"/>
      <c r="L430" s="465"/>
      <c r="M430" s="465"/>
      <c r="N430" s="465"/>
      <c r="O430" s="465"/>
      <c r="P430" s="465"/>
      <c r="Q430" s="465"/>
    </row>
    <row r="431" spans="9:17" s="536" customFormat="1" ht="12.75">
      <c r="I431" s="465"/>
      <c r="J431" s="465"/>
      <c r="K431" s="465"/>
      <c r="L431" s="465"/>
      <c r="M431" s="465"/>
      <c r="N431" s="465"/>
      <c r="O431" s="465"/>
      <c r="P431" s="465"/>
      <c r="Q431" s="465"/>
    </row>
    <row r="432" spans="9:17" s="536" customFormat="1" ht="12.75">
      <c r="I432" s="465"/>
      <c r="J432" s="465"/>
      <c r="K432" s="465"/>
      <c r="L432" s="465"/>
      <c r="M432" s="465"/>
      <c r="N432" s="465"/>
      <c r="O432" s="465"/>
      <c r="P432" s="465"/>
      <c r="Q432" s="465"/>
    </row>
    <row r="433" spans="9:17" s="536" customFormat="1" ht="12.75">
      <c r="I433" s="465"/>
      <c r="J433" s="465"/>
      <c r="K433" s="465"/>
      <c r="L433" s="465"/>
      <c r="M433" s="465"/>
      <c r="N433" s="465"/>
      <c r="O433" s="465"/>
      <c r="P433" s="465"/>
      <c r="Q433" s="465"/>
    </row>
    <row r="434" spans="9:17" s="536" customFormat="1" ht="12.75">
      <c r="I434" s="465"/>
      <c r="J434" s="465"/>
      <c r="K434" s="465"/>
      <c r="L434" s="465"/>
      <c r="M434" s="465"/>
      <c r="N434" s="465"/>
      <c r="O434" s="465"/>
      <c r="P434" s="465"/>
      <c r="Q434" s="465"/>
    </row>
    <row r="435" spans="9:17" s="536" customFormat="1" ht="12.75">
      <c r="I435" s="465"/>
      <c r="J435" s="465"/>
      <c r="K435" s="465"/>
      <c r="L435" s="465"/>
      <c r="M435" s="465"/>
      <c r="N435" s="465"/>
      <c r="O435" s="465"/>
      <c r="P435" s="465"/>
      <c r="Q435" s="465"/>
    </row>
    <row r="436" spans="9:17" s="536" customFormat="1" ht="12.75">
      <c r="I436" s="465"/>
      <c r="J436" s="465"/>
      <c r="K436" s="465"/>
      <c r="L436" s="465"/>
      <c r="M436" s="465"/>
      <c r="N436" s="465"/>
      <c r="O436" s="465"/>
      <c r="P436" s="465"/>
      <c r="Q436" s="465"/>
    </row>
    <row r="437" spans="9:17" s="536" customFormat="1" ht="12.75">
      <c r="I437" s="465"/>
      <c r="J437" s="465"/>
      <c r="K437" s="465"/>
      <c r="L437" s="465"/>
      <c r="M437" s="465"/>
      <c r="N437" s="465"/>
      <c r="O437" s="465"/>
      <c r="P437" s="465"/>
      <c r="Q437" s="465"/>
    </row>
    <row r="438" spans="9:17" s="536" customFormat="1" ht="12.75">
      <c r="I438" s="465"/>
      <c r="J438" s="465"/>
      <c r="K438" s="465"/>
      <c r="L438" s="465"/>
      <c r="M438" s="465"/>
      <c r="N438" s="465"/>
      <c r="O438" s="465"/>
      <c r="P438" s="465"/>
      <c r="Q438" s="465"/>
    </row>
    <row r="439" spans="9:17" s="536" customFormat="1" ht="12.75">
      <c r="I439" s="465"/>
      <c r="J439" s="465"/>
      <c r="K439" s="465"/>
      <c r="L439" s="465"/>
      <c r="M439" s="465"/>
      <c r="N439" s="465"/>
      <c r="O439" s="465"/>
      <c r="P439" s="465"/>
      <c r="Q439" s="465"/>
    </row>
    <row r="440" spans="9:17" s="536" customFormat="1" ht="12.75">
      <c r="I440" s="465"/>
      <c r="J440" s="465"/>
      <c r="K440" s="465"/>
      <c r="L440" s="465"/>
      <c r="M440" s="465"/>
      <c r="N440" s="465"/>
      <c r="O440" s="465"/>
      <c r="P440" s="465"/>
      <c r="Q440" s="465"/>
    </row>
    <row r="441" spans="9:17" s="536" customFormat="1" ht="12.75">
      <c r="I441" s="465"/>
      <c r="J441" s="465"/>
      <c r="K441" s="465"/>
      <c r="L441" s="465"/>
      <c r="M441" s="465"/>
      <c r="N441" s="465"/>
      <c r="O441" s="465"/>
      <c r="P441" s="465"/>
      <c r="Q441" s="465"/>
    </row>
    <row r="442" spans="9:17" s="536" customFormat="1" ht="12.75">
      <c r="I442" s="465"/>
      <c r="J442" s="465"/>
      <c r="K442" s="465"/>
      <c r="L442" s="465"/>
      <c r="M442" s="465"/>
      <c r="N442" s="465"/>
      <c r="O442" s="465"/>
      <c r="P442" s="465"/>
      <c r="Q442" s="465"/>
    </row>
    <row r="443" spans="9:17" s="536" customFormat="1" ht="12.75">
      <c r="I443" s="465"/>
      <c r="J443" s="465"/>
      <c r="K443" s="465"/>
      <c r="L443" s="465"/>
      <c r="M443" s="465"/>
      <c r="N443" s="465"/>
      <c r="O443" s="465"/>
      <c r="P443" s="465"/>
      <c r="Q443" s="465"/>
    </row>
    <row r="444" spans="9:17" s="536" customFormat="1" ht="12.75">
      <c r="I444" s="465"/>
      <c r="J444" s="465"/>
      <c r="K444" s="465"/>
      <c r="L444" s="465"/>
      <c r="M444" s="465"/>
      <c r="N444" s="465"/>
      <c r="O444" s="465"/>
      <c r="P444" s="465"/>
      <c r="Q444" s="465"/>
    </row>
    <row r="445" spans="9:17" s="536" customFormat="1" ht="12.75">
      <c r="I445" s="465"/>
      <c r="J445" s="465"/>
      <c r="K445" s="465"/>
      <c r="L445" s="465"/>
      <c r="M445" s="465"/>
      <c r="N445" s="465"/>
      <c r="O445" s="465"/>
      <c r="P445" s="465"/>
      <c r="Q445" s="465"/>
    </row>
    <row r="446" spans="9:17" s="536" customFormat="1" ht="12.75">
      <c r="I446" s="465"/>
      <c r="J446" s="465"/>
      <c r="K446" s="465"/>
      <c r="L446" s="465"/>
      <c r="M446" s="465"/>
      <c r="N446" s="465"/>
      <c r="O446" s="465"/>
      <c r="P446" s="465"/>
      <c r="Q446" s="465"/>
    </row>
    <row r="447" spans="9:17" s="536" customFormat="1" ht="12.75">
      <c r="I447" s="465"/>
      <c r="J447" s="465"/>
      <c r="K447" s="465"/>
      <c r="L447" s="465"/>
      <c r="M447" s="465"/>
      <c r="N447" s="465"/>
      <c r="O447" s="465"/>
      <c r="P447" s="465"/>
      <c r="Q447" s="465"/>
    </row>
    <row r="448" spans="9:17" s="536" customFormat="1" ht="12.75">
      <c r="I448" s="465"/>
      <c r="J448" s="465"/>
      <c r="K448" s="465"/>
      <c r="L448" s="465"/>
      <c r="M448" s="465"/>
      <c r="N448" s="465"/>
      <c r="O448" s="465"/>
      <c r="P448" s="465"/>
      <c r="Q448" s="465"/>
    </row>
    <row r="449" spans="9:17" s="536" customFormat="1" ht="12.75">
      <c r="I449" s="465"/>
      <c r="J449" s="465"/>
      <c r="K449" s="465"/>
      <c r="L449" s="465"/>
      <c r="M449" s="465"/>
      <c r="N449" s="465"/>
      <c r="O449" s="465"/>
      <c r="P449" s="465"/>
      <c r="Q449" s="465"/>
    </row>
    <row r="450" spans="9:17" s="536" customFormat="1" ht="12.75">
      <c r="I450" s="465"/>
      <c r="J450" s="465"/>
      <c r="K450" s="465"/>
      <c r="L450" s="465"/>
      <c r="M450" s="465"/>
      <c r="N450" s="465"/>
      <c r="O450" s="465"/>
      <c r="P450" s="465"/>
      <c r="Q450" s="465"/>
    </row>
    <row r="451" spans="9:17" s="536" customFormat="1" ht="12.75">
      <c r="I451" s="465"/>
      <c r="J451" s="465"/>
      <c r="K451" s="465"/>
      <c r="L451" s="465"/>
      <c r="M451" s="465"/>
      <c r="N451" s="465"/>
      <c r="O451" s="465"/>
      <c r="P451" s="465"/>
      <c r="Q451" s="465"/>
    </row>
    <row r="452" spans="9:17" s="536" customFormat="1" ht="12.75">
      <c r="I452" s="465"/>
      <c r="J452" s="465"/>
      <c r="K452" s="465"/>
      <c r="L452" s="465"/>
      <c r="M452" s="465"/>
      <c r="N452" s="465"/>
      <c r="O452" s="465"/>
      <c r="P452" s="465"/>
      <c r="Q452" s="465"/>
    </row>
    <row r="453" spans="9:17" s="536" customFormat="1" ht="12.75">
      <c r="I453" s="465"/>
      <c r="J453" s="465"/>
      <c r="K453" s="465"/>
      <c r="L453" s="465"/>
      <c r="M453" s="465"/>
      <c r="N453" s="465"/>
      <c r="O453" s="465"/>
      <c r="P453" s="465"/>
      <c r="Q453" s="465"/>
    </row>
    <row r="454" spans="9:17" s="536" customFormat="1" ht="12.75">
      <c r="I454" s="465"/>
      <c r="J454" s="465"/>
      <c r="K454" s="465"/>
      <c r="L454" s="465"/>
      <c r="M454" s="465"/>
      <c r="N454" s="465"/>
      <c r="O454" s="465"/>
      <c r="P454" s="465"/>
      <c r="Q454" s="465"/>
    </row>
    <row r="455" spans="9:17" s="536" customFormat="1" ht="12.75">
      <c r="I455" s="465"/>
      <c r="J455" s="465"/>
      <c r="K455" s="465"/>
      <c r="L455" s="465"/>
      <c r="M455" s="465"/>
      <c r="N455" s="465"/>
      <c r="O455" s="465"/>
      <c r="P455" s="465"/>
      <c r="Q455" s="465"/>
    </row>
    <row r="456" spans="9:17" s="536" customFormat="1" ht="12.75">
      <c r="I456" s="465"/>
      <c r="J456" s="465"/>
      <c r="K456" s="465"/>
      <c r="L456" s="465"/>
      <c r="M456" s="465"/>
      <c r="N456" s="465"/>
      <c r="O456" s="465"/>
      <c r="P456" s="465"/>
      <c r="Q456" s="465"/>
    </row>
    <row r="457" spans="9:17" s="536" customFormat="1" ht="12.75">
      <c r="I457" s="465"/>
      <c r="J457" s="465"/>
      <c r="K457" s="465"/>
      <c r="L457" s="465"/>
      <c r="M457" s="465"/>
      <c r="N457" s="465"/>
      <c r="O457" s="465"/>
      <c r="P457" s="465"/>
      <c r="Q457" s="465"/>
    </row>
    <row r="458" spans="9:17" s="536" customFormat="1" ht="12.75">
      <c r="I458" s="465"/>
      <c r="J458" s="465"/>
      <c r="K458" s="465"/>
      <c r="L458" s="465"/>
      <c r="M458" s="465"/>
      <c r="N458" s="465"/>
      <c r="O458" s="465"/>
      <c r="P458" s="465"/>
      <c r="Q458" s="465"/>
    </row>
    <row r="459" spans="9:17" s="536" customFormat="1" ht="12.75">
      <c r="I459" s="465"/>
      <c r="J459" s="465"/>
      <c r="K459" s="465"/>
      <c r="L459" s="465"/>
      <c r="M459" s="465"/>
      <c r="N459" s="465"/>
      <c r="O459" s="465"/>
      <c r="P459" s="465"/>
      <c r="Q459" s="465"/>
    </row>
    <row r="460" spans="9:17" s="536" customFormat="1" ht="12.75">
      <c r="I460" s="465"/>
      <c r="J460" s="465"/>
      <c r="K460" s="465"/>
      <c r="L460" s="465"/>
      <c r="M460" s="465"/>
      <c r="N460" s="465"/>
      <c r="O460" s="465"/>
      <c r="P460" s="465"/>
      <c r="Q460" s="465"/>
    </row>
    <row r="461" spans="9:17" s="536" customFormat="1" ht="12.75">
      <c r="I461" s="465"/>
      <c r="J461" s="465"/>
      <c r="K461" s="465"/>
      <c r="L461" s="465"/>
      <c r="M461" s="465"/>
      <c r="N461" s="465"/>
      <c r="O461" s="465"/>
      <c r="P461" s="465"/>
      <c r="Q461" s="465"/>
    </row>
    <row r="462" spans="9:17" s="536" customFormat="1" ht="12.75">
      <c r="I462" s="465"/>
      <c r="J462" s="465"/>
      <c r="K462" s="465"/>
      <c r="L462" s="465"/>
      <c r="M462" s="465"/>
      <c r="N462" s="465"/>
      <c r="O462" s="465"/>
      <c r="P462" s="465"/>
      <c r="Q462" s="465"/>
    </row>
    <row r="463" spans="9:17" s="536" customFormat="1" ht="12.75">
      <c r="I463" s="465"/>
      <c r="J463" s="465"/>
      <c r="K463" s="465"/>
      <c r="L463" s="465"/>
      <c r="M463" s="465"/>
      <c r="N463" s="465"/>
      <c r="O463" s="465"/>
      <c r="P463" s="465"/>
      <c r="Q463" s="465"/>
    </row>
    <row r="464" spans="9:17" s="536" customFormat="1" ht="12.75">
      <c r="I464" s="465"/>
      <c r="J464" s="465"/>
      <c r="K464" s="465"/>
      <c r="L464" s="465"/>
      <c r="M464" s="465"/>
      <c r="N464" s="465"/>
      <c r="O464" s="465"/>
      <c r="P464" s="465"/>
      <c r="Q464" s="465"/>
    </row>
    <row r="465" spans="9:17" s="536" customFormat="1" ht="12.75">
      <c r="I465" s="465"/>
      <c r="J465" s="465"/>
      <c r="K465" s="465"/>
      <c r="L465" s="465"/>
      <c r="M465" s="465"/>
      <c r="N465" s="465"/>
      <c r="O465" s="465"/>
      <c r="P465" s="465"/>
      <c r="Q465" s="465"/>
    </row>
    <row r="466" spans="9:17" s="536" customFormat="1" ht="12.75">
      <c r="I466" s="465"/>
      <c r="J466" s="465"/>
      <c r="K466" s="465"/>
      <c r="L466" s="465"/>
      <c r="M466" s="465"/>
      <c r="N466" s="465"/>
      <c r="O466" s="465"/>
      <c r="P466" s="465"/>
      <c r="Q466" s="465"/>
    </row>
    <row r="467" spans="9:17" s="536" customFormat="1" ht="12.75">
      <c r="I467" s="465"/>
      <c r="J467" s="465"/>
      <c r="K467" s="465"/>
      <c r="L467" s="465"/>
      <c r="M467" s="465"/>
      <c r="N467" s="465"/>
      <c r="O467" s="465"/>
      <c r="P467" s="465"/>
      <c r="Q467" s="465"/>
    </row>
    <row r="468" spans="9:17" s="536" customFormat="1" ht="12.75">
      <c r="I468" s="465"/>
      <c r="J468" s="465"/>
      <c r="K468" s="465"/>
      <c r="L468" s="465"/>
      <c r="M468" s="465"/>
      <c r="N468" s="465"/>
      <c r="O468" s="465"/>
      <c r="P468" s="465"/>
      <c r="Q468" s="465"/>
    </row>
    <row r="469" spans="9:17" s="536" customFormat="1" ht="12.75">
      <c r="I469" s="465"/>
      <c r="J469" s="465"/>
      <c r="K469" s="465"/>
      <c r="L469" s="465"/>
      <c r="M469" s="465"/>
      <c r="N469" s="465"/>
      <c r="O469" s="465"/>
      <c r="P469" s="465"/>
      <c r="Q469" s="465"/>
    </row>
    <row r="470" spans="9:17" s="536" customFormat="1" ht="12.75">
      <c r="I470" s="465"/>
      <c r="J470" s="465"/>
      <c r="K470" s="465"/>
      <c r="L470" s="465"/>
      <c r="M470" s="465"/>
      <c r="N470" s="465"/>
      <c r="O470" s="465"/>
      <c r="P470" s="465"/>
      <c r="Q470" s="465"/>
    </row>
    <row r="471" spans="9:17" s="536" customFormat="1" ht="12.75">
      <c r="I471" s="465"/>
      <c r="J471" s="465"/>
      <c r="K471" s="465"/>
      <c r="L471" s="465"/>
      <c r="M471" s="465"/>
      <c r="N471" s="465"/>
      <c r="O471" s="465"/>
      <c r="P471" s="465"/>
      <c r="Q471" s="465"/>
    </row>
    <row r="472" spans="9:17" s="536" customFormat="1" ht="12.75">
      <c r="I472" s="465"/>
      <c r="J472" s="465"/>
      <c r="K472" s="465"/>
      <c r="L472" s="465"/>
      <c r="M472" s="465"/>
      <c r="N472" s="465"/>
      <c r="O472" s="465"/>
      <c r="P472" s="465"/>
      <c r="Q472" s="465"/>
    </row>
    <row r="473" spans="9:17" s="536" customFormat="1" ht="12.75">
      <c r="I473" s="465"/>
      <c r="J473" s="465"/>
      <c r="K473" s="465"/>
      <c r="L473" s="465"/>
      <c r="M473" s="465"/>
      <c r="N473" s="465"/>
      <c r="O473" s="465"/>
      <c r="P473" s="465"/>
      <c r="Q473" s="465"/>
    </row>
    <row r="474" spans="9:17" s="536" customFormat="1" ht="12.75">
      <c r="I474" s="465"/>
      <c r="J474" s="465"/>
      <c r="K474" s="465"/>
      <c r="L474" s="465"/>
      <c r="M474" s="465"/>
      <c r="N474" s="465"/>
      <c r="O474" s="465"/>
      <c r="P474" s="465"/>
      <c r="Q474" s="465"/>
    </row>
    <row r="475" spans="9:17" s="536" customFormat="1" ht="12.75">
      <c r="I475" s="465"/>
      <c r="J475" s="465"/>
      <c r="K475" s="465"/>
      <c r="L475" s="465"/>
      <c r="M475" s="465"/>
      <c r="N475" s="465"/>
      <c r="O475" s="465"/>
      <c r="P475" s="465"/>
      <c r="Q475" s="465"/>
    </row>
    <row r="476" spans="9:17" s="536" customFormat="1" ht="12.75">
      <c r="I476" s="465"/>
      <c r="J476" s="465"/>
      <c r="K476" s="465"/>
      <c r="L476" s="465"/>
      <c r="M476" s="465"/>
      <c r="N476" s="465"/>
      <c r="O476" s="465"/>
      <c r="P476" s="465"/>
      <c r="Q476" s="465"/>
    </row>
    <row r="477" spans="9:17" s="536" customFormat="1" ht="12.75">
      <c r="I477" s="465"/>
      <c r="J477" s="465"/>
      <c r="K477" s="465"/>
      <c r="L477" s="465"/>
      <c r="M477" s="465"/>
      <c r="N477" s="465"/>
      <c r="O477" s="465"/>
      <c r="P477" s="465"/>
      <c r="Q477" s="465"/>
    </row>
    <row r="478" spans="9:17" s="536" customFormat="1" ht="12.75">
      <c r="I478" s="465"/>
      <c r="J478" s="465"/>
      <c r="K478" s="465"/>
      <c r="L478" s="465"/>
      <c r="M478" s="465"/>
      <c r="N478" s="465"/>
      <c r="O478" s="465"/>
      <c r="P478" s="465"/>
      <c r="Q478" s="465"/>
    </row>
    <row r="479" spans="9:17" s="536" customFormat="1" ht="12.75">
      <c r="I479" s="465"/>
      <c r="J479" s="465"/>
      <c r="K479" s="465"/>
      <c r="L479" s="465"/>
      <c r="M479" s="465"/>
      <c r="N479" s="465"/>
      <c r="O479" s="465"/>
      <c r="P479" s="465"/>
      <c r="Q479" s="465"/>
    </row>
    <row r="480" spans="9:17" s="536" customFormat="1" ht="12.75">
      <c r="I480" s="465"/>
      <c r="J480" s="465"/>
      <c r="K480" s="465"/>
      <c r="L480" s="465"/>
      <c r="M480" s="465"/>
      <c r="N480" s="465"/>
      <c r="O480" s="465"/>
      <c r="P480" s="465"/>
      <c r="Q480" s="465"/>
    </row>
    <row r="481" spans="9:17" s="536" customFormat="1" ht="12.75">
      <c r="I481" s="465"/>
      <c r="J481" s="465"/>
      <c r="K481" s="465"/>
      <c r="L481" s="465"/>
      <c r="M481" s="465"/>
      <c r="N481" s="465"/>
      <c r="O481" s="465"/>
      <c r="P481" s="465"/>
      <c r="Q481" s="465"/>
    </row>
    <row r="482" spans="9:17" s="536" customFormat="1" ht="12.75">
      <c r="I482" s="465"/>
      <c r="J482" s="465"/>
      <c r="K482" s="465"/>
      <c r="L482" s="465"/>
      <c r="M482" s="465"/>
      <c r="N482" s="465"/>
      <c r="O482" s="465"/>
      <c r="P482" s="465"/>
      <c r="Q482" s="465"/>
    </row>
    <row r="483" spans="9:17" s="536" customFormat="1" ht="12.75">
      <c r="I483" s="465"/>
      <c r="J483" s="465"/>
      <c r="K483" s="465"/>
      <c r="L483" s="465"/>
      <c r="M483" s="465"/>
      <c r="N483" s="465"/>
      <c r="O483" s="465"/>
      <c r="P483" s="465"/>
      <c r="Q483" s="465"/>
    </row>
    <row r="484" spans="9:17" s="536" customFormat="1" ht="12.75">
      <c r="I484" s="465"/>
      <c r="J484" s="465"/>
      <c r="K484" s="465"/>
      <c r="L484" s="465"/>
      <c r="M484" s="465"/>
      <c r="N484" s="465"/>
      <c r="O484" s="465"/>
      <c r="P484" s="465"/>
      <c r="Q484" s="465"/>
    </row>
    <row r="485" spans="9:17" s="536" customFormat="1" ht="12.75">
      <c r="I485" s="465"/>
      <c r="J485" s="465"/>
      <c r="K485" s="465"/>
      <c r="L485" s="465"/>
      <c r="M485" s="465"/>
      <c r="N485" s="465"/>
      <c r="O485" s="465"/>
      <c r="P485" s="465"/>
      <c r="Q485" s="465"/>
    </row>
    <row r="486" spans="9:17" s="536" customFormat="1" ht="12.75">
      <c r="I486" s="465"/>
      <c r="J486" s="465"/>
      <c r="K486" s="465"/>
      <c r="L486" s="465"/>
      <c r="M486" s="465"/>
      <c r="N486" s="465"/>
      <c r="O486" s="465"/>
      <c r="P486" s="465"/>
      <c r="Q486" s="465"/>
    </row>
    <row r="487" spans="9:17" s="536" customFormat="1" ht="12.75">
      <c r="I487" s="465"/>
      <c r="J487" s="465"/>
      <c r="K487" s="465"/>
      <c r="L487" s="465"/>
      <c r="M487" s="465"/>
      <c r="N487" s="465"/>
      <c r="O487" s="465"/>
      <c r="P487" s="465"/>
      <c r="Q487" s="465"/>
    </row>
    <row r="488" spans="9:17" s="536" customFormat="1" ht="12.75">
      <c r="I488" s="465"/>
      <c r="J488" s="465"/>
      <c r="K488" s="465"/>
      <c r="L488" s="465"/>
      <c r="M488" s="465"/>
      <c r="N488" s="465"/>
      <c r="O488" s="465"/>
      <c r="P488" s="465"/>
      <c r="Q488" s="465"/>
    </row>
    <row r="489" spans="9:17" s="536" customFormat="1" ht="12.75">
      <c r="I489" s="465"/>
      <c r="J489" s="465"/>
      <c r="K489" s="465"/>
      <c r="L489" s="465"/>
      <c r="M489" s="465"/>
      <c r="N489" s="465"/>
      <c r="O489" s="465"/>
      <c r="P489" s="465"/>
      <c r="Q489" s="465"/>
    </row>
    <row r="490" spans="9:17" s="536" customFormat="1" ht="12.75">
      <c r="I490" s="465"/>
      <c r="J490" s="465"/>
      <c r="K490" s="465"/>
      <c r="L490" s="465"/>
      <c r="M490" s="465"/>
      <c r="N490" s="465"/>
      <c r="O490" s="465"/>
      <c r="P490" s="465"/>
      <c r="Q490" s="465"/>
    </row>
    <row r="491" spans="9:17" s="536" customFormat="1" ht="12.75">
      <c r="I491" s="465"/>
      <c r="J491" s="465"/>
      <c r="K491" s="465"/>
      <c r="L491" s="465"/>
      <c r="M491" s="465"/>
      <c r="N491" s="465"/>
      <c r="O491" s="465"/>
      <c r="P491" s="465"/>
      <c r="Q491" s="465"/>
    </row>
    <row r="492" spans="9:17" s="536" customFormat="1" ht="12.75">
      <c r="I492" s="465"/>
      <c r="J492" s="465"/>
      <c r="K492" s="465"/>
      <c r="L492" s="465"/>
      <c r="M492" s="465"/>
      <c r="N492" s="465"/>
      <c r="O492" s="465"/>
      <c r="P492" s="465"/>
      <c r="Q492" s="465"/>
    </row>
    <row r="493" spans="9:17" s="536" customFormat="1" ht="12.75">
      <c r="I493" s="465"/>
      <c r="J493" s="465"/>
      <c r="K493" s="465"/>
      <c r="L493" s="465"/>
      <c r="M493" s="465"/>
      <c r="N493" s="465"/>
      <c r="O493" s="465"/>
      <c r="P493" s="465"/>
      <c r="Q493" s="465"/>
    </row>
    <row r="494" spans="9:17" s="536" customFormat="1" ht="12.75">
      <c r="I494" s="465"/>
      <c r="J494" s="465"/>
      <c r="K494" s="465"/>
      <c r="L494" s="465"/>
      <c r="M494" s="465"/>
      <c r="N494" s="465"/>
      <c r="O494" s="465"/>
      <c r="P494" s="465"/>
      <c r="Q494" s="465"/>
    </row>
    <row r="495" spans="9:17" s="536" customFormat="1" ht="12.75">
      <c r="I495" s="465"/>
      <c r="J495" s="465"/>
      <c r="K495" s="465"/>
      <c r="L495" s="465"/>
      <c r="M495" s="465"/>
      <c r="N495" s="465"/>
      <c r="O495" s="465"/>
      <c r="P495" s="465"/>
      <c r="Q495" s="465"/>
    </row>
    <row r="496" spans="9:17" s="536" customFormat="1" ht="12.75">
      <c r="I496" s="465"/>
      <c r="J496" s="465"/>
      <c r="K496" s="465"/>
      <c r="L496" s="465"/>
      <c r="M496" s="465"/>
      <c r="N496" s="465"/>
      <c r="O496" s="465"/>
      <c r="P496" s="465"/>
      <c r="Q496" s="465"/>
    </row>
    <row r="497" spans="9:17" s="536" customFormat="1" ht="12.75">
      <c r="I497" s="465"/>
      <c r="J497" s="465"/>
      <c r="K497" s="465"/>
      <c r="L497" s="465"/>
      <c r="M497" s="465"/>
      <c r="N497" s="465"/>
      <c r="O497" s="465"/>
      <c r="P497" s="465"/>
      <c r="Q497" s="465"/>
    </row>
    <row r="498" spans="9:17" s="536" customFormat="1" ht="12.75">
      <c r="I498" s="465"/>
      <c r="J498" s="465"/>
      <c r="K498" s="465"/>
      <c r="L498" s="465"/>
      <c r="M498" s="465"/>
      <c r="N498" s="465"/>
      <c r="O498" s="465"/>
      <c r="P498" s="465"/>
      <c r="Q498" s="465"/>
    </row>
    <row r="499" spans="9:17" s="536" customFormat="1" ht="12.75">
      <c r="I499" s="465"/>
      <c r="J499" s="465"/>
      <c r="K499" s="465"/>
      <c r="L499" s="465"/>
      <c r="M499" s="465"/>
      <c r="N499" s="465"/>
      <c r="O499" s="465"/>
      <c r="P499" s="465"/>
      <c r="Q499" s="465"/>
    </row>
    <row r="500" spans="9:17" s="536" customFormat="1" ht="12.75">
      <c r="I500" s="465"/>
      <c r="J500" s="465"/>
      <c r="K500" s="465"/>
      <c r="L500" s="465"/>
      <c r="M500" s="465"/>
      <c r="N500" s="465"/>
      <c r="O500" s="465"/>
      <c r="P500" s="465"/>
      <c r="Q500" s="465"/>
    </row>
    <row r="501" spans="9:17" s="536" customFormat="1" ht="12.75">
      <c r="I501" s="465"/>
      <c r="J501" s="465"/>
      <c r="K501" s="465"/>
      <c r="L501" s="465"/>
      <c r="M501" s="465"/>
      <c r="N501" s="465"/>
      <c r="O501" s="465"/>
      <c r="P501" s="465"/>
      <c r="Q501" s="465"/>
    </row>
    <row r="502" spans="9:17" s="536" customFormat="1" ht="12.75">
      <c r="I502" s="465"/>
      <c r="J502" s="465"/>
      <c r="K502" s="465"/>
      <c r="L502" s="465"/>
      <c r="M502" s="465"/>
      <c r="N502" s="465"/>
      <c r="O502" s="465"/>
      <c r="P502" s="465"/>
      <c r="Q502" s="465"/>
    </row>
    <row r="503" spans="9:17" s="536" customFormat="1" ht="12.75">
      <c r="I503" s="465"/>
      <c r="J503" s="465"/>
      <c r="K503" s="465"/>
      <c r="L503" s="465"/>
      <c r="M503" s="465"/>
      <c r="N503" s="465"/>
      <c r="O503" s="465"/>
      <c r="P503" s="465"/>
      <c r="Q503" s="465"/>
    </row>
    <row r="504" spans="9:17" s="536" customFormat="1" ht="12.75">
      <c r="I504" s="465"/>
      <c r="J504" s="465"/>
      <c r="K504" s="465"/>
      <c r="L504" s="465"/>
      <c r="M504" s="465"/>
      <c r="N504" s="465"/>
      <c r="O504" s="465"/>
      <c r="P504" s="465"/>
      <c r="Q504" s="465"/>
    </row>
    <row r="505" spans="9:17" s="536" customFormat="1" ht="12.75">
      <c r="I505" s="465"/>
      <c r="J505" s="465"/>
      <c r="K505" s="465"/>
      <c r="L505" s="465"/>
      <c r="M505" s="465"/>
      <c r="N505" s="465"/>
      <c r="O505" s="465"/>
      <c r="P505" s="465"/>
      <c r="Q505" s="465"/>
    </row>
    <row r="506" spans="9:17" s="536" customFormat="1" ht="12.75">
      <c r="I506" s="465"/>
      <c r="J506" s="465"/>
      <c r="K506" s="465"/>
      <c r="L506" s="465"/>
      <c r="M506" s="465"/>
      <c r="N506" s="465"/>
      <c r="O506" s="465"/>
      <c r="P506" s="465"/>
      <c r="Q506" s="465"/>
    </row>
    <row r="507" spans="9:17" s="536" customFormat="1" ht="12.75">
      <c r="I507" s="465"/>
      <c r="J507" s="465"/>
      <c r="K507" s="465"/>
      <c r="L507" s="465"/>
      <c r="M507" s="465"/>
      <c r="N507" s="465"/>
      <c r="O507" s="465"/>
      <c r="P507" s="465"/>
      <c r="Q507" s="465"/>
    </row>
    <row r="508" spans="9:17" s="536" customFormat="1" ht="12.75">
      <c r="I508" s="465"/>
      <c r="J508" s="465"/>
      <c r="K508" s="465"/>
      <c r="L508" s="465"/>
      <c r="M508" s="465"/>
      <c r="N508" s="465"/>
      <c r="O508" s="465"/>
      <c r="P508" s="465"/>
      <c r="Q508" s="465"/>
    </row>
    <row r="509" spans="9:17" s="536" customFormat="1" ht="12.75">
      <c r="I509" s="465"/>
      <c r="J509" s="465"/>
      <c r="K509" s="465"/>
      <c r="L509" s="465"/>
      <c r="M509" s="465"/>
      <c r="N509" s="465"/>
      <c r="O509" s="465"/>
      <c r="P509" s="465"/>
      <c r="Q509" s="465"/>
    </row>
    <row r="510" spans="9:17" s="536" customFormat="1" ht="12.75">
      <c r="I510" s="465"/>
      <c r="J510" s="465"/>
      <c r="K510" s="465"/>
      <c r="L510" s="465"/>
      <c r="M510" s="465"/>
      <c r="N510" s="465"/>
      <c r="O510" s="465"/>
      <c r="P510" s="465"/>
      <c r="Q510" s="465"/>
    </row>
    <row r="511" spans="9:17" s="536" customFormat="1" ht="12.75">
      <c r="I511" s="465"/>
      <c r="J511" s="465"/>
      <c r="K511" s="465"/>
      <c r="L511" s="465"/>
      <c r="M511" s="465"/>
      <c r="N511" s="465"/>
      <c r="O511" s="465"/>
      <c r="P511" s="465"/>
      <c r="Q511" s="465"/>
    </row>
    <row r="512" spans="9:17" s="536" customFormat="1" ht="12.75">
      <c r="I512" s="465"/>
      <c r="J512" s="465"/>
      <c r="K512" s="465"/>
      <c r="L512" s="465"/>
      <c r="M512" s="465"/>
      <c r="N512" s="465"/>
      <c r="O512" s="465"/>
      <c r="P512" s="465"/>
      <c r="Q512" s="465"/>
    </row>
    <row r="513" spans="9:17" s="536" customFormat="1" ht="12.75">
      <c r="I513" s="465"/>
      <c r="J513" s="465"/>
      <c r="K513" s="465"/>
      <c r="L513" s="465"/>
      <c r="M513" s="465"/>
      <c r="N513" s="465"/>
      <c r="O513" s="465"/>
      <c r="P513" s="465"/>
      <c r="Q513" s="465"/>
    </row>
    <row r="514" spans="9:17" s="536" customFormat="1" ht="12.75">
      <c r="I514" s="465"/>
      <c r="J514" s="465"/>
      <c r="K514" s="465"/>
      <c r="L514" s="465"/>
      <c r="M514" s="465"/>
      <c r="N514" s="465"/>
      <c r="O514" s="465"/>
      <c r="P514" s="465"/>
      <c r="Q514" s="465"/>
    </row>
    <row r="515" spans="9:17" s="536" customFormat="1" ht="12.75">
      <c r="I515" s="465"/>
      <c r="J515" s="465"/>
      <c r="K515" s="465"/>
      <c r="L515" s="465"/>
      <c r="M515" s="465"/>
      <c r="N515" s="465"/>
      <c r="O515" s="465"/>
      <c r="P515" s="465"/>
      <c r="Q515" s="465"/>
    </row>
    <row r="516" spans="9:17" s="536" customFormat="1" ht="12.75">
      <c r="I516" s="465"/>
      <c r="J516" s="465"/>
      <c r="K516" s="465"/>
      <c r="L516" s="465"/>
      <c r="M516" s="465"/>
      <c r="N516" s="465"/>
      <c r="O516" s="465"/>
      <c r="P516" s="465"/>
      <c r="Q516" s="465"/>
    </row>
    <row r="517" spans="9:17" s="536" customFormat="1" ht="12.75">
      <c r="I517" s="465"/>
      <c r="J517" s="465"/>
      <c r="K517" s="465"/>
      <c r="L517" s="465"/>
      <c r="M517" s="465"/>
      <c r="N517" s="465"/>
      <c r="O517" s="465"/>
      <c r="P517" s="465"/>
      <c r="Q517" s="465"/>
    </row>
    <row r="518" spans="9:17" s="536" customFormat="1" ht="12.75">
      <c r="I518" s="465"/>
      <c r="J518" s="465"/>
      <c r="K518" s="465"/>
      <c r="L518" s="465"/>
      <c r="M518" s="465"/>
      <c r="N518" s="465"/>
      <c r="O518" s="465"/>
      <c r="P518" s="465"/>
      <c r="Q518" s="465"/>
    </row>
    <row r="519" spans="9:17" s="536" customFormat="1" ht="12.75">
      <c r="I519" s="465"/>
      <c r="J519" s="465"/>
      <c r="K519" s="465"/>
      <c r="L519" s="465"/>
      <c r="M519" s="465"/>
      <c r="N519" s="465"/>
      <c r="O519" s="465"/>
      <c r="P519" s="465"/>
      <c r="Q519" s="465"/>
    </row>
    <row r="520" spans="9:17" s="536" customFormat="1" ht="12.75">
      <c r="I520" s="465"/>
      <c r="J520" s="465"/>
      <c r="K520" s="465"/>
      <c r="L520" s="465"/>
      <c r="M520" s="465"/>
      <c r="N520" s="465"/>
      <c r="O520" s="465"/>
      <c r="P520" s="465"/>
      <c r="Q520" s="465"/>
    </row>
    <row r="521" spans="9:17" s="536" customFormat="1" ht="12.75">
      <c r="I521" s="465"/>
      <c r="J521" s="465"/>
      <c r="K521" s="465"/>
      <c r="L521" s="465"/>
      <c r="M521" s="465"/>
      <c r="N521" s="465"/>
      <c r="O521" s="465"/>
      <c r="P521" s="465"/>
      <c r="Q521" s="465"/>
    </row>
    <row r="522" spans="9:17" s="536" customFormat="1" ht="12.75">
      <c r="I522" s="465"/>
      <c r="J522" s="465"/>
      <c r="K522" s="465"/>
      <c r="L522" s="465"/>
      <c r="M522" s="465"/>
      <c r="N522" s="465"/>
      <c r="O522" s="465"/>
      <c r="P522" s="465"/>
      <c r="Q522" s="465"/>
    </row>
    <row r="523" spans="9:17" s="536" customFormat="1" ht="12.75">
      <c r="I523" s="465"/>
      <c r="J523" s="465"/>
      <c r="K523" s="465"/>
      <c r="L523" s="465"/>
      <c r="M523" s="465"/>
      <c r="N523" s="465"/>
      <c r="O523" s="465"/>
      <c r="P523" s="465"/>
      <c r="Q523" s="465"/>
    </row>
    <row r="524" spans="9:17" s="536" customFormat="1" ht="12.75">
      <c r="I524" s="465"/>
      <c r="J524" s="465"/>
      <c r="K524" s="465"/>
      <c r="L524" s="465"/>
      <c r="M524" s="465"/>
      <c r="N524" s="465"/>
      <c r="O524" s="465"/>
      <c r="P524" s="465"/>
      <c r="Q524" s="465"/>
    </row>
    <row r="525" spans="9:17" s="536" customFormat="1" ht="12.75">
      <c r="I525" s="465"/>
      <c r="J525" s="465"/>
      <c r="K525" s="465"/>
      <c r="L525" s="465"/>
      <c r="M525" s="465"/>
      <c r="N525" s="465"/>
      <c r="O525" s="465"/>
      <c r="P525" s="465"/>
      <c r="Q525" s="465"/>
    </row>
    <row r="526" spans="9:17" s="536" customFormat="1" ht="12.75">
      <c r="I526" s="465"/>
      <c r="J526" s="465"/>
      <c r="K526" s="465"/>
      <c r="L526" s="465"/>
      <c r="M526" s="465"/>
      <c r="N526" s="465"/>
      <c r="O526" s="465"/>
      <c r="P526" s="465"/>
      <c r="Q526" s="465"/>
    </row>
    <row r="527" spans="9:17" s="536" customFormat="1" ht="12.75">
      <c r="I527" s="465"/>
      <c r="J527" s="465"/>
      <c r="K527" s="465"/>
      <c r="L527" s="465"/>
      <c r="M527" s="465"/>
      <c r="N527" s="465"/>
      <c r="O527" s="465"/>
      <c r="P527" s="465"/>
      <c r="Q527" s="465"/>
    </row>
    <row r="528" spans="9:17" s="536" customFormat="1" ht="12.75">
      <c r="I528" s="465"/>
      <c r="J528" s="465"/>
      <c r="K528" s="465"/>
      <c r="L528" s="465"/>
      <c r="M528" s="465"/>
      <c r="N528" s="465"/>
      <c r="O528" s="465"/>
      <c r="P528" s="465"/>
      <c r="Q528" s="465"/>
    </row>
    <row r="529" spans="9:17" s="536" customFormat="1" ht="12.75">
      <c r="I529" s="465"/>
      <c r="J529" s="465"/>
      <c r="K529" s="465"/>
      <c r="L529" s="465"/>
      <c r="M529" s="465"/>
      <c r="N529" s="465"/>
      <c r="O529" s="465"/>
      <c r="P529" s="465"/>
      <c r="Q529" s="465"/>
    </row>
    <row r="530" spans="9:17" s="536" customFormat="1" ht="12.75">
      <c r="I530" s="465"/>
      <c r="J530" s="465"/>
      <c r="K530" s="465"/>
      <c r="L530" s="465"/>
      <c r="M530" s="465"/>
      <c r="N530" s="465"/>
      <c r="O530" s="465"/>
      <c r="P530" s="465"/>
      <c r="Q530" s="465"/>
    </row>
    <row r="531" spans="9:17" s="536" customFormat="1" ht="12.75">
      <c r="I531" s="465"/>
      <c r="J531" s="465"/>
      <c r="K531" s="465"/>
      <c r="L531" s="465"/>
      <c r="M531" s="465"/>
      <c r="N531" s="465"/>
      <c r="O531" s="465"/>
      <c r="P531" s="465"/>
      <c r="Q531" s="465"/>
    </row>
    <row r="532" spans="9:17" s="536" customFormat="1" ht="12.75">
      <c r="I532" s="465"/>
      <c r="J532" s="465"/>
      <c r="K532" s="465"/>
      <c r="L532" s="465"/>
      <c r="M532" s="465"/>
      <c r="N532" s="465"/>
      <c r="O532" s="465"/>
      <c r="P532" s="465"/>
      <c r="Q532" s="465"/>
    </row>
    <row r="533" spans="9:17" s="536" customFormat="1" ht="12.75">
      <c r="I533" s="465"/>
      <c r="J533" s="465"/>
      <c r="K533" s="465"/>
      <c r="L533" s="465"/>
      <c r="M533" s="465"/>
      <c r="N533" s="465"/>
      <c r="O533" s="465"/>
      <c r="P533" s="465"/>
      <c r="Q533" s="465"/>
    </row>
    <row r="534" spans="9:17" s="536" customFormat="1" ht="12.75">
      <c r="I534" s="465"/>
      <c r="J534" s="465"/>
      <c r="K534" s="465"/>
      <c r="L534" s="465"/>
      <c r="M534" s="465"/>
      <c r="N534" s="465"/>
      <c r="O534" s="465"/>
      <c r="P534" s="465"/>
      <c r="Q534" s="465"/>
    </row>
    <row r="535" spans="9:17" s="536" customFormat="1" ht="12.75">
      <c r="I535" s="465"/>
      <c r="J535" s="465"/>
      <c r="K535" s="465"/>
      <c r="L535" s="465"/>
      <c r="M535" s="465"/>
      <c r="N535" s="465"/>
      <c r="O535" s="465"/>
      <c r="P535" s="465"/>
      <c r="Q535" s="465"/>
    </row>
    <row r="536" spans="9:17" s="536" customFormat="1" ht="12.75">
      <c r="I536" s="465"/>
      <c r="J536" s="465"/>
      <c r="K536" s="465"/>
      <c r="L536" s="465"/>
      <c r="M536" s="465"/>
      <c r="N536" s="465"/>
      <c r="O536" s="465"/>
      <c r="P536" s="465"/>
      <c r="Q536" s="465"/>
    </row>
    <row r="537" spans="9:17" s="536" customFormat="1" ht="12.75">
      <c r="I537" s="465"/>
      <c r="J537" s="465"/>
      <c r="K537" s="465"/>
      <c r="L537" s="465"/>
      <c r="M537" s="465"/>
      <c r="N537" s="465"/>
      <c r="O537" s="465"/>
      <c r="P537" s="465"/>
      <c r="Q537" s="465"/>
    </row>
    <row r="538" spans="9:17" s="536" customFormat="1" ht="12.75">
      <c r="I538" s="465"/>
      <c r="J538" s="465"/>
      <c r="K538" s="465"/>
      <c r="L538" s="465"/>
      <c r="M538" s="465"/>
      <c r="N538" s="465"/>
      <c r="O538" s="465"/>
      <c r="P538" s="465"/>
      <c r="Q538" s="465"/>
    </row>
    <row r="539" spans="9:17" s="536" customFormat="1" ht="12.75">
      <c r="I539" s="465"/>
      <c r="J539" s="465"/>
      <c r="K539" s="465"/>
      <c r="L539" s="465"/>
      <c r="M539" s="465"/>
      <c r="N539" s="465"/>
      <c r="O539" s="465"/>
      <c r="P539" s="465"/>
      <c r="Q539" s="465"/>
    </row>
    <row r="540" spans="9:17" s="536" customFormat="1" ht="12.75">
      <c r="I540" s="465"/>
      <c r="J540" s="465"/>
      <c r="K540" s="465"/>
      <c r="L540" s="465"/>
      <c r="M540" s="465"/>
      <c r="N540" s="465"/>
      <c r="O540" s="465"/>
      <c r="P540" s="465"/>
      <c r="Q540" s="465"/>
    </row>
    <row r="541" spans="9:17" s="536" customFormat="1" ht="12.75">
      <c r="I541" s="465"/>
      <c r="J541" s="465"/>
      <c r="K541" s="465"/>
      <c r="L541" s="465"/>
      <c r="M541" s="465"/>
      <c r="N541" s="465"/>
      <c r="O541" s="465"/>
      <c r="P541" s="465"/>
      <c r="Q541" s="465"/>
    </row>
    <row r="542" spans="9:17" s="536" customFormat="1" ht="12.75">
      <c r="I542" s="465"/>
      <c r="J542" s="465"/>
      <c r="K542" s="465"/>
      <c r="L542" s="465"/>
      <c r="M542" s="465"/>
      <c r="N542" s="465"/>
      <c r="O542" s="465"/>
      <c r="P542" s="465"/>
      <c r="Q542" s="465"/>
    </row>
    <row r="543" spans="9:17" s="536" customFormat="1" ht="12.75">
      <c r="I543" s="465"/>
      <c r="J543" s="465"/>
      <c r="K543" s="465"/>
      <c r="L543" s="465"/>
      <c r="M543" s="465"/>
      <c r="N543" s="465"/>
      <c r="O543" s="465"/>
      <c r="P543" s="465"/>
      <c r="Q543" s="465"/>
    </row>
    <row r="544" spans="9:17" s="536" customFormat="1" ht="12.75">
      <c r="I544" s="465"/>
      <c r="J544" s="465"/>
      <c r="K544" s="465"/>
      <c r="L544" s="465"/>
      <c r="M544" s="465"/>
      <c r="N544" s="465"/>
      <c r="O544" s="465"/>
      <c r="P544" s="465"/>
      <c r="Q544" s="465"/>
    </row>
    <row r="545" spans="9:17" s="536" customFormat="1" ht="12.75">
      <c r="I545" s="465"/>
      <c r="J545" s="465"/>
      <c r="K545" s="465"/>
      <c r="L545" s="465"/>
      <c r="M545" s="465"/>
      <c r="N545" s="465"/>
      <c r="O545" s="465"/>
      <c r="P545" s="465"/>
      <c r="Q545" s="465"/>
    </row>
    <row r="546" spans="9:17" s="536" customFormat="1" ht="12.75">
      <c r="I546" s="465"/>
      <c r="J546" s="465"/>
      <c r="K546" s="465"/>
      <c r="L546" s="465"/>
      <c r="M546" s="465"/>
      <c r="N546" s="465"/>
      <c r="O546" s="465"/>
      <c r="P546" s="465"/>
      <c r="Q546" s="465"/>
    </row>
    <row r="547" spans="9:17" s="536" customFormat="1" ht="12.75">
      <c r="I547" s="465"/>
      <c r="J547" s="465"/>
      <c r="K547" s="465"/>
      <c r="L547" s="465"/>
      <c r="M547" s="465"/>
      <c r="N547" s="465"/>
      <c r="O547" s="465"/>
      <c r="P547" s="465"/>
      <c r="Q547" s="465"/>
    </row>
    <row r="548" spans="2:17" s="536" customFormat="1" ht="12.75">
      <c r="B548" s="539"/>
      <c r="C548" s="539"/>
      <c r="D548" s="539"/>
      <c r="E548" s="539"/>
      <c r="I548" s="465"/>
      <c r="J548" s="465"/>
      <c r="K548" s="465"/>
      <c r="L548" s="465"/>
      <c r="M548" s="540"/>
      <c r="N548" s="465"/>
      <c r="O548" s="465"/>
      <c r="P548" s="465"/>
      <c r="Q548" s="465"/>
    </row>
    <row r="549" spans="2:17" s="536" customFormat="1" ht="12.75">
      <c r="B549" s="539"/>
      <c r="C549" s="539"/>
      <c r="D549" s="539"/>
      <c r="E549" s="539"/>
      <c r="I549" s="465"/>
      <c r="J549" s="465"/>
      <c r="K549" s="465"/>
      <c r="L549" s="465"/>
      <c r="M549" s="540"/>
      <c r="N549" s="465"/>
      <c r="O549" s="465"/>
      <c r="P549" s="465"/>
      <c r="Q549" s="465"/>
    </row>
    <row r="550" spans="6:12" ht="12.75">
      <c r="F550" s="536"/>
      <c r="G550" s="536"/>
      <c r="I550" s="465"/>
      <c r="J550" s="465"/>
      <c r="K550" s="465"/>
      <c r="L550" s="465"/>
    </row>
    <row r="551" spans="6:7" ht="12.75">
      <c r="F551" s="536"/>
      <c r="G551" s="536"/>
    </row>
    <row r="552" spans="6:7" ht="12.75">
      <c r="F552" s="536"/>
      <c r="G552" s="536"/>
    </row>
  </sheetData>
  <pageMargins left="0.196850393700787" right="0.196850393700787" top="0.78740157480315" bottom="0.393700787401575" header="0.31496062992126" footer="0.31496062992126"/>
  <pageSetup fitToHeight="2" orientation="portrait" paperSize="9" scale="69" r:id="rId1"/>
  <rowBreaks count="1" manualBreakCount="1">
    <brk id="86" min="1" max="1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200-000000000000}">
  <dimension ref="A1:BC312"/>
  <sheetViews>
    <sheetView zoomScale="70" zoomScaleNormal="70" workbookViewId="0" topLeftCell="A1">
      <selection pane="topLeft" activeCell="W302" sqref="W302"/>
    </sheetView>
  </sheetViews>
  <sheetFormatPr defaultRowHeight="12.75"/>
  <cols>
    <col min="1" max="1" width="18.2857142857143" customWidth="1"/>
    <col min="2" max="2" width="15.7142857142857" customWidth="1"/>
    <col min="5" max="5" width="15.4285714285714" customWidth="1"/>
    <col min="6" max="6" width="20.8571428571429" customWidth="1"/>
    <col min="9" max="9" width="16.8571428571429" customWidth="1"/>
    <col min="10" max="10" width="10.1428571428571" customWidth="1"/>
    <col min="11" max="12" width="12.4285714285714" bestFit="1" customWidth="1"/>
    <col min="13" max="13" width="16.1428571428571" customWidth="1"/>
    <col min="14" max="14" width="22.4285714285714" customWidth="1"/>
    <col min="15" max="15" width="20.5714285714286" bestFit="1" customWidth="1"/>
    <col min="18" max="18" width="21.2857142857143" customWidth="1"/>
    <col min="19" max="19" width="16.1428571428571" customWidth="1"/>
    <col min="20" max="20" width="19.5714285714286" customWidth="1"/>
    <col min="21" max="22" width="22.5714285714286" bestFit="1" customWidth="1"/>
    <col min="23" max="23" width="24.5714285714286" customWidth="1"/>
    <col min="24" max="24" width="20.1428571428571" bestFit="1" customWidth="1"/>
    <col min="25" max="25" width="17.7142857142857" bestFit="1" customWidth="1"/>
    <col min="26" max="27" width="19.1428571428571" bestFit="1" customWidth="1"/>
    <col min="28" max="28" width="11.1428571428571" customWidth="1"/>
    <col min="29" max="29" width="13" bestFit="1" customWidth="1"/>
    <col min="30" max="30" width="12" bestFit="1" customWidth="1"/>
    <col min="31" max="31" width="12.4285714285714" bestFit="1" customWidth="1"/>
    <col min="32" max="32" width="11.1428571428571" bestFit="1" customWidth="1"/>
    <col min="33" max="34" width="11.1428571428571" customWidth="1"/>
    <col min="35" max="35" width="13" bestFit="1" customWidth="1"/>
    <col min="36" max="36" width="12" bestFit="1" customWidth="1"/>
    <col min="37" max="37" width="12.4285714285714" bestFit="1" customWidth="1"/>
    <col min="41" max="41" width="11.1428571428571" bestFit="1" customWidth="1"/>
    <col min="42" max="42" width="13" bestFit="1" customWidth="1"/>
    <col min="43" max="43" width="11.1428571428571" customWidth="1"/>
    <col min="44" max="44" width="13" bestFit="1" customWidth="1"/>
    <col min="45" max="45" width="12" bestFit="1" customWidth="1"/>
    <col min="46" max="46" width="12.4285714285714" bestFit="1" customWidth="1"/>
    <col min="48" max="48" width="11.1428571428571" bestFit="1" customWidth="1"/>
    <col min="49" max="50" width="11.1428571428571" customWidth="1"/>
    <col min="51" max="51" width="13" bestFit="1" customWidth="1"/>
    <col min="52" max="52" width="12" bestFit="1" customWidth="1"/>
    <col min="53" max="53" width="12.4285714285714" bestFit="1" customWidth="1"/>
  </cols>
  <sheetData>
    <row r="1" spans="1:27" ht="14.25">
      <c r="A1" s="447" t="s">
        <v>442</v>
      </c>
      <c r="E1" t="s">
        <v>512</v>
      </c>
      <c r="I1" t="s">
        <v>559</v>
      </c>
      <c r="M1" t="s">
        <v>580</v>
      </c>
      <c r="Q1" t="s">
        <v>598</v>
      </c>
      <c r="R1" s="453" t="s">
        <v>3703</v>
      </c>
      <c r="S1" s="453" t="s">
        <v>597</v>
      </c>
      <c r="T1" s="453" t="s">
        <v>599</v>
      </c>
      <c r="U1" s="453" t="s">
        <v>3704</v>
      </c>
      <c r="V1" s="453" t="s">
        <v>3705</v>
      </c>
      <c r="W1" s="453" t="s">
        <v>600</v>
      </c>
      <c r="X1" s="453" t="s">
        <v>601</v>
      </c>
      <c r="Y1" s="390" t="s">
        <v>602</v>
      </c>
      <c r="Z1" s="390" t="s">
        <v>3702</v>
      </c>
      <c r="AA1" s="390" t="s">
        <v>3701</v>
      </c>
    </row>
    <row r="2" spans="1:27" ht="14.25">
      <c r="A2" s="390" t="s">
        <v>443</v>
      </c>
      <c r="B2" s="448" t="str">
        <f>IF('DAP1'!J19&lt;&gt;"","A",IF('DAP1'!L19&lt;&gt;"","N",""))</f>
        <v>N</v>
      </c>
      <c r="C2" s="397" t="s">
        <v>3515</v>
      </c>
      <c r="E2" s="390" t="s">
        <v>513</v>
      </c>
      <c r="F2" s="448" t="str">
        <f>IF(ZAKL_DATA!B26&lt;&gt;"",ZAKL_DATA!B26,"")</f>
        <v/>
      </c>
      <c r="G2" s="397" t="s">
        <v>3516</v>
      </c>
      <c r="I2" s="390" t="s">
        <v>560</v>
      </c>
      <c r="J2" s="451">
        <f>'6Př'!E20</f>
        <v>0</v>
      </c>
      <c r="K2" s="2"/>
      <c r="M2" s="390" t="s">
        <v>581</v>
      </c>
      <c r="N2" s="451">
        <f>'DAP2'!F37</f>
        <v>0</v>
      </c>
      <c r="O2" s="397" t="s">
        <v>3516</v>
      </c>
      <c r="R2" s="448" t="str">
        <f>IF('DAP3'!D20&lt;&gt;"",CONCATENATE(MID('DAP3'!D20,5,2),".",IF(VALUE(MID('DAP3'!D20,3,2))&lt;13,MID('DAP3'!D20,3,2),MID('DAP3'!D20,3,2)-50),".",IF(MID('DAP3'!D20,1,2)&lt;"50","20","19"),MID('DAP3'!D20,1,2)),"")</f>
        <v/>
      </c>
      <c r="S2" s="448" t="e">
        <f>IF('DAP3'!B20&lt;&gt;"XXX",MID('DAP3'!B20,(FIND(" ",'DAP3'!B20,1))+1,LEN('DAP3'!B20)),"")</f>
        <v>#VALUE!</v>
      </c>
      <c r="T2" s="449" t="str">
        <f>IF('DAP3'!F20&lt;&gt;"",'DAP3'!F20,"")</f>
        <v/>
      </c>
      <c r="U2" s="449" t="str">
        <f>IF('DAP3'!H20&lt;&gt;"",'DAP3'!H20,"")</f>
        <v/>
      </c>
      <c r="V2" t="str">
        <f>IF('DAP3'!J20&lt;&gt;"",'DAP3'!J20,"")</f>
        <v/>
      </c>
      <c r="W2" s="448" t="e">
        <f>IF('DAP3'!B20&lt;&gt;"XXX",LEFT('DAP3'!B20,(FIND(" ",'DAP3'!B20,1))-1),"")</f>
        <v>#VALUE!</v>
      </c>
      <c r="X2" s="391" t="str">
        <f>IF('DAP3'!D20&lt;&gt;"",'DAP3'!D20,"")</f>
        <v/>
      </c>
      <c r="Y2" s="455" t="str">
        <f>IF('DAP3'!G20&lt;&gt;"",'DAP3'!G20,"")</f>
        <v/>
      </c>
      <c r="Z2" s="455" t="str">
        <f>IF('DAP3'!I20&lt;&gt;"",'DAP3'!I20,"")</f>
        <v/>
      </c>
      <c r="AA2" s="455" t="str">
        <f>IF('DAP3'!K20&lt;&gt;"",'DAP3'!K20,"")</f>
        <v/>
      </c>
    </row>
    <row r="3" spans="1:27" ht="14.25">
      <c r="A3" s="390" t="s">
        <v>444</v>
      </c>
      <c r="B3" t="e">
        <f>VLOOKUP(ZAKL_DATA!B13,FU!B3:C17,2,FALSE)</f>
        <v>#N/A</v>
      </c>
      <c r="E3" s="390" t="s">
        <v>514</v>
      </c>
      <c r="I3" s="390" t="s">
        <v>561</v>
      </c>
      <c r="J3" s="451">
        <f>'6Př'!F20</f>
        <v>0</v>
      </c>
      <c r="K3" s="2"/>
      <c r="M3" s="390" t="s">
        <v>582</v>
      </c>
      <c r="N3" s="451">
        <f>'DAP2'!F29</f>
        <v>0</v>
      </c>
      <c r="O3" s="397" t="s">
        <v>3516</v>
      </c>
      <c r="R3" s="391" t="str">
        <f>IF('DAP3'!D21&lt;&gt;"",CONCATENATE(MID('DAP3'!D21,5,2),".",IF(VALUE(MID('DAP3'!D21,3,2))&lt;13,MID('DAP3'!D21,3,2),MID('DAP3'!D21,3,2)-50),".",IF(MID('DAP3'!D21,1,2)&lt;"50","20","19"),MID('DAP3'!D21,1,2)),"")</f>
        <v/>
      </c>
      <c r="S3" s="391" t="e">
        <f>IF('DAP3'!B21&lt;&gt;"XXX",MID('DAP3'!B21,(FIND(" ",'DAP3'!B21,1))+1,LEN('DAP3'!B21)),"")</f>
        <v>#VALUE!</v>
      </c>
      <c r="T3" t="str">
        <f>IF('DAP3'!F21&lt;&gt;"",'DAP3'!F21,"")</f>
        <v/>
      </c>
      <c r="U3" s="455" t="str">
        <f>IF('DAP3'!H21&lt;&gt;"",'DAP3'!H21,"")</f>
        <v/>
      </c>
      <c r="V3" t="str">
        <f>IF('DAP3'!J21&lt;&gt;"",'DAP3'!J21,"")</f>
        <v/>
      </c>
      <c r="W3" s="391" t="e">
        <f>IF('DAP3'!B21&lt;&gt;"XXX",LEFT('DAP3'!B21,(FIND(" ",'DAP3'!B21,1))-1),"")</f>
        <v>#VALUE!</v>
      </c>
      <c r="X3" s="391" t="str">
        <f>IF('DAP3'!D21&lt;&gt;"",'DAP3'!D21,"")</f>
        <v/>
      </c>
      <c r="Y3" s="455" t="str">
        <f>IF('DAP3'!G21&lt;&gt;"",'DAP3'!G21,"")</f>
        <v/>
      </c>
      <c r="Z3" s="455" t="str">
        <f>IF('DAP3'!I21&lt;&gt;"",'DAP3'!I21,"")</f>
        <v/>
      </c>
      <c r="AA3" s="455" t="str">
        <f>IF('DAP3'!K21&lt;&gt;"",'DAP3'!K21,"")</f>
        <v/>
      </c>
    </row>
    <row r="4" spans="1:27" ht="14.25">
      <c r="A4" s="390" t="s">
        <v>445</v>
      </c>
      <c r="B4" s="391" t="str">
        <f>IF('DAP1'!K15&lt;&gt;"",TEXT('DAP1'!K15,"DD.MM.RRRR"),"")</f>
        <v/>
      </c>
      <c r="C4" s="457"/>
      <c r="E4" s="390" t="s">
        <v>515</v>
      </c>
      <c r="F4" s="448" t="str">
        <f>IF(ISNUMBER(FIND("/",ZAKL_DATA!B17)),MID(ZAKL_DATA!B17,(FIND("/",ZAKL_DATA!B17,1))+1,LEN(ZAKL_DATA!B17)),"")</f>
        <v/>
      </c>
      <c r="G4" s="397" t="s">
        <v>3516</v>
      </c>
      <c r="I4" s="390" t="s">
        <v>562</v>
      </c>
      <c r="J4" s="451">
        <f>'DAP2'!E6</f>
        <v>0</v>
      </c>
      <c r="K4" s="397" t="s">
        <v>3516</v>
      </c>
      <c r="M4" s="390" t="s">
        <v>583</v>
      </c>
      <c r="N4" s="451">
        <f>'DAP2'!F34</f>
        <v>0</v>
      </c>
      <c r="O4" s="397" t="s">
        <v>3516</v>
      </c>
      <c r="R4" s="391" t="str">
        <f>IF('DAP3'!D22&lt;&gt;"",CONCATENATE(MID('DAP3'!D22,5,2),".",IF(VALUE(MID('DAP3'!D22,3,2))&lt;13,MID('DAP3'!D22,3,2),MID('DAP3'!D22,3,2)-50),".",IF(MID('DAP3'!D22,1,2)&lt;"50","20","19"),MID('DAP3'!D22,1,2)),"")</f>
        <v/>
      </c>
      <c r="S4" s="391" t="e">
        <f>IF('DAP3'!B22&lt;&gt;"XXX",MID('DAP3'!B22,(FIND(" ",'DAP3'!B22,1))+1,LEN('DAP3'!B22)),"")</f>
        <v>#VALUE!</v>
      </c>
      <c r="T4" t="str">
        <f>IF('DAP3'!F22&lt;&gt;"",'DAP3'!F22,"")</f>
        <v/>
      </c>
      <c r="U4" s="455" t="str">
        <f>IF('DAP3'!H22&lt;&gt;"",'DAP3'!H22,"")</f>
        <v/>
      </c>
      <c r="V4" t="str">
        <f>IF('DAP3'!J22&lt;&gt;"",'DAP3'!J22,"")</f>
        <v/>
      </c>
      <c r="W4" s="391" t="e">
        <f>IF('DAP3'!B22&lt;&gt;"XXX",LEFT('DAP3'!B22,(FIND(" ",'DAP3'!B22,1))-1),"")</f>
        <v>#VALUE!</v>
      </c>
      <c r="X4" s="391" t="str">
        <f>IF('DAP3'!D22&lt;&gt;"",'DAP3'!D22,"")</f>
        <v/>
      </c>
      <c r="Y4" s="455" t="str">
        <f>IF('DAP3'!G22&lt;&gt;"",'DAP3'!G22,"")</f>
        <v/>
      </c>
      <c r="Z4" s="455" t="str">
        <f>IF('DAP3'!I22&lt;&gt;"",'DAP3'!I22,"")</f>
        <v/>
      </c>
      <c r="AA4" s="455" t="str">
        <f>IF('DAP3'!K22&lt;&gt;"",'DAP3'!K22,"")</f>
        <v/>
      </c>
    </row>
    <row r="5" spans="1:27" ht="14.25">
      <c r="A5" s="390" t="s">
        <v>446</v>
      </c>
      <c r="B5" s="448" t="str">
        <f ca="1">TEXT('DAP4'!A40,"DD.MM.RRRR")</f>
        <v>11.05.2018</v>
      </c>
      <c r="C5" s="397" t="s">
        <v>3516</v>
      </c>
      <c r="E5" s="390" t="s">
        <v>516</v>
      </c>
      <c r="F5" s="448" t="str">
        <f>IF('DAP1'!J29&lt;&gt;"",'DAP1'!J29,"")</f>
        <v/>
      </c>
      <c r="G5" s="458" t="s">
        <v>3516</v>
      </c>
      <c r="I5" s="390" t="s">
        <v>563</v>
      </c>
      <c r="J5" s="451">
        <f>'DAP2'!E5</f>
        <v>0</v>
      </c>
      <c r="K5" s="397" t="s">
        <v>3516</v>
      </c>
      <c r="M5" s="390" t="s">
        <v>584</v>
      </c>
      <c r="N5" s="451">
        <f>'DAP2'!F26</f>
        <v>0</v>
      </c>
      <c r="O5" s="397" t="s">
        <v>3516</v>
      </c>
      <c r="R5" s="391" t="str">
        <f>IF('DAP3'!D23&lt;&gt;"",CONCATENATE(MID('DAP3'!D23,5,2),".",IF(VALUE(MID('DAP3'!D23,3,2))&lt;13,MID('DAP3'!D23,3,2),MID('DAP3'!D23,3,2)-50),".",IF(MID('DAP3'!D23,1,2)&lt;"50","20","19"),MID('DAP3'!D23,1,2)),"")</f>
        <v/>
      </c>
      <c r="S5" s="391" t="e">
        <f>IF('DAP3'!B23&lt;&gt;"XXX",MID('DAP3'!B23,(FIND(" ",'DAP3'!B23,1))+1,LEN('DAP3'!B23)),"")</f>
        <v>#VALUE!</v>
      </c>
      <c r="T5" t="str">
        <f>IF('DAP3'!F23&lt;&gt;"",'DAP3'!F23,"")</f>
        <v/>
      </c>
      <c r="U5" s="455" t="str">
        <f>IF('DAP3'!H23&lt;&gt;"",'DAP3'!H23,"")</f>
        <v/>
      </c>
      <c r="V5" t="str">
        <f>IF('DAP3'!J23&lt;&gt;"",'DAP3'!J23,"")</f>
        <v/>
      </c>
      <c r="W5" s="391" t="e">
        <f>IF('DAP3'!B23&lt;&gt;"XXX",LEFT('DAP3'!B23,(FIND(" ",'DAP3'!B23,1))-1),"")</f>
        <v>#VALUE!</v>
      </c>
      <c r="X5" s="391" t="str">
        <f>IF('DAP3'!D23&lt;&gt;"",'DAP3'!D23,"")</f>
        <v/>
      </c>
      <c r="Y5" s="455" t="str">
        <f>IF('DAP3'!G23&lt;&gt;"",'DAP3'!G23,"")</f>
        <v/>
      </c>
      <c r="Z5" s="455" t="str">
        <f>IF('DAP3'!I23&lt;&gt;"",'DAP3'!I23,"")</f>
        <v/>
      </c>
      <c r="AA5" s="455" t="str">
        <f>IF('DAP3'!K23&lt;&gt;"",'DAP3'!K23,"")</f>
        <v/>
      </c>
    </row>
    <row r="6" spans="1:15" ht="14.25">
      <c r="A6" s="390" t="s">
        <v>447</v>
      </c>
      <c r="B6" s="448" t="str">
        <f>IF('DAP1'!K13&gt;0,TEXT('DAP1'!K13,"DD.MM.RRRR"),"")</f>
        <v/>
      </c>
      <c r="C6" s="397" t="s">
        <v>3516</v>
      </c>
      <c r="E6" s="390" t="s">
        <v>517</v>
      </c>
      <c r="F6" t="str">
        <f>IF(IF(ISNUMBER(FIND("/",ZAKL_DATA!B17)),LEFT(ZAKL_DATA!B17,(FIND("/",ZAKL_DATA!B17,1))-1),ZAKL_DATA!B17)&lt;&gt;0,IF(ISNUMBER(FIND("/",ZAKL_DATA!B17)),LEFT(ZAKL_DATA!B17,(FIND("/",ZAKL_DATA!B17,1))-1),ZAKL_DATA!B17),"")</f>
        <v/>
      </c>
      <c r="G6" s="397" t="s">
        <v>3516</v>
      </c>
      <c r="I6" s="390" t="s">
        <v>564</v>
      </c>
      <c r="K6" s="397" t="s">
        <v>3520</v>
      </c>
      <c r="M6" s="390" t="s">
        <v>585</v>
      </c>
      <c r="N6" s="451">
        <f>'DAP2'!F27</f>
        <v>0</v>
      </c>
      <c r="O6" s="397" t="s">
        <v>3516</v>
      </c>
    </row>
    <row r="7" spans="1:22" ht="14.25">
      <c r="A7" s="390" t="s">
        <v>448</v>
      </c>
      <c r="B7" s="451">
        <f>'DAP2'!F41</f>
        <v>0</v>
      </c>
      <c r="C7" s="397" t="s">
        <v>3516</v>
      </c>
      <c r="E7" s="390" t="s">
        <v>518</v>
      </c>
      <c r="F7" t="e">
        <f>VLOOKUP(ZAKL_DATA!B14,FU!E3:F204,2,FALSE)</f>
        <v>#N/A</v>
      </c>
      <c r="G7" s="397" t="s">
        <v>3516</v>
      </c>
      <c r="I7" s="390" t="s">
        <v>565</v>
      </c>
      <c r="J7" s="451">
        <f>'DAP2'!E4</f>
        <v>0</v>
      </c>
      <c r="K7" s="397" t="s">
        <v>3516</v>
      </c>
      <c r="M7" s="390" t="s">
        <v>586</v>
      </c>
      <c r="N7" s="451">
        <f>'DAP2'!F28</f>
        <v>0</v>
      </c>
      <c r="O7" s="397" t="s">
        <v>3516</v>
      </c>
      <c r="R7" s="568"/>
      <c r="S7" s="397" t="s">
        <v>3516</v>
      </c>
      <c r="T7" s="397" t="s">
        <v>3516</v>
      </c>
      <c r="U7" s="397" t="s">
        <v>3516</v>
      </c>
      <c r="V7" s="397" t="s">
        <v>3516</v>
      </c>
    </row>
    <row r="8" spans="1:15" ht="14.25">
      <c r="A8" s="390" t="s">
        <v>449</v>
      </c>
      <c r="B8" s="451">
        <f>'DAP2'!F44</f>
        <v>0</v>
      </c>
      <c r="C8" s="397" t="s">
        <v>3516</v>
      </c>
      <c r="E8" s="390" t="s">
        <v>519</v>
      </c>
      <c r="F8" s="448" t="str">
        <f>IF(ZAKL_DATA!B25&lt;&gt;"",ZAKL_DATA!B25,"")</f>
        <v/>
      </c>
      <c r="G8" t="s">
        <v>3516</v>
      </c>
      <c r="I8" s="390" t="s">
        <v>566</v>
      </c>
      <c r="J8" s="451">
        <f>'DAP2'!E19</f>
        <v>0</v>
      </c>
      <c r="K8" s="397" t="s">
        <v>3516</v>
      </c>
      <c r="M8" s="390" t="s">
        <v>587</v>
      </c>
      <c r="N8" s="451">
        <f>'DAP2'!F24</f>
        <v>0</v>
      </c>
      <c r="O8" s="397" t="s">
        <v>3516</v>
      </c>
    </row>
    <row r="9" spans="1:15" ht="14.25">
      <c r="A9" s="390" t="s">
        <v>450</v>
      </c>
      <c r="B9" s="451">
        <f>'DAP3'!E15</f>
        <v>0</v>
      </c>
      <c r="C9" s="397" t="s">
        <v>3516</v>
      </c>
      <c r="E9" s="390" t="s">
        <v>520</v>
      </c>
      <c r="F9" s="391" t="str">
        <f>MID(ZAKL_DATA!D2,3,10)</f>
        <v/>
      </c>
      <c r="G9" t="s">
        <v>3516</v>
      </c>
      <c r="I9" s="390" t="s">
        <v>567</v>
      </c>
      <c r="J9" s="451">
        <f>'DAP2'!E8</f>
        <v>0</v>
      </c>
      <c r="K9" s="397" t="s">
        <v>3516</v>
      </c>
      <c r="M9" s="390" t="s">
        <v>588</v>
      </c>
      <c r="N9" s="451">
        <f>'DAP2'!F25</f>
        <v>0</v>
      </c>
      <c r="O9" s="397" t="s">
        <v>3516</v>
      </c>
    </row>
    <row r="10" spans="1:15" ht="14.25">
      <c r="A10" s="390" t="s">
        <v>451</v>
      </c>
      <c r="B10" s="451">
        <f>'DAP3'!D28</f>
        <v>0</v>
      </c>
      <c r="C10" s="397" t="s">
        <v>3516</v>
      </c>
      <c r="E10" s="390" t="s">
        <v>521</v>
      </c>
      <c r="F10" s="448" t="str">
        <f>IF(ZAKL_DATA!B27&lt;&gt;"",ZAKL_DATA!B27,"")</f>
        <v/>
      </c>
      <c r="G10" t="s">
        <v>3516</v>
      </c>
      <c r="I10" s="390" t="s">
        <v>568</v>
      </c>
      <c r="J10" s="451">
        <f>'DAP2'!E16</f>
        <v>0</v>
      </c>
      <c r="K10" s="397" t="s">
        <v>3516</v>
      </c>
      <c r="M10" s="390" t="s">
        <v>589</v>
      </c>
      <c r="N10" s="451">
        <f>'DAP2'!F30</f>
        <v>0</v>
      </c>
      <c r="O10" s="397" t="s">
        <v>3516</v>
      </c>
    </row>
    <row r="11" spans="1:24" ht="14.25">
      <c r="A11" s="390" t="s">
        <v>452</v>
      </c>
      <c r="B11" s="452">
        <f>'DAP2'!F39</f>
        <v>0</v>
      </c>
      <c r="C11" s="397" t="s">
        <v>3516</v>
      </c>
      <c r="E11" s="390" t="s">
        <v>522</v>
      </c>
      <c r="F11" s="448" t="str">
        <f>IF(ZAKL_DATA!B4&lt;&gt;"",ZAKL_DATA!B4,"")</f>
        <v/>
      </c>
      <c r="G11" t="s">
        <v>3516</v>
      </c>
      <c r="I11" s="390" t="s">
        <v>569</v>
      </c>
      <c r="J11" s="451">
        <f>'DAP2'!E17</f>
        <v>0</v>
      </c>
      <c r="K11" s="397" t="s">
        <v>3516</v>
      </c>
      <c r="M11" s="390" t="s">
        <v>590</v>
      </c>
      <c r="N11" s="451">
        <f>'DAP2'!F32</f>
        <v>0</v>
      </c>
      <c r="O11" s="397" t="s">
        <v>3516</v>
      </c>
      <c r="X11" s="397"/>
    </row>
    <row r="12" spans="1:15" ht="14.25">
      <c r="A12" s="390" t="s">
        <v>453</v>
      </c>
      <c r="B12" s="448" t="str">
        <f>IF(AND('DAP1'!A13&lt;&gt;"",'DAP1'!C13&lt;&gt;"",'DAP1'!E13=""),"O",IF(AND('DAP1'!A13&lt;&gt;"",'DAP1'!C13="",'DAP1'!E13=""),"B",IF(AND('DAP1'!A13="",'DAP1'!C13&lt;&gt;"",'DAP1'!E13&lt;&gt;""),"E",IF(AND('DAP1'!A13="",'DAP1'!C13="",'DAP1'!E13&lt;&gt;""),"D",""))))</f>
        <v>B</v>
      </c>
      <c r="C12" s="397" t="s">
        <v>3516</v>
      </c>
      <c r="E12" s="390" t="s">
        <v>523</v>
      </c>
      <c r="F12" s="391" t="str">
        <f>IF(AND(ZAKL_DATA!B20&lt;&gt;"",ZAKL_DATA!B20&lt;&gt;0),IF(ZAKL_DATA!B20&lt;&gt;"ČESKÁ REPUBLIKA",VLOOKUP(ZAKL_DATA!B20,FU!J3:K253,2,FALSE),"CZ"),"CZ")</f>
        <v>CZ</v>
      </c>
      <c r="G12" t="s">
        <v>3516</v>
      </c>
      <c r="I12" s="390" t="s">
        <v>570</v>
      </c>
      <c r="J12" s="451">
        <f>'DAP2'!E11</f>
        <v>0</v>
      </c>
      <c r="K12" s="397" t="s">
        <v>3516</v>
      </c>
      <c r="M12" s="390" t="s">
        <v>591</v>
      </c>
      <c r="N12" s="451">
        <f>'DAP2'!F31</f>
        <v>0</v>
      </c>
      <c r="O12" s="397" t="s">
        <v>3516</v>
      </c>
    </row>
    <row r="13" spans="1:15" ht="14.25">
      <c r="A13" s="390" t="s">
        <v>454</v>
      </c>
      <c r="B13" s="554" t="s">
        <v>3517</v>
      </c>
      <c r="C13" s="397" t="s">
        <v>3518</v>
      </c>
      <c r="E13" s="390" t="s">
        <v>524</v>
      </c>
      <c r="G13" s="2"/>
      <c r="I13" s="390" t="s">
        <v>571</v>
      </c>
      <c r="J13" s="451">
        <f>'DAP2'!E21</f>
        <v>0</v>
      </c>
      <c r="K13" s="397" t="s">
        <v>3516</v>
      </c>
      <c r="M13" s="390" t="s">
        <v>592</v>
      </c>
      <c r="N13" s="451">
        <f>'DAP2'!F35</f>
        <v>0</v>
      </c>
      <c r="O13" s="397" t="s">
        <v>3516</v>
      </c>
    </row>
    <row r="14" spans="1:25" ht="14.25">
      <c r="A14" s="390" t="s">
        <v>455</v>
      </c>
      <c r="B14" s="448" t="str">
        <f>IF(OR('DAP1'!A15="i",'DAP1'!A15="I"),"I",IF(OR('DAP1'!A15="g",'DAP1'!A15="G"),"G",""))</f>
        <v/>
      </c>
      <c r="C14" s="397" t="s">
        <v>3516</v>
      </c>
      <c r="E14" s="390" t="s">
        <v>525</v>
      </c>
      <c r="F14" s="448" t="str">
        <f>IF(ISNUMBER(FIND("/",'DAP1'!J35)),MID('DAP1'!J35,(FIND("/",'DAP1'!J35,1))+1,LEN('DAP1'!J35)),"")</f>
        <v/>
      </c>
      <c r="G14" s="2"/>
      <c r="I14" s="390" t="s">
        <v>572</v>
      </c>
      <c r="J14" s="451">
        <f>'DAP2'!E18</f>
        <v>0</v>
      </c>
      <c r="K14" s="397" t="s">
        <v>3516</v>
      </c>
      <c r="M14" s="390" t="s">
        <v>593</v>
      </c>
      <c r="N14" s="451">
        <f>'DAP2'!F36</f>
        <v>0</v>
      </c>
      <c r="O14" s="397" t="s">
        <v>3516</v>
      </c>
      <c r="Y14" s="567"/>
    </row>
    <row r="15" spans="1:15" ht="14.25">
      <c r="A15" s="390" t="s">
        <v>456</v>
      </c>
      <c r="B15" s="448" t="s">
        <v>3519</v>
      </c>
      <c r="C15" s="397" t="s">
        <v>3518</v>
      </c>
      <c r="E15" s="390" t="s">
        <v>526</v>
      </c>
      <c r="F15" t="str">
        <f>IF(IF(ISNUMBER(FIND("/",'DAP1'!J35)),LEFT('DAP1'!J35,(FIND("/",'DAP1'!J35,1))-1),'DAP1'!J35)&lt;&gt;0,IF(ISNUMBER(FIND("/",'DAP1'!J35)),LEFT('DAP1'!J35,(FIND("/",'DAP1'!J35,1))-1),'DAP1'!J35),"")</f>
        <v/>
      </c>
      <c r="G15" s="2"/>
      <c r="I15" s="390" t="s">
        <v>573</v>
      </c>
      <c r="J15" s="451">
        <f>'DAP2'!E13</f>
        <v>0</v>
      </c>
      <c r="K15" s="397" t="s">
        <v>3516</v>
      </c>
      <c r="M15" s="390" t="s">
        <v>594</v>
      </c>
      <c r="N15">
        <f>'DAP2'!E32</f>
        <v>0</v>
      </c>
      <c r="O15" s="397" t="s">
        <v>3516</v>
      </c>
    </row>
    <row r="16" spans="1:15" ht="14.25">
      <c r="A16" s="390" t="s">
        <v>457</v>
      </c>
      <c r="B16">
        <f>'DAP1'!K41</f>
        <v>0</v>
      </c>
      <c r="C16" s="397" t="s">
        <v>3516</v>
      </c>
      <c r="E16" s="390" t="s">
        <v>527</v>
      </c>
      <c r="F16" s="448" t="str">
        <f>IF('DAP1'!B35&lt;&gt;"",'DAP1'!B35,"")</f>
        <v/>
      </c>
      <c r="G16" s="2"/>
      <c r="I16" s="390" t="s">
        <v>574</v>
      </c>
      <c r="J16" s="451">
        <f>'DAP2'!E15</f>
        <v>0</v>
      </c>
      <c r="K16" s="397" t="s">
        <v>3516</v>
      </c>
      <c r="M16" s="390" t="s">
        <v>595</v>
      </c>
      <c r="N16">
        <f>'DAP2'!E25</f>
        <v>0</v>
      </c>
      <c r="O16" s="397" t="s">
        <v>3516</v>
      </c>
    </row>
    <row r="17" spans="1:15" ht="14.25">
      <c r="A17" s="390" t="s">
        <v>458</v>
      </c>
      <c r="B17" s="451">
        <f>'DAP3'!D30</f>
        <v>0</v>
      </c>
      <c r="C17" s="397" t="s">
        <v>3516</v>
      </c>
      <c r="E17" s="390" t="s">
        <v>528</v>
      </c>
      <c r="F17" s="448" t="str">
        <f>IF('DAP1'!L35&lt;&gt;"",'DAP1'!L35,"")</f>
        <v/>
      </c>
      <c r="G17" s="2"/>
      <c r="I17" s="390" t="s">
        <v>575</v>
      </c>
      <c r="J17" s="451">
        <f>'DAP2'!E10</f>
        <v>0</v>
      </c>
      <c r="K17" s="397" t="s">
        <v>3516</v>
      </c>
      <c r="M17" s="390" t="s">
        <v>596</v>
      </c>
      <c r="N17" s="391">
        <f>'DAP2'!C32</f>
        <v>0</v>
      </c>
      <c r="O17" s="397" t="s">
        <v>3516</v>
      </c>
    </row>
    <row r="18" spans="1:11" ht="14.25">
      <c r="A18" s="390" t="s">
        <v>459</v>
      </c>
      <c r="B18" s="451">
        <f>'DAP3'!D26</f>
        <v>0</v>
      </c>
      <c r="C18" s="397" t="s">
        <v>3516</v>
      </c>
      <c r="E18" s="390" t="s">
        <v>529</v>
      </c>
      <c r="F18" s="448" t="str">
        <f>IF('DAP1'!G35&lt;&gt;"",'DAP1'!G35,"")</f>
        <v/>
      </c>
      <c r="G18" s="2"/>
      <c r="I18" s="390" t="s">
        <v>576</v>
      </c>
      <c r="J18" s="451">
        <f>'DAP2'!E7</f>
        <v>0</v>
      </c>
      <c r="K18" s="397" t="s">
        <v>3516</v>
      </c>
    </row>
    <row r="19" spans="1:11" ht="14.25">
      <c r="A19" s="390" t="s">
        <v>460</v>
      </c>
      <c r="B19" s="451">
        <f>'DAP3'!E12</f>
        <v>0</v>
      </c>
      <c r="C19" s="397" t="s">
        <v>3516</v>
      </c>
      <c r="E19" s="390" t="s">
        <v>530</v>
      </c>
      <c r="F19" s="391" t="str">
        <f>IF(ZAKL_DATA!B18&lt;&gt;"",ZAKL_DATA!B18,"")</f>
        <v/>
      </c>
      <c r="G19" t="s">
        <v>3516</v>
      </c>
      <c r="I19" s="390" t="s">
        <v>577</v>
      </c>
      <c r="J19" s="451">
        <f>'DAP2'!E12</f>
        <v>0</v>
      </c>
      <c r="K19" s="397" t="s">
        <v>3516</v>
      </c>
    </row>
    <row r="20" spans="1:21" ht="14.25">
      <c r="A20" s="390" t="s">
        <v>461</v>
      </c>
      <c r="B20" s="451">
        <f>'DAP2'!F42</f>
        <v>0</v>
      </c>
      <c r="C20" s="397" t="s">
        <v>3516</v>
      </c>
      <c r="E20" s="390" t="s">
        <v>531</v>
      </c>
      <c r="F20" s="391" t="str">
        <f>IF(AND(ZAKL_DATA!D4&lt;&gt;"",ZAKL_DATA!D14&lt;&gt;"",'DAP4'!C27&lt;&gt;"4a",'DAP4'!C27&lt;&gt;"4b"),ZAKL_DATA!D14,"")</f>
        <v/>
      </c>
      <c r="G20" s="2" t="s">
        <v>3528</v>
      </c>
      <c r="I20" s="390" t="s">
        <v>578</v>
      </c>
      <c r="J20" s="451">
        <f>'DAP2'!E14</f>
        <v>0</v>
      </c>
      <c r="K20" s="397" t="s">
        <v>3516</v>
      </c>
      <c r="Q20" t="s">
        <v>678</v>
      </c>
      <c r="R20" s="390" t="s">
        <v>656</v>
      </c>
      <c r="S20" s="393" t="s">
        <v>657</v>
      </c>
      <c r="T20" s="393" t="s">
        <v>654</v>
      </c>
      <c r="U20" s="393" t="s">
        <v>658</v>
      </c>
    </row>
    <row r="21" spans="1:23" ht="14.25">
      <c r="A21" s="390" t="s">
        <v>462</v>
      </c>
      <c r="B21" s="451">
        <f>'DAP3'!D49</f>
        <v>0</v>
      </c>
      <c r="C21" s="397" t="s">
        <v>3516</v>
      </c>
      <c r="E21" s="390" t="s">
        <v>532</v>
      </c>
      <c r="F21" s="391" t="str">
        <f>IF(AND(ZAKL_DATA!D4&lt;&gt;"",ZAKL_DATA!D17&lt;&gt;"",'DAP4'!C27&lt;&gt;"4a",'DAP4'!C27&lt;&gt;"4b"),ZAKL_DATA!D17,"")</f>
        <v/>
      </c>
      <c r="G21" s="2" t="s">
        <v>3528</v>
      </c>
      <c r="I21" s="390" t="s">
        <v>579</v>
      </c>
      <c r="J21" s="451">
        <f>'DAP2'!E20</f>
        <v>0</v>
      </c>
      <c r="K21" s="397" t="s">
        <v>3516</v>
      </c>
      <c r="R21" t="str">
        <f t="shared" si="0" ref="R21:R23">IF(ISNUMBER(W21),IF(VALUE(W21)&gt;99999,VALUE(W21),IF(VALUE(W21)&gt;9999,VALUE(W21)*10,IF(VALUE(W21)&gt;999,VALUE(W21)*100,IF(VALUE(W21)&gt;99,VALUE(W21)*1000,IF(VALUE(W21)&gt;9,VALUE(W21)*10000,VALUE(W21)*100000))))),"")</f>
        <v/>
      </c>
      <c r="S21" s="451" t="str">
        <f>IF('1Př1'!F35&lt;&gt;0,'1Př1'!F35,"")</f>
        <v/>
      </c>
      <c r="T21" t="str">
        <f>IF(AND('1Př1'!D35&lt;&gt;0,'1Př1'!D35&lt;&gt;""),100*'1Př1'!D35,"")</f>
        <v/>
      </c>
      <c r="U21" s="451" t="str">
        <f>IF(ISNUMBER(W21),'1Př1'!H35,"")</f>
        <v/>
      </c>
      <c r="W21" t="e">
        <f>UPPER(VLOOKUP('1Př1'!A35,FU!N3:O992,2,FALSE))</f>
        <v>#N/A</v>
      </c>
    </row>
    <row r="22" spans="1:23" ht="14.25">
      <c r="A22" s="390" t="s">
        <v>463</v>
      </c>
      <c r="B22" s="451">
        <f>'DAP3'!E7</f>
        <v>0</v>
      </c>
      <c r="C22" s="397" t="s">
        <v>3516</v>
      </c>
      <c r="E22" s="390" t="s">
        <v>533</v>
      </c>
      <c r="F22" s="391" t="str">
        <f>IF(AND(ZAKL_DATA!D4&lt;&gt;"",ZAKL_DATA!D15&lt;&gt;"",'DAP4'!C27&lt;&gt;"4a",'DAP4'!C27&lt;&gt;"4b"),ZAKL_DATA!D15,"")</f>
        <v/>
      </c>
      <c r="G22" s="2" t="s">
        <v>3528</v>
      </c>
      <c r="R22" t="str">
        <f t="shared" si="0"/>
        <v/>
      </c>
      <c r="S22" s="451" t="str">
        <f>IF('1Př1'!F36&lt;&gt;0,'1Př1'!F36,"")</f>
        <v/>
      </c>
      <c r="T22" t="str">
        <f>IF(AND('1Př1'!D36&lt;&gt;0,'1Př1'!D36&lt;&gt;""),100*'1Př1'!D36,"")</f>
        <v/>
      </c>
      <c r="U22" s="451" t="str">
        <f>IF(ISNUMBER(W22),'1Př1'!H36,"")</f>
        <v/>
      </c>
      <c r="W22" t="e">
        <f>UPPER(VLOOKUP('1Př1'!A36,FU!N3:O992,2,FALSE))</f>
        <v>#N/A</v>
      </c>
    </row>
    <row r="23" spans="1:23" ht="14.25">
      <c r="A23" s="390" t="s">
        <v>464</v>
      </c>
      <c r="B23" s="451">
        <f>'DAP3'!E5</f>
        <v>24840</v>
      </c>
      <c r="C23" s="397" t="s">
        <v>3516</v>
      </c>
      <c r="E23" s="390" t="s">
        <v>534</v>
      </c>
      <c r="F23" s="448" t="str">
        <f>IF(ZAKL_DATA!B5&lt;&gt;"",ZAKL_DATA!B5,"")</f>
        <v/>
      </c>
      <c r="G23" s="2" t="s">
        <v>3516</v>
      </c>
      <c r="R23" t="str">
        <f t="shared" si="0"/>
        <v/>
      </c>
      <c r="S23" s="451" t="str">
        <f>IF('1Př1'!F37&lt;&gt;0,'1Př1'!F37,"")</f>
        <v/>
      </c>
      <c r="T23" t="str">
        <f>IF(AND('1Př1'!D37&lt;&gt;0,'1Př1'!D37&lt;&gt;""),100*'1Př1'!D37,"")</f>
        <v/>
      </c>
      <c r="U23" s="451" t="str">
        <f>IF(ISNUMBER(W23),'1Př1'!H37,"")</f>
        <v/>
      </c>
      <c r="W23" t="e">
        <f>UPPER(VLOOKUP('1Př1'!A37,FU!N3:O992,2,FALSE))</f>
        <v>#N/A</v>
      </c>
    </row>
    <row r="24" spans="1:11" ht="14.25">
      <c r="A24" s="390" t="s">
        <v>465</v>
      </c>
      <c r="B24" s="451">
        <f>'DAP3'!E6</f>
        <v>0</v>
      </c>
      <c r="C24" s="397" t="s">
        <v>3516</v>
      </c>
      <c r="E24" s="390" t="s">
        <v>535</v>
      </c>
      <c r="F24" s="448" t="str">
        <f>IF(ZAKL_DATA!B19&lt;&gt;"",ZAKL_DATA!B19,"")</f>
        <v/>
      </c>
      <c r="G24" t="s">
        <v>3516</v>
      </c>
      <c r="K24">
        <f>LEN(LEFT('DAP3'!C2,(FIND(" ",'DAP3'!C2,1))))</f>
        <v>1</v>
      </c>
    </row>
    <row r="25" spans="1:21" ht="14.25">
      <c r="A25" s="390" t="s">
        <v>466</v>
      </c>
      <c r="B25" s="451">
        <f>'DAP3'!E8</f>
        <v>0</v>
      </c>
      <c r="C25" s="397" t="s">
        <v>3516</v>
      </c>
      <c r="E25" s="390" t="s">
        <v>536</v>
      </c>
      <c r="F25" s="448" t="str">
        <f>IF(ZAKL_DATA!B9&lt;&gt;"",ZAKL_DATA!B9,"")</f>
        <v/>
      </c>
      <c r="G25" t="s">
        <v>3516</v>
      </c>
      <c r="K25" t="e">
        <f>FIND(" ",'DAP3'!C2,LEN(LEFT('DAP3'!C2,(FIND(" ",'DAP3'!C2,1))))+1)-1</f>
        <v>#VALUE!</v>
      </c>
      <c r="L25">
        <f>LEN('DAP3'!C2)-LEN(LEFT('DAP3'!C2,(FIND(" ",'DAP3'!C2,1))))</f>
        <v>0</v>
      </c>
      <c r="R25" t="s">
        <v>3516</v>
      </c>
      <c r="S25" t="s">
        <v>3516</v>
      </c>
      <c r="T25" t="s">
        <v>3516</v>
      </c>
      <c r="U25" t="s">
        <v>3516</v>
      </c>
    </row>
    <row r="26" spans="1:12" ht="14.25">
      <c r="A26" s="390" t="s">
        <v>467</v>
      </c>
      <c r="B26" s="451">
        <f>'DAP3'!E9</f>
        <v>0</v>
      </c>
      <c r="C26" s="397" t="s">
        <v>3516</v>
      </c>
      <c r="E26" s="390" t="s">
        <v>537</v>
      </c>
      <c r="F26" s="448" t="str">
        <f>IF(ZAKL_DATA!B6&lt;&gt;"",ZAKL_DATA!B6,"")</f>
        <v/>
      </c>
      <c r="G26" t="s">
        <v>3516</v>
      </c>
      <c r="K26" t="str">
        <f>LEFT('DAP3'!C2,(FIND(" ",'DAP3'!C2,1))-1)</f>
        <v/>
      </c>
      <c r="L26" t="e">
        <f>FIND(" ",'DAP3'!C2,LEN(LEFT('DAP3'!C2,(FIND(" ",'DAP3'!C2,1))))+1)-LEN(LEFT('DAP3'!C2,(FIND(" ",'DAP3'!C2,1))))</f>
        <v>#VALUE!</v>
      </c>
    </row>
    <row r="27" spans="1:11" ht="14.25">
      <c r="A27" s="390" t="s">
        <v>468</v>
      </c>
      <c r="B27" s="451">
        <f>'DAP3'!E10</f>
        <v>0</v>
      </c>
      <c r="C27" s="397" t="s">
        <v>3516</v>
      </c>
      <c r="E27" s="390" t="s">
        <v>538</v>
      </c>
      <c r="F27" s="391"/>
      <c r="G27" s="397" t="s">
        <v>3521</v>
      </c>
      <c r="K27" t="e">
        <f>MID('DAP3'!C2,FIND(" ",'DAP3'!C2,LEN(LEFT('DAP3'!C2,(FIND(" ",'DAP3'!C2,1))))+1)+1,LEN('DAP3'!C2)-LEN(LEFT('DAP3'!C2,(FIND(" ",'DAP3'!C2,1))))+1)</f>
        <v>#VALUE!</v>
      </c>
    </row>
    <row r="28" spans="1:7" ht="14.25">
      <c r="A28" s="390" t="s">
        <v>469</v>
      </c>
      <c r="B28" s="451">
        <f>'DAP3'!D43</f>
        <v>0</v>
      </c>
      <c r="C28" s="397" t="s">
        <v>3516</v>
      </c>
      <c r="E28" s="390" t="s">
        <v>539</v>
      </c>
      <c r="F28" s="448" t="str">
        <f>IF(AND(ZAKL_DATA!B20&lt;&gt;"ČESKÁ REPUBLIKA",ZAKL_DATA!B20&lt;&gt;""),VLOOKUP(ZAKL_DATA!B20,FU!J3:K253,2,FALSE),"")</f>
        <v/>
      </c>
      <c r="G28" s="397" t="s">
        <v>3516</v>
      </c>
    </row>
    <row r="29" spans="1:7" ht="14.25">
      <c r="A29" s="390" t="s">
        <v>470</v>
      </c>
      <c r="B29" s="451"/>
      <c r="C29" s="397" t="s">
        <v>3520</v>
      </c>
      <c r="E29" s="390" t="s">
        <v>540</v>
      </c>
      <c r="F29" s="448" t="str">
        <f>IF(ZAKL_DATA!B7&lt;&gt;"",ZAKL_DATA!B7,"")</f>
        <v/>
      </c>
      <c r="G29" s="397" t="s">
        <v>3516</v>
      </c>
    </row>
    <row r="30" spans="1:13" ht="14.25">
      <c r="A30" s="390" t="s">
        <v>471</v>
      </c>
      <c r="B30" s="451" t="str">
        <f>IF(AND('DAP3'!D34&lt;&gt;"",'DAP3'!D34&lt;&gt;0),'DAP3'!D34,"")</f>
        <v/>
      </c>
      <c r="C30" s="397" t="s">
        <v>3516</v>
      </c>
      <c r="E30" s="390" t="s">
        <v>541</v>
      </c>
      <c r="F30" s="448" t="str">
        <f>IF(ZAKL_DATA!B16&lt;&gt;"",ZAKL_DATA!B16,"")</f>
        <v/>
      </c>
      <c r="G30" s="397" t="s">
        <v>3516</v>
      </c>
      <c r="I30" t="s">
        <v>603</v>
      </c>
      <c r="M30" t="s">
        <v>625</v>
      </c>
    </row>
    <row r="31" spans="1:15" ht="14.25">
      <c r="A31" s="390" t="s">
        <v>472</v>
      </c>
      <c r="B31" s="451" t="str">
        <f>IF(AND('DAP3'!D37&lt;&gt;"",'DAP3'!D37&lt;&gt;0),'DAP3'!D37,"")</f>
        <v/>
      </c>
      <c r="C31" s="397" t="s">
        <v>3516</v>
      </c>
      <c r="E31" s="390" t="s">
        <v>542</v>
      </c>
      <c r="F31" s="448" t="str">
        <f>IF(ISNUMBER('DAP1'!I39),'DAP1'!I39,"")</f>
        <v/>
      </c>
      <c r="G31" s="2"/>
      <c r="I31" s="390" t="s">
        <v>604</v>
      </c>
      <c r="J31">
        <f>'DAP4'!K21</f>
        <v>0</v>
      </c>
      <c r="K31" t="s">
        <v>3516</v>
      </c>
      <c r="M31" s="390" t="s">
        <v>626</v>
      </c>
      <c r="N31" t="e">
        <f>IF(VALUE(O31)&gt;99999,VALUE(O31),IF(VALUE(O31)&gt;9999,VALUE(O31)*10,IF(VALUE(O31)&gt;999,VALUE(O31)*100,IF(VALUE(O31)&gt;99,VALUE(O31)*1000,IF(VALUE(O31)&gt;9,VALUE(O31)*10000,VALUE(O31)*100000)))))</f>
        <v>#N/A</v>
      </c>
      <c r="O31" s="2" t="e">
        <f>UPPER(VLOOKUP(ZAKL_DATA!B29,FU!N3:O1699,2,FALSE))</f>
        <v>#N/A</v>
      </c>
    </row>
    <row r="32" spans="1:15" ht="14.25">
      <c r="A32" s="390" t="s">
        <v>473</v>
      </c>
      <c r="B32" s="451">
        <f>'DAP3'!D32</f>
        <v>0</v>
      </c>
      <c r="C32" s="397" t="s">
        <v>3516</v>
      </c>
      <c r="E32" s="390" t="s">
        <v>543</v>
      </c>
      <c r="F32" s="455"/>
      <c r="G32" s="2"/>
      <c r="I32" s="390" t="s">
        <v>605</v>
      </c>
      <c r="J32">
        <f>'DAP4'!K9</f>
        <v>0</v>
      </c>
      <c r="K32" t="s">
        <v>3516</v>
      </c>
      <c r="M32" s="390" t="s">
        <v>627</v>
      </c>
      <c r="N32" s="451">
        <f>'1Př1'!F38</f>
        <v>0</v>
      </c>
      <c r="O32" s="397" t="s">
        <v>3516</v>
      </c>
    </row>
    <row r="33" spans="1:15" ht="14.25">
      <c r="A33" s="390" t="s">
        <v>474</v>
      </c>
      <c r="B33" s="451" t="str">
        <f>IF(AND('DAP3'!D36&lt;&gt;"",'DAP3'!D36&lt;&gt;0),'DAP3'!D36,"")</f>
        <v/>
      </c>
      <c r="C33" s="397" t="s">
        <v>3516</v>
      </c>
      <c r="E33" s="390" t="s">
        <v>544</v>
      </c>
      <c r="F33" s="448" t="str">
        <f>IF(ISNUMBER(FIND("/",'DAP1'!L38)),MID('DAP1'!L38,(FIND("/",'DAP1'!L38,1))+1,LEN('DAP1'!L38)),"")</f>
        <v/>
      </c>
      <c r="G33" s="2"/>
      <c r="I33" s="390" t="s">
        <v>606</v>
      </c>
      <c r="J33">
        <f>'DAP4'!K16</f>
        <v>0</v>
      </c>
      <c r="K33" t="s">
        <v>3516</v>
      </c>
      <c r="M33" s="390" t="s">
        <v>628</v>
      </c>
      <c r="N33" s="451">
        <f>'1Př1'!H38</f>
        <v>0</v>
      </c>
      <c r="O33" s="397" t="s">
        <v>3516</v>
      </c>
    </row>
    <row r="34" spans="1:15" ht="14.25">
      <c r="A34" s="390" t="s">
        <v>475</v>
      </c>
      <c r="B34" s="451" t="str">
        <f>IF(AND('DAP3'!D39&lt;&gt;"",'DAP3'!D39&lt;&gt;0),'DAP3'!D39,"")</f>
        <v/>
      </c>
      <c r="C34" s="397" t="s">
        <v>3516</v>
      </c>
      <c r="E34" s="390" t="s">
        <v>545</v>
      </c>
      <c r="F34" s="455" t="str">
        <f>IF(IF(ISNUMBER(FIND("/",'DAP1'!L38)),LEFT('DAP1'!L38,(FIND("/",'DAP1'!L38,1))-1),'DAP1'!L38)&lt;&gt;0,IF(ISNUMBER(FIND("/",'DAP1'!L38)),LEFT('DAP1'!L38,(FIND("/",'DAP1'!L38,1))-1),'DAP1'!L38),"")</f>
        <v/>
      </c>
      <c r="G34" s="2"/>
      <c r="I34" s="390" t="s">
        <v>607</v>
      </c>
      <c r="K34" s="397" t="s">
        <v>3861</v>
      </c>
      <c r="M34" s="390" t="s">
        <v>629</v>
      </c>
      <c r="N34" s="448" t="str">
        <f>IF('1Př2'!F3&lt;&gt;0,TEXT('1Př2'!F3,"DD.MM.RRRR"),"")</f>
        <v/>
      </c>
      <c r="O34" s="397" t="s">
        <v>3516</v>
      </c>
    </row>
    <row r="35" spans="1:15" ht="14.25">
      <c r="A35" s="390" t="s">
        <v>476</v>
      </c>
      <c r="B35" s="451">
        <f>'DAP3'!D27</f>
        <v>0</v>
      </c>
      <c r="C35" s="397" t="s">
        <v>3516</v>
      </c>
      <c r="E35" s="390" t="s">
        <v>546</v>
      </c>
      <c r="F35" s="448" t="str">
        <f>IF('DAP1'!F39&lt;&gt;"",'DAP1'!F39,"")</f>
        <v/>
      </c>
      <c r="G35" s="2"/>
      <c r="I35" s="390" t="s">
        <v>608</v>
      </c>
      <c r="J35">
        <f>'DAP4'!K17</f>
        <v>0</v>
      </c>
      <c r="K35" t="s">
        <v>3516</v>
      </c>
      <c r="M35" s="390" t="s">
        <v>630</v>
      </c>
      <c r="N35" s="448" t="str">
        <f>IF('1Př2'!C3&lt;&gt;0,TEXT('1Př2'!C3,"DD.MM.RRRR"),"")</f>
        <v/>
      </c>
      <c r="O35" s="397" t="s">
        <v>3516</v>
      </c>
    </row>
    <row r="36" spans="1:15" ht="14.25">
      <c r="A36" s="390" t="s">
        <v>477</v>
      </c>
      <c r="B36" s="452">
        <f>'DAP2'!F40</f>
        <v>0</v>
      </c>
      <c r="C36" s="397" t="s">
        <v>3516</v>
      </c>
      <c r="E36" s="390" t="s">
        <v>547</v>
      </c>
      <c r="F36" s="448" t="str">
        <f>IF(ISNUMBER(FIND("@",'DAP1'!I39)),'DAP1'!I39,"")</f>
        <v/>
      </c>
      <c r="G36" s="2"/>
      <c r="I36" s="390" t="s">
        <v>609</v>
      </c>
      <c r="J36">
        <f>'DAP4'!K13</f>
        <v>0</v>
      </c>
      <c r="K36" t="s">
        <v>3516</v>
      </c>
      <c r="M36" s="390" t="s">
        <v>631</v>
      </c>
      <c r="N36" s="448" t="str">
        <f>IF('1Př2'!E3&lt;&gt;0,TEXT('1Př2'!E3,"DD.MM.RRRR"),"")</f>
        <v/>
      </c>
      <c r="O36" s="397" t="s">
        <v>3516</v>
      </c>
    </row>
    <row r="37" spans="1:15" ht="14.25">
      <c r="A37" s="390" t="s">
        <v>478</v>
      </c>
      <c r="B37" s="451">
        <f>'DAP3'!D44</f>
        <v>0</v>
      </c>
      <c r="C37" s="397" t="s">
        <v>3516</v>
      </c>
      <c r="E37" s="390" t="s">
        <v>548</v>
      </c>
      <c r="F37" s="448" t="str">
        <f>IF('DAP1'!B38&lt;&gt;"",'DAP1'!B38,"")</f>
        <v/>
      </c>
      <c r="G37" s="2"/>
      <c r="I37" s="390" t="s">
        <v>610</v>
      </c>
      <c r="J37">
        <f>'DAP4'!K14</f>
        <v>0</v>
      </c>
      <c r="K37" t="s">
        <v>3516</v>
      </c>
      <c r="M37" s="390" t="s">
        <v>632</v>
      </c>
      <c r="N37" s="448" t="str">
        <f>IF('1Př2'!A3&lt;&gt;0,TEXT('1Př2'!A3,"DD.MM.RRRR"),"")</f>
        <v/>
      </c>
      <c r="O37" s="397" t="s">
        <v>3516</v>
      </c>
    </row>
    <row r="38" spans="1:15" ht="14.25">
      <c r="A38" s="390"/>
      <c r="B38" s="451" t="str">
        <f>IF(Účetní_závěrka!C12&lt;&gt;"",IF(Účetní_závěrka!C88&gt;0,"P","Z"),"")</f>
        <v/>
      </c>
      <c r="C38" s="397" t="s">
        <v>3516</v>
      </c>
      <c r="E38" s="390" t="s">
        <v>549</v>
      </c>
      <c r="F38" s="448" t="str">
        <f>IF('DAP1'!B39&lt;&gt;"",'DAP1'!B39,"")</f>
        <v/>
      </c>
      <c r="G38" s="2"/>
      <c r="I38" s="390" t="s">
        <v>611</v>
      </c>
      <c r="J38">
        <f>'DAP4'!K11</f>
        <v>0</v>
      </c>
      <c r="K38" t="s">
        <v>3516</v>
      </c>
      <c r="M38" s="390" t="s">
        <v>633</v>
      </c>
      <c r="N38" s="451">
        <f>'1Př1'!A30</f>
        <v>0</v>
      </c>
      <c r="O38" s="397" t="s">
        <v>3516</v>
      </c>
    </row>
    <row r="39" spans="1:15" ht="14.25">
      <c r="A39" s="390" t="s">
        <v>480</v>
      </c>
      <c r="B39" s="451">
        <f>'DAP3'!D47</f>
        <v>0</v>
      </c>
      <c r="C39" s="397" t="s">
        <v>3516</v>
      </c>
      <c r="E39" s="390" t="s">
        <v>550</v>
      </c>
      <c r="F39" s="448" t="str">
        <f>IF('DAP1'!G38&lt;&gt;"",'DAP1'!G35,"")</f>
        <v/>
      </c>
      <c r="G39" s="2"/>
      <c r="I39" s="390" t="s">
        <v>612</v>
      </c>
      <c r="K39" s="397" t="s">
        <v>3520</v>
      </c>
      <c r="M39" s="390" t="s">
        <v>634</v>
      </c>
      <c r="N39" s="451">
        <f>'1Př1'!F16</f>
        <v>0</v>
      </c>
      <c r="O39" s="397" t="s">
        <v>3516</v>
      </c>
    </row>
    <row r="40" spans="1:19" ht="14.25">
      <c r="A40" s="390" t="s">
        <v>481</v>
      </c>
      <c r="B40" s="451">
        <f>'DAP3'!D45</f>
        <v>0</v>
      </c>
      <c r="C40" s="397" t="s">
        <v>3516</v>
      </c>
      <c r="E40" s="390" t="s">
        <v>551</v>
      </c>
      <c r="F40" s="391" t="str">
        <f>IF(AND(LEN('DAP4'!A31)&gt;6,ISNUMBER(SEARCH(".",'DAP4'!A31))),'DAP4'!A31,"")</f>
        <v/>
      </c>
      <c r="G40" s="458" t="s">
        <v>3528</v>
      </c>
      <c r="I40" s="390" t="s">
        <v>613</v>
      </c>
      <c r="J40">
        <f>'DAP4'!K10</f>
        <v>0</v>
      </c>
      <c r="K40" s="397" t="s">
        <v>3516</v>
      </c>
      <c r="M40" s="390" t="s">
        <v>635</v>
      </c>
      <c r="N40" s="451">
        <f>'1Př1'!E30</f>
        <v>0</v>
      </c>
      <c r="O40" s="397" t="s">
        <v>3516</v>
      </c>
      <c r="Q40" t="s">
        <v>655</v>
      </c>
      <c r="R40" s="390" t="s">
        <v>679</v>
      </c>
      <c r="S40" s="393" t="s">
        <v>677</v>
      </c>
    </row>
    <row r="41" spans="1:19" ht="14.25">
      <c r="A41" s="390" t="s">
        <v>482</v>
      </c>
      <c r="B41" s="451" t="str">
        <f>IF(AND('DAP3'!D46&lt;&gt;"",'DAP3'!D46&lt;&gt;0),'DAP3'!D46,"")</f>
        <v/>
      </c>
      <c r="C41" s="397" t="s">
        <v>3516</v>
      </c>
      <c r="E41" s="390" t="s">
        <v>552</v>
      </c>
      <c r="F41" s="391" t="str">
        <f>IF(AND(LEN('DAP4'!A31)&lt;=4,'DAP4'!A31&lt;&gt;""),'DAP4'!A31,"")</f>
        <v/>
      </c>
      <c r="G41" s="458" t="s">
        <v>3528</v>
      </c>
      <c r="I41" s="390" t="s">
        <v>614</v>
      </c>
      <c r="J41">
        <f>'DAP4'!K18</f>
        <v>0</v>
      </c>
      <c r="K41" s="397" t="s">
        <v>3516</v>
      </c>
      <c r="M41" s="390" t="s">
        <v>636</v>
      </c>
      <c r="N41" s="451">
        <f>'1Př1'!I30</f>
        <v>0</v>
      </c>
      <c r="O41" s="397" t="s">
        <v>3516</v>
      </c>
      <c r="R41" s="451" t="str">
        <f>IF('1Př2'!F20&lt;&gt;"",'1Př2'!F20,"")</f>
        <v/>
      </c>
      <c r="S41" s="391" t="str">
        <f>IF('1Př2'!B20&lt;&gt;"",'1Př2'!B20,"")</f>
        <v/>
      </c>
    </row>
    <row r="42" spans="1:19" ht="14.25">
      <c r="A42" s="390" t="s">
        <v>483</v>
      </c>
      <c r="B42" s="451">
        <f>'DAP3'!E11</f>
        <v>0</v>
      </c>
      <c r="C42" s="397" t="s">
        <v>3516</v>
      </c>
      <c r="E42" s="390" t="s">
        <v>553</v>
      </c>
      <c r="F42" s="391" t="str">
        <f>IF(AND(LEN('DAP4'!A31)&lt;9,LEN('DAP4'!A31)&gt;5),'DAP4'!A31,"")</f>
        <v/>
      </c>
      <c r="G42" s="458" t="s">
        <v>3528</v>
      </c>
      <c r="I42" s="390" t="s">
        <v>615</v>
      </c>
      <c r="J42">
        <f>'DAP4'!K8</f>
        <v>0</v>
      </c>
      <c r="K42" s="397" t="s">
        <v>3516</v>
      </c>
      <c r="M42" s="390" t="s">
        <v>637</v>
      </c>
      <c r="N42" s="451">
        <f>'1Př1'!F24</f>
        <v>0</v>
      </c>
      <c r="O42" s="397" t="s">
        <v>3516</v>
      </c>
      <c r="R42" s="451" t="str">
        <f>IF('1Př2'!F21&lt;&gt;"",'1Př2'!F21,"")</f>
        <v/>
      </c>
      <c r="S42" s="391" t="str">
        <f>IF('1Př2'!B21&lt;&gt;"",'1Př2'!B21,"")</f>
        <v/>
      </c>
    </row>
    <row r="43" spans="1:19" ht="14.25">
      <c r="A43" s="390" t="s">
        <v>484</v>
      </c>
      <c r="B43" s="451">
        <f>'DAP3'!D31</f>
        <v>0</v>
      </c>
      <c r="C43" s="397" t="s">
        <v>3516</v>
      </c>
      <c r="E43" s="390" t="s">
        <v>554</v>
      </c>
      <c r="F43" s="391" t="str">
        <f>IF(AND(OR(F40&lt;&gt;"",F41&lt;&gt;""),ZAKL_DATA!D20&lt;&gt;""),ZAKL_DATA!D20,"")</f>
        <v/>
      </c>
      <c r="G43" s="458" t="s">
        <v>3528</v>
      </c>
      <c r="I43" s="390" t="s">
        <v>616</v>
      </c>
      <c r="J43">
        <f>'DAP4'!K12</f>
        <v>0</v>
      </c>
      <c r="K43" s="397" t="s">
        <v>3516</v>
      </c>
      <c r="M43" s="390" t="s">
        <v>638</v>
      </c>
      <c r="N43" s="451">
        <f>'1Př1'!F19</f>
        <v>0</v>
      </c>
      <c r="O43" s="397" t="s">
        <v>3516</v>
      </c>
      <c r="R43" s="451" t="str">
        <f>IF('1Př2'!F22&lt;&gt;"",'1Př2'!F22,"")</f>
        <v/>
      </c>
      <c r="S43" s="391" t="str">
        <f>IF('1Př2'!B22&lt;&gt;"",'1Př2'!B22,"")</f>
        <v/>
      </c>
    </row>
    <row r="44" spans="1:19" ht="14.25">
      <c r="A44" s="390" t="s">
        <v>485</v>
      </c>
      <c r="B44" s="451">
        <f>'DAP3'!D42</f>
        <v>0</v>
      </c>
      <c r="C44" s="397" t="s">
        <v>3516</v>
      </c>
      <c r="E44" s="390" t="s">
        <v>555</v>
      </c>
      <c r="F44" s="391" t="str">
        <f>IF('DAP4'!C27&lt;&gt;0,'DAP4'!C27,"")</f>
        <v/>
      </c>
      <c r="G44" s="458" t="s">
        <v>3528</v>
      </c>
      <c r="I44" s="390" t="s">
        <v>617</v>
      </c>
      <c r="J44">
        <f>'DAP4'!K6</f>
        <v>0</v>
      </c>
      <c r="K44" s="397" t="s">
        <v>3516</v>
      </c>
      <c r="M44" s="390" t="s">
        <v>639</v>
      </c>
      <c r="N44" s="451">
        <f>'1Př1'!F21</f>
        <v>0</v>
      </c>
      <c r="O44" s="397" t="s">
        <v>3516</v>
      </c>
      <c r="R44" s="451" t="str">
        <f>IF('1Př2'!F23&lt;&gt;"",'1Př2'!F23,"")</f>
        <v/>
      </c>
      <c r="S44" s="391" t="str">
        <f>IF('1Př2'!B23&lt;&gt;"",'1Př2'!B23,"")</f>
        <v/>
      </c>
    </row>
    <row r="45" spans="1:15" ht="14.25">
      <c r="A45" s="390" t="s">
        <v>486</v>
      </c>
      <c r="B45" s="451">
        <f>'DAP3'!D41</f>
        <v>0</v>
      </c>
      <c r="C45" s="397" t="s">
        <v>3516</v>
      </c>
      <c r="E45" s="390" t="s">
        <v>556</v>
      </c>
      <c r="F45" s="391" t="str">
        <f>'DAP4'!A29</f>
        <v xml:space="preserve">  </v>
      </c>
      <c r="G45" s="458" t="s">
        <v>3528</v>
      </c>
      <c r="I45" s="390" t="s">
        <v>618</v>
      </c>
      <c r="J45">
        <f>'DAP4'!K7</f>
        <v>0</v>
      </c>
      <c r="K45" s="397" t="s">
        <v>3516</v>
      </c>
      <c r="M45" s="390" t="s">
        <v>640</v>
      </c>
      <c r="N45" s="451">
        <f>'1Př1'!F13</f>
        <v>0</v>
      </c>
      <c r="O45" s="397" t="s">
        <v>3516</v>
      </c>
    </row>
    <row r="46" spans="1:19" ht="14.25">
      <c r="A46" s="390" t="s">
        <v>487</v>
      </c>
      <c r="B46" s="451">
        <f>'DAP3'!D50</f>
        <v>0</v>
      </c>
      <c r="C46" s="397" t="s">
        <v>3516</v>
      </c>
      <c r="E46" s="390" t="s">
        <v>557</v>
      </c>
      <c r="F46" s="391" t="str">
        <f>IF(AND(OR(F40&lt;&gt;"",F41&lt;&gt;""),ZAKL_DATA!D21&lt;&gt;""),ZAKL_DATA!D21,"")</f>
        <v/>
      </c>
      <c r="G46" s="458" t="s">
        <v>3528</v>
      </c>
      <c r="I46" s="390" t="s">
        <v>619</v>
      </c>
      <c r="J46" t="str">
        <f>IF((ABS('6Př'!E20)+ABS('6Př'!F20))&lt;&gt;0,"1","0")</f>
        <v>0</v>
      </c>
      <c r="K46" s="2"/>
      <c r="M46" s="390" t="s">
        <v>641</v>
      </c>
      <c r="N46" s="451">
        <f>'1Př1'!F18</f>
        <v>0</v>
      </c>
      <c r="O46" s="397" t="s">
        <v>3516</v>
      </c>
      <c r="R46" s="397" t="s">
        <v>3516</v>
      </c>
      <c r="S46" s="397" t="s">
        <v>3516</v>
      </c>
    </row>
    <row r="47" spans="1:15" ht="14.25">
      <c r="A47" s="390" t="s">
        <v>488</v>
      </c>
      <c r="B47" s="451" t="str">
        <f>IF(AND('DAP3'!D35&lt;&gt;"",'DAP3'!D35&lt;&gt;0),'DAP3'!D35,"")</f>
        <v/>
      </c>
      <c r="C47" s="397" t="s">
        <v>3516</v>
      </c>
      <c r="E47" s="390" t="s">
        <v>558</v>
      </c>
      <c r="F47" s="391" t="str">
        <f>IF(OR('DAP4'!C27="4a",'DAP4'!C27="4b"),"F",IF(OR('DAP4'!C27="4c",'DAP4'!C27="4d"),"P",""))</f>
        <v/>
      </c>
      <c r="G47" s="458" t="s">
        <v>3528</v>
      </c>
      <c r="I47" s="390" t="s">
        <v>620</v>
      </c>
      <c r="J47">
        <f>IF('DAP4'!K22&lt;&gt;"",'DAP4'!K22,"")</f>
        <v>0</v>
      </c>
      <c r="K47" s="2"/>
      <c r="M47" s="390" t="s">
        <v>642</v>
      </c>
      <c r="N47" s="451">
        <f>'1Př1'!F17</f>
        <v>0</v>
      </c>
      <c r="O47" s="397" t="s">
        <v>3516</v>
      </c>
    </row>
    <row r="48" spans="1:15" ht="14.25">
      <c r="A48" s="390" t="s">
        <v>489</v>
      </c>
      <c r="B48" s="451" t="str">
        <f>IF(AND('DAP3'!D38&lt;&gt;"",'DAP3'!D38&lt;&gt;0),'DAP3'!D38,"")</f>
        <v/>
      </c>
      <c r="C48" s="397" t="s">
        <v>3516</v>
      </c>
      <c r="I48" s="390" t="s">
        <v>621</v>
      </c>
      <c r="J48" s="448">
        <f>'DAP4'!K4</f>
        <v>0</v>
      </c>
      <c r="K48" s="397" t="s">
        <v>3516</v>
      </c>
      <c r="M48" s="390" t="s">
        <v>643</v>
      </c>
      <c r="N48" s="451">
        <f>'1Př1'!F14</f>
        <v>0</v>
      </c>
      <c r="O48" s="397" t="s">
        <v>3516</v>
      </c>
    </row>
    <row r="49" spans="1:15" ht="14.25">
      <c r="A49" s="390" t="s">
        <v>490</v>
      </c>
      <c r="B49" s="448" t="str">
        <f>IF('DAP1'!F41&lt;&gt;"",'DAP1'!F41,"")</f>
        <v/>
      </c>
      <c r="C49" s="397" t="s">
        <v>3516</v>
      </c>
      <c r="I49" s="390" t="s">
        <v>622</v>
      </c>
      <c r="J49" s="448">
        <f>'DAP4'!K5</f>
        <v>0</v>
      </c>
      <c r="K49" s="397" t="s">
        <v>3516</v>
      </c>
      <c r="M49" s="390" t="s">
        <v>644</v>
      </c>
      <c r="N49" s="451">
        <f>'1Př1'!F20</f>
        <v>0</v>
      </c>
      <c r="O49" s="397" t="s">
        <v>3516</v>
      </c>
    </row>
    <row r="50" spans="1:19" ht="14.25">
      <c r="A50" s="390" t="s">
        <v>491</v>
      </c>
      <c r="B50">
        <f>'DAP3'!D8</f>
        <v>0</v>
      </c>
      <c r="C50" s="397" t="s">
        <v>3516</v>
      </c>
      <c r="E50" s="390" t="s">
        <v>3860</v>
      </c>
      <c r="F50" s="391" t="str">
        <f>IF(Účetní_závěrka!C12&lt;&gt;"",IF(Účetní_závěrka!C88&gt;0,"P","Z"),"")</f>
        <v/>
      </c>
      <c r="I50" s="390" t="s">
        <v>623</v>
      </c>
      <c r="J50">
        <f>'DAP4'!K20</f>
        <v>0</v>
      </c>
      <c r="K50" s="397" t="s">
        <v>3516</v>
      </c>
      <c r="M50" s="390" t="s">
        <v>645</v>
      </c>
      <c r="N50" s="451">
        <f>'1Př1'!F22</f>
        <v>0</v>
      </c>
      <c r="O50" s="397" t="s">
        <v>3516</v>
      </c>
      <c r="Q50" t="s">
        <v>681</v>
      </c>
      <c r="R50" s="390" t="s">
        <v>682</v>
      </c>
      <c r="S50" s="393" t="s">
        <v>680</v>
      </c>
    </row>
    <row r="51" spans="1:19" ht="14.25">
      <c r="A51" s="390" t="s">
        <v>3696</v>
      </c>
      <c r="B51">
        <f>'DAP3'!F24</f>
        <v>0</v>
      </c>
      <c r="C51" s="397" t="s">
        <v>3516</v>
      </c>
      <c r="E51" s="390" t="s">
        <v>3860</v>
      </c>
      <c r="F51" s="391" t="str">
        <f>IF(Účetní_závěrka!C12&lt;&gt;"",IF(Účetní_závěrka!C88&gt;0,"P","Z"),"")</f>
        <v/>
      </c>
      <c r="I51" s="390" t="s">
        <v>624</v>
      </c>
      <c r="J51">
        <f>'DAP4'!K19</f>
        <v>0</v>
      </c>
      <c r="K51" s="397" t="s">
        <v>3516</v>
      </c>
      <c r="M51" s="390" t="s">
        <v>646</v>
      </c>
      <c r="N51" s="451">
        <f>'1Př1'!F25</f>
        <v>0</v>
      </c>
      <c r="O51" s="397" t="s">
        <v>3516</v>
      </c>
      <c r="R51" t="str">
        <f>IF('1Př2'!F26&lt;&gt;"",'1Př2'!F26,"")</f>
        <v/>
      </c>
      <c r="S51" s="448" t="str">
        <f>IF('1Př2'!B26&lt;&gt;"",'1Př2'!B26,"")</f>
        <v/>
      </c>
    </row>
    <row r="52" spans="1:19" ht="14.25">
      <c r="A52" s="390" t="s">
        <v>3697</v>
      </c>
      <c r="B52">
        <f>'DAP3'!G24</f>
        <v>0</v>
      </c>
      <c r="C52" s="397" t="s">
        <v>3516</v>
      </c>
      <c r="E52" s="390" t="s">
        <v>3860</v>
      </c>
      <c r="F52" s="391" t="str">
        <f>IF(Účetní_závěrka!C12&lt;&gt;"",IF(Účetní_závěrka!C88&gt;0,"P","Z"),"")</f>
        <v/>
      </c>
      <c r="I52" s="390" t="s">
        <v>3706</v>
      </c>
      <c r="J52" t="str">
        <f>IF('DAP4'!K15&lt;&gt;"",'DAP4'!K15,"")</f>
        <v/>
      </c>
      <c r="K52" s="555"/>
      <c r="M52" s="390" t="s">
        <v>647</v>
      </c>
      <c r="N52" s="451">
        <f>'1Př1'!F26</f>
        <v>0</v>
      </c>
      <c r="O52" s="397" t="s">
        <v>3516</v>
      </c>
      <c r="R52" t="str">
        <f>IF('1Př2'!F27&lt;&gt;"",'1Př2'!F27,"")</f>
        <v/>
      </c>
      <c r="S52" s="391" t="str">
        <f>IF('1Př2'!B27&lt;&gt;"",'1Př2'!B27,"")</f>
        <v/>
      </c>
    </row>
    <row r="53" spans="1:19" ht="14.25">
      <c r="A53" s="390" t="s">
        <v>492</v>
      </c>
      <c r="B53">
        <f>'DAP3'!D9</f>
        <v>0</v>
      </c>
      <c r="C53" s="397" t="s">
        <v>3516</v>
      </c>
      <c r="M53" s="390" t="s">
        <v>648</v>
      </c>
      <c r="N53">
        <f>'1Př2'!G3</f>
        <v>12</v>
      </c>
      <c r="O53" s="397" t="s">
        <v>3516</v>
      </c>
      <c r="R53" t="str">
        <f>IF('1Př2'!F28&lt;&gt;"",'1Př2'!F28,"")</f>
        <v/>
      </c>
      <c r="S53" s="391" t="str">
        <f>IF('1Př2'!B28&lt;&gt;"",'1Př2'!B28,"")</f>
        <v/>
      </c>
    </row>
    <row r="54" spans="1:19" ht="14.25">
      <c r="A54" s="390" t="s">
        <v>493</v>
      </c>
      <c r="B54">
        <f>'DAP3'!D7</f>
        <v>0</v>
      </c>
      <c r="C54" s="397" t="s">
        <v>3516</v>
      </c>
      <c r="M54" s="390" t="s">
        <v>649</v>
      </c>
      <c r="N54" s="451">
        <f>'1Př1'!F33</f>
        <v>0</v>
      </c>
      <c r="O54" s="397" t="s">
        <v>3516</v>
      </c>
      <c r="R54" t="str">
        <f>IF('1Př2'!F29&lt;&gt;"",'1Př2'!F29,"")</f>
        <v/>
      </c>
      <c r="S54" s="391" t="str">
        <f>IF('1Př2'!B29&lt;&gt;"",'1Př2'!B29,"")</f>
        <v/>
      </c>
    </row>
    <row r="55" spans="1:15" ht="14.25">
      <c r="A55" s="390" t="s">
        <v>494</v>
      </c>
      <c r="B55">
        <f>'DAP3'!D11</f>
        <v>0</v>
      </c>
      <c r="C55" s="397" t="s">
        <v>3516</v>
      </c>
      <c r="I55" s="390"/>
      <c r="M55" s="390" t="s">
        <v>650</v>
      </c>
      <c r="N55" s="456">
        <f>IF(AND('1Př1'!E33*100&lt;&gt;0,'1Př1'!E33&lt;&gt;""),'1Př1'!E33*100,"")</f>
        <v>60</v>
      </c>
      <c r="O55" s="397" t="s">
        <v>3516</v>
      </c>
    </row>
    <row r="56" spans="1:19" ht="14.25">
      <c r="A56" s="390" t="s">
        <v>495</v>
      </c>
      <c r="B56">
        <f>'DAP3'!D6</f>
        <v>0</v>
      </c>
      <c r="C56" s="397" t="s">
        <v>3516</v>
      </c>
      <c r="M56" s="390" t="s">
        <v>651</v>
      </c>
      <c r="N56" s="451">
        <f>'1Př1'!H33</f>
        <v>0</v>
      </c>
      <c r="O56" s="397" t="s">
        <v>3516</v>
      </c>
      <c r="R56" s="397" t="s">
        <v>3516</v>
      </c>
      <c r="S56" s="397" t="s">
        <v>3516</v>
      </c>
    </row>
    <row r="57" spans="1:15" ht="14.25">
      <c r="A57" s="390" t="s">
        <v>496</v>
      </c>
      <c r="B57">
        <f>'DAP3'!D10</f>
        <v>0</v>
      </c>
      <c r="C57" s="397" t="s">
        <v>3516</v>
      </c>
      <c r="M57" s="390" t="s">
        <v>652</v>
      </c>
      <c r="N57" s="448">
        <f>IF(AND('1Př1'!C8&lt;&gt;"",'1Př1'!G8=""),1,IF(AND('1Př1'!C8="",'1Př1'!G8&lt;&gt;""),2,""))</f>
        <v>2</v>
      </c>
      <c r="O57" s="397" t="s">
        <v>3516</v>
      </c>
    </row>
    <row r="58" spans="1:14" ht="14.25">
      <c r="A58" s="390" t="s">
        <v>497</v>
      </c>
      <c r="B58" s="448" t="str">
        <f>IF(ISNUMBER(FIND(" ",'DAP3'!C2)),MID('DAP3'!C2,(FIND(" ",'DAP3'!C2,1))+1,IF(ISNUMBER(FIND(" ",'DAP3'!C2,FIND(" ",'DAP3'!C2,1)+1)),FIND(" ",'DAP3'!C2,LEN(LEFT('DAP3'!C2,(FIND(" ",'DAP3'!C2,1))))+1)-LEN(LEFT('DAP3'!C2,(FIND(" ",'DAP3'!C2,1)))),LEN('DAP3'!C2)-LEN(LEFT('DAP3'!C2,(FIND(" ",'DAP3'!C2,1)))))),"")</f>
        <v/>
      </c>
      <c r="C58" s="397" t="s">
        <v>3516</v>
      </c>
      <c r="M58" s="390" t="s">
        <v>653</v>
      </c>
      <c r="N58" s="448" t="str">
        <f>IF('1Př1'!K8&lt;&gt;"","A","N")</f>
        <v>N</v>
      </c>
    </row>
    <row r="59" spans="1:14" ht="14.25">
      <c r="A59" s="390" t="s">
        <v>498</v>
      </c>
      <c r="B59" s="448" t="str">
        <f>IF(ISNUMBER(FIND(" ",'DAP3'!C2)),LEFT('DAP3'!C2,(FIND(" ",'DAP3'!C2,1))-1),"")</f>
        <v/>
      </c>
      <c r="C59" s="397" t="s">
        <v>3516</v>
      </c>
      <c r="M59" s="390" t="s">
        <v>3971</v>
      </c>
      <c r="N59" s="391" t="str">
        <f>IF('1Př1'!K10&lt;&gt;"","A","N")</f>
        <v>N</v>
      </c>
    </row>
    <row r="60" spans="1:22" ht="14.25">
      <c r="A60" s="390" t="s">
        <v>499</v>
      </c>
      <c r="B60" s="448" t="str">
        <f>IF('DAP3'!H2&lt;&gt;"",'DAP3'!H2,"")</f>
        <v/>
      </c>
      <c r="C60" s="397" t="s">
        <v>3516</v>
      </c>
      <c r="E60" t="s">
        <v>659</v>
      </c>
      <c r="I60" t="s">
        <v>696</v>
      </c>
      <c r="N60" t="str">
        <f>IF(OR(N57="2",N58="A"),"A","N")</f>
        <v>N</v>
      </c>
      <c r="Q60" t="s">
        <v>684</v>
      </c>
      <c r="R60" s="390" t="s">
        <v>683</v>
      </c>
      <c r="S60" s="393" t="s">
        <v>685</v>
      </c>
      <c r="T60" s="393" t="s">
        <v>686</v>
      </c>
      <c r="U60" s="393" t="s">
        <v>687</v>
      </c>
      <c r="V60" s="393" t="s">
        <v>688</v>
      </c>
    </row>
    <row r="61" spans="1:22" ht="14.25">
      <c r="A61" s="390" t="s">
        <v>500</v>
      </c>
      <c r="B61" s="448" t="str">
        <f>IF(ISNUMBER(FIND(" ",'DAP3'!C2,FIND(" ",'DAP3'!C2,1)+1)),MID('DAP3'!C2,FIND(" ",'DAP3'!C2,LEN(LEFT('DAP3'!C2,(FIND(" ",'DAP3'!C2,1))))+1)+1,LEN('DAP3'!C2)-LEN(LEFT('DAP3'!C2,(FIND(" ",'DAP3'!C2,1))))+1),"")</f>
        <v/>
      </c>
      <c r="C61" s="397" t="s">
        <v>3516</v>
      </c>
      <c r="E61" s="390" t="s">
        <v>660</v>
      </c>
      <c r="F61" s="451" t="str">
        <f>IF(OR(N57=2,N58="A"),"",'1Př2'!F7)</f>
        <v/>
      </c>
      <c r="G61" t="s">
        <v>3516</v>
      </c>
      <c r="I61" s="390" t="s">
        <v>703</v>
      </c>
      <c r="J61" s="451">
        <f>'2Př'!G13</f>
        <v>0</v>
      </c>
      <c r="K61" s="397" t="s">
        <v>3516</v>
      </c>
      <c r="R61" s="448" t="str">
        <f>IF('1Př2'!E33&lt;&gt;"",MID('1Př2'!E33,3,LEN('1Př2'!E33)-2),"")</f>
        <v/>
      </c>
      <c r="S61" s="448" t="str">
        <f>IF('1Př2'!B33&lt;&gt;"",'1Př2'!B33,"")</f>
        <v/>
      </c>
      <c r="T61" t="str">
        <f>IF('1Př2'!F33&lt;&gt;"",'1Př2'!F33*100,"")</f>
        <v/>
      </c>
      <c r="U61" t="str">
        <f>IF('1Př2'!G33&lt;&gt;"",'1Př2'!G33*100,"")</f>
        <v/>
      </c>
      <c r="V61" s="448" t="str">
        <f>IF('1Př2'!C33&lt;&gt;"",'1Př2'!C33,"")</f>
        <v/>
      </c>
    </row>
    <row r="62" spans="1:22" ht="14.25">
      <c r="A62" s="390" t="s">
        <v>501</v>
      </c>
      <c r="B62" s="448" t="str">
        <f>IF(AND('DAP1'!J17&lt;&gt;"",'DAP1'!L17=""),"A",IF(AND('DAP1'!J17="",'DAP1'!L17&lt;&gt;""),"N",""))</f>
        <v>N</v>
      </c>
      <c r="C62" s="397" t="s">
        <v>3516</v>
      </c>
      <c r="E62" s="390" t="s">
        <v>661</v>
      </c>
      <c r="F62" s="451" t="str">
        <f>IF(OR(N57=2,N58="A"),"",'1Př2'!F10)</f>
        <v/>
      </c>
      <c r="G62" t="s">
        <v>3516</v>
      </c>
      <c r="I62" s="390" t="s">
        <v>704</v>
      </c>
      <c r="J62" s="451">
        <f>'2Př'!G35</f>
        <v>0</v>
      </c>
      <c r="K62" s="397" t="s">
        <v>3516</v>
      </c>
      <c r="R62" s="391" t="str">
        <f>IF('1Př2'!E34&lt;&gt;"",MID('1Př2'!E34,3,LEN('1Př2'!E34)-2),"")</f>
        <v/>
      </c>
      <c r="S62" s="391" t="str">
        <f>IF('1Př2'!B34&lt;&gt;"",'1Př2'!B34,"")</f>
        <v/>
      </c>
      <c r="T62" t="str">
        <f>IF('1Př2'!F34&lt;&gt;"",'1Př2'!F34*100,"")</f>
        <v/>
      </c>
      <c r="U62" t="str">
        <f>IF('1Př2'!G34&lt;&gt;"",'1Př2'!G34*100,"")</f>
        <v/>
      </c>
      <c r="V62" s="391" t="str">
        <f>IF('1Př2'!C34&lt;&gt;"",'1Př2'!C34,"")</f>
        <v/>
      </c>
    </row>
    <row r="63" spans="1:22" ht="14.25">
      <c r="A63" s="390" t="s">
        <v>502</v>
      </c>
      <c r="B63" s="448" t="str">
        <f>IF(AND('DAP1'!F43&lt;&gt;"",'DAP1'!H43=""),"A",IF(AND('DAP1'!F43="",'DAP1'!H43&lt;&gt;""),"N",""))</f>
        <v>N</v>
      </c>
      <c r="C63" s="397" t="s">
        <v>3516</v>
      </c>
      <c r="E63" s="390" t="s">
        <v>662</v>
      </c>
      <c r="F63" s="451" t="str">
        <f>IF(OR(N57=2,N58="A"),"",'1Př2'!F11)</f>
        <v/>
      </c>
      <c r="G63" t="s">
        <v>3516</v>
      </c>
      <c r="I63" s="390" t="s">
        <v>705</v>
      </c>
      <c r="J63" s="451">
        <f>'2Př'!G12</f>
        <v>0</v>
      </c>
      <c r="K63" s="397" t="s">
        <v>3516</v>
      </c>
      <c r="R63" s="391" t="str">
        <f>IF('1Př2'!E35&lt;&gt;"",MID('1Př2'!E35,3,LEN('1Př2'!E35)-2),"")</f>
        <v/>
      </c>
      <c r="S63" s="391" t="str">
        <f>IF('1Př2'!B35&lt;&gt;"",'1Př2'!B35,"")</f>
        <v/>
      </c>
      <c r="T63" t="str">
        <f>IF('1Př2'!F35&lt;&gt;"",'1Př2'!F35*100,"")</f>
        <v/>
      </c>
      <c r="U63" t="str">
        <f>IF('1Př2'!G35&lt;&gt;"",'1Př2'!G35*100,"")</f>
        <v/>
      </c>
      <c r="V63" s="391" t="str">
        <f>IF('1Př2'!C35&lt;&gt;"",'1Př2'!C35,"")</f>
        <v/>
      </c>
    </row>
    <row r="64" spans="1:11" ht="14.25">
      <c r="A64" s="390" t="s">
        <v>503</v>
      </c>
      <c r="B64">
        <f>'DAP1'!F24</f>
        <v>2017</v>
      </c>
      <c r="C64" s="397" t="s">
        <v>3516</v>
      </c>
      <c r="E64" s="390" t="s">
        <v>663</v>
      </c>
      <c r="F64" s="451" t="str">
        <f>IF(OR(N57=2,N58="A"),"",'1Př2'!F8)</f>
        <v/>
      </c>
      <c r="G64" t="s">
        <v>3516</v>
      </c>
      <c r="I64" s="390" t="s">
        <v>706</v>
      </c>
      <c r="J64" s="451">
        <f>'2Př'!H20</f>
        <v>0</v>
      </c>
      <c r="K64" s="397" t="s">
        <v>3516</v>
      </c>
    </row>
    <row r="65" spans="1:22" ht="14.25">
      <c r="A65" s="390" t="s">
        <v>504</v>
      </c>
      <c r="B65" s="451">
        <f>'DAP2'!F45</f>
        <v>0</v>
      </c>
      <c r="C65" s="397" t="s">
        <v>3516</v>
      </c>
      <c r="E65" s="390" t="s">
        <v>664</v>
      </c>
      <c r="F65" s="451" t="str">
        <f>IF(OR(N57=2,N58="A"),"",'1Př2'!F9)</f>
        <v/>
      </c>
      <c r="G65" t="s">
        <v>3516</v>
      </c>
      <c r="I65" s="390" t="s">
        <v>707</v>
      </c>
      <c r="J65" s="451">
        <f>'2Př'!C20</f>
        <v>0</v>
      </c>
      <c r="K65" s="397" t="s">
        <v>3516</v>
      </c>
      <c r="R65" s="397" t="s">
        <v>3516</v>
      </c>
      <c r="S65" s="397" t="s">
        <v>3516</v>
      </c>
      <c r="T65" s="397" t="s">
        <v>3516</v>
      </c>
      <c r="U65" s="397" t="s">
        <v>3516</v>
      </c>
      <c r="V65" s="397" t="s">
        <v>3516</v>
      </c>
    </row>
    <row r="66" spans="1:11" ht="14.25">
      <c r="A66" s="390" t="s">
        <v>505</v>
      </c>
      <c r="B66" s="391"/>
      <c r="C66" s="397" t="s">
        <v>3520</v>
      </c>
      <c r="E66" s="390" t="s">
        <v>665</v>
      </c>
      <c r="F66" s="451" t="str">
        <f>IF(OR(N57=2,N58="A"),"",'1Př2'!F12)</f>
        <v/>
      </c>
      <c r="G66" t="s">
        <v>3516</v>
      </c>
      <c r="I66" s="390" t="s">
        <v>708</v>
      </c>
      <c r="J66" s="451">
        <f>'2Př'!G15</f>
        <v>0</v>
      </c>
      <c r="K66" s="397" t="s">
        <v>3516</v>
      </c>
    </row>
    <row r="67" spans="1:11" ht="14.25">
      <c r="A67" s="390" t="s">
        <v>506</v>
      </c>
      <c r="B67" s="451">
        <f>'DAP3'!E14</f>
        <v>24840</v>
      </c>
      <c r="E67" s="390" t="s">
        <v>666</v>
      </c>
      <c r="F67" s="451" t="str">
        <f>IF(OR(N57=2,N58="A"),"",'1Př2'!F13)</f>
        <v/>
      </c>
      <c r="G67" s="2" t="s">
        <v>3516</v>
      </c>
      <c r="I67" s="390" t="s">
        <v>709</v>
      </c>
      <c r="J67" s="451">
        <f>'2Př'!G17</f>
        <v>0</v>
      </c>
      <c r="K67" s="397" t="s">
        <v>3516</v>
      </c>
    </row>
    <row r="68" spans="1:11" ht="14.25">
      <c r="A68" s="390" t="s">
        <v>507</v>
      </c>
      <c r="B68" s="448" t="str">
        <f>IF(CONCATENATE('DAP1'!J28,'DAP1'!B28)&lt;&gt;"00",CONCATENATE('DAP1'!J28," ",'DAP1'!B28),"")</f>
        <v/>
      </c>
      <c r="C68" s="457" t="s">
        <v>3516</v>
      </c>
      <c r="E68" s="390" t="s">
        <v>667</v>
      </c>
      <c r="F68" s="451" t="str">
        <f>IF(OR(N57=2,N58="A"),"",'1Př2'!F14)</f>
        <v/>
      </c>
      <c r="G68" s="2" t="s">
        <v>3516</v>
      </c>
      <c r="I68" s="390" t="s">
        <v>710</v>
      </c>
      <c r="J68" s="451">
        <f>'2Př'!G36</f>
        <v>0</v>
      </c>
      <c r="K68" s="397" t="s">
        <v>3516</v>
      </c>
    </row>
    <row r="69" spans="1:11" ht="14.25">
      <c r="A69" s="390" t="s">
        <v>508</v>
      </c>
      <c r="B69" s="391" t="str">
        <f>IF(Účetní_závěrka!C12&lt;&gt;"",IF(Účetní_závěrka!C88&gt;0,"P","Z"),"")</f>
        <v/>
      </c>
      <c r="C69" s="457" t="s">
        <v>3525</v>
      </c>
      <c r="E69" s="390" t="s">
        <v>668</v>
      </c>
      <c r="F69" s="451" t="str">
        <f>IF(OR(N57=2,N58="A"),"",'1Př2'!C16)</f>
        <v/>
      </c>
      <c r="G69" s="2" t="s">
        <v>3516</v>
      </c>
      <c r="I69" s="390" t="s">
        <v>711</v>
      </c>
      <c r="J69" s="451">
        <f>'2Př'!G14</f>
        <v>0</v>
      </c>
      <c r="K69" s="397" t="s">
        <v>3516</v>
      </c>
    </row>
    <row r="70" spans="1:21" ht="14.25">
      <c r="A70" s="390" t="s">
        <v>509</v>
      </c>
      <c r="B70">
        <v>500</v>
      </c>
      <c r="C70" s="457" t="s">
        <v>3518</v>
      </c>
      <c r="E70" s="390" t="s">
        <v>669</v>
      </c>
      <c r="F70" s="451" t="str">
        <f>IF(OR(N57=2,N58="A"),"",'1Př2'!G7)</f>
        <v/>
      </c>
      <c r="G70" s="2" t="s">
        <v>3516</v>
      </c>
      <c r="I70" s="390" t="s">
        <v>712</v>
      </c>
      <c r="J70" s="451">
        <f>'2Př'!G37</f>
        <v>0</v>
      </c>
      <c r="K70" s="397" t="s">
        <v>3516</v>
      </c>
      <c r="M70" t="s">
        <v>721</v>
      </c>
      <c r="Q70" t="s">
        <v>689</v>
      </c>
      <c r="R70" s="390" t="s">
        <v>690</v>
      </c>
      <c r="S70" s="393" t="s">
        <v>691</v>
      </c>
      <c r="T70" s="393" t="s">
        <v>692</v>
      </c>
      <c r="U70" s="393" t="s">
        <v>693</v>
      </c>
    </row>
    <row r="71" spans="1:21" ht="14.25">
      <c r="A71" s="390" t="s">
        <v>510</v>
      </c>
      <c r="B71" s="448" t="str">
        <f>CONCATENATE("31.12.",'DAP1'!F24)</f>
        <v>31.12.2017</v>
      </c>
      <c r="E71" s="390" t="s">
        <v>670</v>
      </c>
      <c r="F71" s="451" t="str">
        <f>IF(OR(N57=2,N58="A"),"",'1Př2'!G10)</f>
        <v/>
      </c>
      <c r="G71" s="2" t="s">
        <v>3516</v>
      </c>
      <c r="I71" s="390" t="s">
        <v>713</v>
      </c>
      <c r="J71" s="451">
        <f>'2Př'!G18</f>
        <v>0</v>
      </c>
      <c r="K71" s="397" t="s">
        <v>3516</v>
      </c>
      <c r="M71" s="390" t="s">
        <v>729</v>
      </c>
      <c r="N71" s="452">
        <f>'3Př'!F20</f>
        <v>0</v>
      </c>
      <c r="O71" s="397" t="s">
        <v>3516</v>
      </c>
      <c r="R71" s="448" t="str">
        <f>IF('1Př2'!F39&lt;&gt;"",IF(OR(ISNUMBER('1Př2'!F39),ISNUMBER(FIND("/",('1Př2'!F39)))),'1Př2'!F39,MID('1Př2'!F39,3,(LEN('1Př2'!F39)-2))),"")</f>
        <v/>
      </c>
      <c r="S71" s="448" t="str">
        <f>IF('1Př2'!B39&lt;&gt;"",'1Př2'!B39,"")</f>
        <v/>
      </c>
      <c r="T71" t="str">
        <f>IF('1Př2'!G39&lt;&gt;"",('1Př2'!G39)*100,"")</f>
        <v/>
      </c>
      <c r="U71" s="448" t="str">
        <f>IF('1Př2'!D39&lt;&gt;"",'1Př2'!D39,"")</f>
        <v/>
      </c>
    </row>
    <row r="72" spans="1:21" ht="14.25">
      <c r="A72" s="390" t="s">
        <v>511</v>
      </c>
      <c r="B72" s="448" t="str">
        <f>CONCATENATE("01.01.",'DAP1'!F24)</f>
        <v>01.01.2017</v>
      </c>
      <c r="E72" s="390" t="s">
        <v>671</v>
      </c>
      <c r="F72" s="451" t="str">
        <f>IF(OR(N57=2,N58="A"),"",'1Př2'!G11)</f>
        <v/>
      </c>
      <c r="G72" s="2" t="s">
        <v>3516</v>
      </c>
      <c r="I72" s="390" t="s">
        <v>714</v>
      </c>
      <c r="J72" s="451">
        <f>'2Př'!G16</f>
        <v>0</v>
      </c>
      <c r="K72" s="397" t="s">
        <v>3516</v>
      </c>
      <c r="M72" s="390" t="s">
        <v>730</v>
      </c>
      <c r="N72" s="452">
        <f>'3Př'!F18</f>
        <v>0</v>
      </c>
      <c r="O72" s="397" t="s">
        <v>3516</v>
      </c>
      <c r="R72" s="391" t="str">
        <f>IF('1Př2'!F40&lt;&gt;"",IF(OR(ISNUMBER('1Př2'!F40),ISNUMBER(FIND("/",('1Př2'!F40)))),'1Př2'!F40,MID('1Př2'!F40,3,(LEN('1Př2'!F40)-2))),"")</f>
        <v/>
      </c>
      <c r="S72" s="391" t="str">
        <f>IF('1Př2'!B40&lt;&gt;"",'1Př2'!B40,"")</f>
        <v/>
      </c>
      <c r="T72" t="str">
        <f>IF('1Př2'!G40&lt;&gt;"",('1Př2'!G40)*100,"")</f>
        <v/>
      </c>
      <c r="U72" s="391" t="str">
        <f>IF('1Př2'!D40&lt;&gt;"",'1Př2'!D40,"")</f>
        <v/>
      </c>
    </row>
    <row r="73" spans="1:15" ht="14.25">
      <c r="A73" s="390" t="s">
        <v>3694</v>
      </c>
      <c r="B73">
        <f>'DAP3'!H24</f>
        <v>0</v>
      </c>
      <c r="E73" s="390" t="s">
        <v>672</v>
      </c>
      <c r="F73" s="451" t="str">
        <f>IF(OR(N57=2,N58="A"),"",'1Př2'!G8)</f>
        <v/>
      </c>
      <c r="G73" s="2" t="s">
        <v>3516</v>
      </c>
      <c r="I73" s="390" t="s">
        <v>715</v>
      </c>
      <c r="J73" s="448" t="str">
        <f>IF('2Př'!J7&lt;&gt;"","A","N")</f>
        <v>N</v>
      </c>
      <c r="K73" s="397" t="s">
        <v>3516</v>
      </c>
      <c r="M73" s="390" t="s">
        <v>731</v>
      </c>
      <c r="N73" s="452">
        <f>'3Př'!F17</f>
        <v>0</v>
      </c>
      <c r="O73" s="397" t="s">
        <v>3516</v>
      </c>
    </row>
    <row r="74" spans="1:21" ht="14.25">
      <c r="A74" s="390" t="s">
        <v>3695</v>
      </c>
      <c r="B74">
        <f>'DAP3'!J24</f>
        <v>0</v>
      </c>
      <c r="E74" s="390" t="s">
        <v>673</v>
      </c>
      <c r="F74" s="451" t="str">
        <f>IF(OR(N57=2,N58="A"),"",'1Př2'!G9)</f>
        <v/>
      </c>
      <c r="G74" s="2" t="s">
        <v>3516</v>
      </c>
      <c r="I74" s="390" t="s">
        <v>716</v>
      </c>
      <c r="J74" s="451">
        <f>'2Př'!G35</f>
        <v>0</v>
      </c>
      <c r="K74" s="397" t="s">
        <v>3516</v>
      </c>
      <c r="R74" s="397" t="s">
        <v>3516</v>
      </c>
      <c r="S74" s="397" t="s">
        <v>3516</v>
      </c>
      <c r="T74" s="397" t="s">
        <v>3516</v>
      </c>
      <c r="U74" s="397" t="s">
        <v>3516</v>
      </c>
    </row>
    <row r="75" spans="1:11" ht="14.25">
      <c r="A75" t="s">
        <v>3698</v>
      </c>
      <c r="B75">
        <f>'DAP3'!I24</f>
        <v>0</v>
      </c>
      <c r="E75" s="390" t="s">
        <v>674</v>
      </c>
      <c r="F75" s="451" t="str">
        <f>IF(OR(N57=2,N58="A"),"",'1Př2'!G12)</f>
        <v/>
      </c>
      <c r="G75" s="2" t="s">
        <v>3516</v>
      </c>
      <c r="I75" s="390" t="s">
        <v>717</v>
      </c>
      <c r="J75" s="451">
        <f>'2Př'!G37</f>
        <v>0</v>
      </c>
      <c r="K75" s="397" t="s">
        <v>3516</v>
      </c>
    </row>
    <row r="76" spans="1:11" ht="14.25">
      <c r="A76" s="390" t="s">
        <v>3699</v>
      </c>
      <c r="B76">
        <f>'DAP3'!K24</f>
        <v>0</v>
      </c>
      <c r="E76" s="390" t="s">
        <v>675</v>
      </c>
      <c r="F76" s="451" t="str">
        <f>IF(OR(N57=2,N58="A"),"",'1Př2'!G13)</f>
        <v/>
      </c>
      <c r="G76" s="2" t="s">
        <v>3516</v>
      </c>
      <c r="I76" s="390" t="s">
        <v>718</v>
      </c>
      <c r="J76" s="451">
        <f>'2Př'!G36</f>
        <v>0</v>
      </c>
      <c r="K76" s="397" t="s">
        <v>3516</v>
      </c>
    </row>
    <row r="77" spans="1:11" ht="14.25">
      <c r="A77" s="390" t="s">
        <v>3700</v>
      </c>
      <c r="B77" s="448" t="str">
        <f>IF('DAP3'!H2&lt;&gt;"",CONCATENATE(MID('DAP3'!H2,5,2),".",IF(MID('DAP3'!H2,3,2)&lt;13,MID('DAP3'!H2,3,2),MID('DAP3'!H2,3,2)-50),".",IF(MID('DAP3'!H2,1,2)&lt;"5","20","19"),MID('DAP3'!H2,1,2)),"")</f>
        <v/>
      </c>
      <c r="E77" s="390" t="s">
        <v>676</v>
      </c>
      <c r="F77" s="451" t="str">
        <f>IF(OR(N57=2,N58="A"),"",'1Př2'!G14)</f>
        <v/>
      </c>
      <c r="G77" s="2" t="s">
        <v>3516</v>
      </c>
      <c r="I77" s="390" t="s">
        <v>719</v>
      </c>
      <c r="J77" s="448" t="str">
        <f>IF('2Př'!D7&lt;&gt;"","A","N")</f>
        <v>N</v>
      </c>
      <c r="K77" s="397" t="s">
        <v>3516</v>
      </c>
    </row>
    <row r="78" spans="1:10" ht="14.25">
      <c r="A78" s="390" t="s">
        <v>3859</v>
      </c>
      <c r="B78">
        <f>IF('DAP3'!E13&lt;&gt;"",'DAP3'!E13,"")</f>
        <v>0</v>
      </c>
      <c r="I78" s="390" t="s">
        <v>3972</v>
      </c>
      <c r="J78" s="391" t="str">
        <f>IF('2Př'!J9&lt;&gt;"","A","N")</f>
        <v>N</v>
      </c>
    </row>
    <row r="79" spans="1:2" ht="14.25">
      <c r="A79" s="390" t="s">
        <v>479</v>
      </c>
      <c r="B79" s="451">
        <f>'DAP3'!D48</f>
        <v>0</v>
      </c>
    </row>
    <row r="80" spans="1:21" ht="14.25">
      <c r="A80" s="447" t="s">
        <v>752</v>
      </c>
      <c r="Q80" t="s">
        <v>694</v>
      </c>
      <c r="R80" s="390" t="s">
        <v>697</v>
      </c>
      <c r="S80" s="393" t="s">
        <v>698</v>
      </c>
      <c r="T80" s="393" t="s">
        <v>699</v>
      </c>
      <c r="U80" s="393" t="s">
        <v>700</v>
      </c>
    </row>
    <row r="81" spans="1:21" ht="14.25">
      <c r="A81" s="390" t="s">
        <v>753</v>
      </c>
      <c r="B81" s="391"/>
      <c r="R81" s="448" t="str">
        <f>IF('1Př2'!F44&lt;&gt;"",MID('1Př2'!F44,3,LEN('1Př2'!F44)-2),"")</f>
        <v/>
      </c>
      <c r="S81" s="448" t="str">
        <f>IF('1Př2'!B44&lt;&gt;"",'1Př2'!B44,"")</f>
        <v/>
      </c>
      <c r="T81" t="str">
        <f>IF('1Př2'!G44&lt;&gt;"",'1Př2'!G44*100,"")</f>
        <v/>
      </c>
      <c r="U81" s="448" t="str">
        <f>IF('1Př2'!D44&lt;&gt;"",'1Př2'!D44,"")</f>
        <v/>
      </c>
    </row>
    <row r="82" spans="1:3" ht="14.25">
      <c r="A82" s="390" t="s">
        <v>754</v>
      </c>
      <c r="B82" s="448" t="str">
        <f>IF('DAP4'!D51&lt;&gt;0,+CONCATENATE(ZAKL_DATA!B33),"")</f>
        <v/>
      </c>
      <c r="C82" s="397" t="s">
        <v>3528</v>
      </c>
    </row>
    <row r="83" spans="1:21" ht="14.25">
      <c r="A83" s="390" t="s">
        <v>755</v>
      </c>
      <c r="B83" s="391"/>
      <c r="K83" s="455"/>
      <c r="R83" s="397" t="s">
        <v>3516</v>
      </c>
      <c r="S83" s="397" t="s">
        <v>3516</v>
      </c>
      <c r="T83" s="397" t="s">
        <v>3516</v>
      </c>
      <c r="U83" s="397" t="s">
        <v>3516</v>
      </c>
    </row>
    <row r="84" spans="1:2" ht="14.25">
      <c r="A84" s="390" t="s">
        <v>756</v>
      </c>
      <c r="B84" s="391"/>
    </row>
    <row r="85" spans="1:3" ht="14.25">
      <c r="A85" s="390" t="s">
        <v>757</v>
      </c>
      <c r="B85" t="str">
        <f>IF('DAP4'!D51&lt;&gt;0,'DAP4'!D51,"")</f>
        <v/>
      </c>
      <c r="C85" s="397" t="s">
        <v>3528</v>
      </c>
    </row>
    <row r="86" spans="1:2" ht="14.25">
      <c r="A86" s="390" t="s">
        <v>758</v>
      </c>
      <c r="B86" s="391"/>
    </row>
    <row r="87" spans="1:3" ht="14.25">
      <c r="A87" s="390" t="s">
        <v>759</v>
      </c>
      <c r="B87" s="448" t="str">
        <f>IF('DAP4'!D51&lt;&gt;0,ZAKL_DATA!B18,"")</f>
        <v/>
      </c>
      <c r="C87" s="397" t="s">
        <v>3528</v>
      </c>
    </row>
    <row r="88" spans="1:2" ht="14.25">
      <c r="A88" s="390" t="s">
        <v>760</v>
      </c>
      <c r="B88" s="391"/>
    </row>
    <row r="89" spans="1:3" ht="14.25">
      <c r="A89" s="390" t="s">
        <v>761</v>
      </c>
      <c r="B89" s="448" t="str">
        <f>IF('DAP4'!D51&lt;&gt;0,+CONCATENATE('DAP1'!B28," ",'DAP1'!J28),"")</f>
        <v/>
      </c>
      <c r="C89" s="397" t="s">
        <v>3528</v>
      </c>
    </row>
    <row r="90" spans="1:19" ht="14.25">
      <c r="A90" s="390" t="s">
        <v>762</v>
      </c>
      <c r="B90" s="391"/>
      <c r="Q90" t="s">
        <v>695</v>
      </c>
      <c r="R90" s="390" t="s">
        <v>701</v>
      </c>
      <c r="S90" s="393" t="s">
        <v>702</v>
      </c>
    </row>
    <row r="91" spans="1:19" ht="14.25">
      <c r="A91" s="390" t="s">
        <v>763</v>
      </c>
      <c r="B91" s="448" t="str">
        <f>IF('DAP4'!D51&lt;&gt;0,ZAKL_DATA!B19,"")</f>
        <v/>
      </c>
      <c r="C91" s="397" t="s">
        <v>3528</v>
      </c>
      <c r="R91" s="448" t="str">
        <f>IF('1Př2'!F47&lt;&gt;"",MID('1Př2'!F47,3,LEN('1Př2'!F47)-2),"")</f>
        <v/>
      </c>
      <c r="S91" t="str">
        <f>IF('1Př2'!G47&lt;&gt;"",'1Př2'!G47*100,"")</f>
        <v/>
      </c>
    </row>
    <row r="92" spans="1:2" ht="14.25">
      <c r="A92" s="390" t="s">
        <v>764</v>
      </c>
      <c r="B92" s="391"/>
    </row>
    <row r="93" spans="1:19" ht="14.25">
      <c r="A93" s="390" t="s">
        <v>765</v>
      </c>
      <c r="B93" s="448" t="str">
        <f>IF('DAP4'!D51&lt;&gt;0,ZAKL_DATA!B18,"")</f>
        <v/>
      </c>
      <c r="C93" s="397" t="s">
        <v>3528</v>
      </c>
      <c r="R93" s="397" t="s">
        <v>3516</v>
      </c>
      <c r="S93" s="397" t="s">
        <v>3516</v>
      </c>
    </row>
    <row r="94" spans="1:3" ht="14.25">
      <c r="A94" s="390" t="s">
        <v>766</v>
      </c>
      <c r="B94" s="448" t="str">
        <f>IF('DAP4'!D51&lt;&gt;0,IF(ZAKL_DATA!B20&lt;&gt;"",VLOOKUP(ZAKL_DATA!B20,FU!J3:K253,2,FALSE),"CZ"),"")</f>
        <v/>
      </c>
      <c r="C94" s="397" t="s">
        <v>3528</v>
      </c>
    </row>
    <row r="95" spans="1:2" ht="14.25">
      <c r="A95" s="390" t="s">
        <v>767</v>
      </c>
      <c r="B95" s="391"/>
    </row>
    <row r="96" spans="1:2" ht="14.25">
      <c r="A96" s="390" t="s">
        <v>768</v>
      </c>
      <c r="B96" s="391"/>
    </row>
    <row r="97" spans="1:3" ht="14.25">
      <c r="A97" s="390" t="s">
        <v>769</v>
      </c>
      <c r="B97" s="391" t="str">
        <f>IF('DAP4'!D51&lt;&gt;0,ZAKL_DATA!B16,"")</f>
        <v/>
      </c>
      <c r="C97" s="397" t="s">
        <v>3528</v>
      </c>
    </row>
    <row r="98" spans="1:3" ht="14.25">
      <c r="A98" s="390" t="s">
        <v>770</v>
      </c>
      <c r="B98" s="448" t="str">
        <f>IF('DAP4'!D51&lt;&gt;0,IF('DAP4'!G53&lt;&gt;"","U","A"),"")</f>
        <v/>
      </c>
      <c r="C98" s="397" t="s">
        <v>3528</v>
      </c>
    </row>
    <row r="99" spans="1:3" ht="14.25">
      <c r="A99" s="390" t="s">
        <v>771</v>
      </c>
      <c r="B99" s="448" t="str">
        <f>IF('DAP4'!D51&lt;&gt;0,IF(ISNUMBER(FIND("-",ZAKL_DATA!B32)),MID(ZAKL_DATA!B32,(FIND("-",ZAKL_DATA!B32,1))+1,LEN(ZAKL_DATA!B32)),ZAKL_DATA!B32),"")</f>
        <v/>
      </c>
      <c r="C99" s="397" t="s">
        <v>3528</v>
      </c>
    </row>
    <row r="100" spans="1:23" ht="14.25">
      <c r="A100" s="390" t="s">
        <v>772</v>
      </c>
      <c r="B100" s="455"/>
      <c r="C100" s="397" t="s">
        <v>3528</v>
      </c>
      <c r="Q100" t="s">
        <v>720</v>
      </c>
      <c r="R100" s="390" t="s">
        <v>723</v>
      </c>
      <c r="S100" s="393" t="s">
        <v>724</v>
      </c>
      <c r="T100" s="393" t="s">
        <v>725</v>
      </c>
      <c r="U100" s="393" t="s">
        <v>726</v>
      </c>
      <c r="V100" s="393" t="s">
        <v>727</v>
      </c>
      <c r="W100" s="393" t="s">
        <v>728</v>
      </c>
    </row>
    <row r="101" spans="1:23" ht="14.25">
      <c r="A101" s="390" t="s">
        <v>773</v>
      </c>
      <c r="B101" s="448" t="str">
        <f>IF('DAP4'!D51&lt;&gt;0,IF(ISNUMBER(FIND("/",ZAKL_DATA!B17)),MID(ZAKL_DATA!B17,(FIND("/",ZAKL_DATA!B17,1))+1,LEN(ZAKL_DATA!B17)),""),"")</f>
        <v/>
      </c>
      <c r="C101" s="397" t="s">
        <v>3528</v>
      </c>
      <c r="R101" s="448" t="str">
        <f>IF('2Př'!B26&lt;&gt;"",'2Př'!B26,"")</f>
        <v/>
      </c>
      <c r="S101" s="448" t="str">
        <f>IF('2Př'!J26&lt;&gt;"",'2Př'!J26,"")</f>
        <v/>
      </c>
      <c r="T101" s="448" t="str">
        <f>IF('2Př'!B26&lt;&gt;"",MID('2Př'!B26,1,1),"")</f>
        <v/>
      </c>
      <c r="U101" t="str">
        <f>IF(AND('2Př'!D26&lt;&gt;"",'2Př'!D26&lt;&gt;0),'2Př'!D26,"")</f>
        <v/>
      </c>
      <c r="V101">
        <f>IF('2Př'!H26&lt;&gt;"",'2Př'!H26,"")</f>
        <v>0</v>
      </c>
      <c r="W101" t="str">
        <f>IF(AND('2Př'!F26&lt;&gt;"",'2Př'!F26&lt;&gt;0),'2Př'!F26,"")</f>
        <v/>
      </c>
    </row>
    <row r="102" spans="1:23" ht="14.25">
      <c r="A102" s="390" t="s">
        <v>774</v>
      </c>
      <c r="B102" s="455" t="str">
        <f>IF('DAP4'!D51&lt;&gt;0,IF(ISNUMBER(FIND("/",ZAKL_DATA!B17)),LEFT(ZAKL_DATA!B17,(FIND("/",ZAKL_DATA!B17,1))-1),ZAKL_DATA!B17),"")</f>
        <v/>
      </c>
      <c r="C102" s="397" t="s">
        <v>3528</v>
      </c>
      <c r="R102" s="391" t="str">
        <f>IF('2Př'!B27&lt;&gt;"",'2Př'!B27,"")</f>
        <v/>
      </c>
      <c r="S102" s="391" t="str">
        <f>IF('2Př'!J27&lt;&gt;"",'2Př'!J27,"")</f>
        <v/>
      </c>
      <c r="T102" s="391" t="str">
        <f>IF('2Př'!B27&lt;&gt;"",MID('2Př'!B27,1,1),"")</f>
        <v/>
      </c>
      <c r="U102" t="str">
        <f>IF(AND('2Př'!D27&lt;&gt;"",'2Př'!D27&lt;&gt;0),'2Př'!D27,"")</f>
        <v/>
      </c>
      <c r="V102">
        <f>IF('2Př'!H27&lt;&gt;"",'2Př'!H27,"")</f>
        <v>0</v>
      </c>
      <c r="W102" t="str">
        <f>IF(AND('2Př'!F27&lt;&gt;"",'2Př'!F27&lt;&gt;0),'2Př'!F27,"")</f>
        <v/>
      </c>
    </row>
    <row r="103" spans="1:23" ht="14.25">
      <c r="A103" s="390" t="s">
        <v>775</v>
      </c>
      <c r="B103" s="448" t="str">
        <f>IF('DAP4'!D51&lt;&gt;0,ZAKL_DATA!B4,"")</f>
        <v/>
      </c>
      <c r="C103" s="397" t="s">
        <v>3528</v>
      </c>
      <c r="R103" s="391" t="str">
        <f>IF('2Př'!B28&lt;&gt;"",'2Př'!B28,"")</f>
        <v/>
      </c>
      <c r="S103" s="391" t="str">
        <f>IF('2Př'!J28&lt;&gt;"",'2Př'!J28,"")</f>
        <v/>
      </c>
      <c r="T103" s="391" t="str">
        <f>IF('2Př'!B28&lt;&gt;"",MID('2Př'!B28,1,1),"")</f>
        <v/>
      </c>
      <c r="U103" t="str">
        <f>IF(AND('2Př'!D28&lt;&gt;"",'2Př'!D28&lt;&gt;0),'2Př'!D28,"")</f>
        <v/>
      </c>
      <c r="V103">
        <f>IF('2Př'!H28&lt;&gt;"",'2Př'!H28,"")</f>
        <v>0</v>
      </c>
      <c r="W103" t="str">
        <f>IF(AND('2Př'!F28&lt;&gt;"",'2Př'!F28&lt;&gt;0),'2Př'!F28,"")</f>
        <v/>
      </c>
    </row>
    <row r="104" spans="1:23" ht="14.25">
      <c r="A104" s="390" t="s">
        <v>776</v>
      </c>
      <c r="B104" s="455" t="str">
        <f>IF('DAP4'!D51&lt;&gt;0,ZAKL_DATA!B33,"")</f>
        <v/>
      </c>
      <c r="C104" s="397" t="s">
        <v>3528</v>
      </c>
      <c r="R104" s="391" t="str">
        <f>IF('2Př'!B29&lt;&gt;"",'2Př'!B29,"")</f>
        <v/>
      </c>
      <c r="S104" s="391" t="str">
        <f>IF('2Př'!J29&lt;&gt;"",'2Př'!J29,"")</f>
        <v/>
      </c>
      <c r="T104" s="391" t="str">
        <f>IF('2Př'!B29&lt;&gt;"",MID('2Př'!B29,1,1),"")</f>
        <v/>
      </c>
      <c r="U104" t="str">
        <f>IF(AND('2Př'!D29&lt;&gt;"",'2Př'!D29&lt;&gt;0),'2Př'!D29,"")</f>
        <v/>
      </c>
      <c r="V104">
        <f>IF('2Př'!H29&lt;&gt;"",'2Př'!H29,"")</f>
        <v>0</v>
      </c>
      <c r="W104" t="str">
        <f>IF(AND('2Př'!F29&lt;&gt;"",'2Př'!F29&lt;&gt;0),'2Př'!F29,"")</f>
        <v/>
      </c>
    </row>
    <row r="105" spans="1:3" ht="14.25">
      <c r="A105" s="390" t="s">
        <v>777</v>
      </c>
      <c r="B105" s="448" t="str">
        <f>IF('DAP4'!D51&lt;&gt;0,ZAKL_DATA!B34,"")</f>
        <v/>
      </c>
      <c r="C105" s="397" t="s">
        <v>3528</v>
      </c>
    </row>
    <row r="106" spans="1:20" ht="14.25">
      <c r="A106" s="390" t="s">
        <v>778</v>
      </c>
      <c r="B106" s="448" t="str">
        <f>IF('DAP4'!D51&lt;&gt;0,ZAKL_DATA!B18,"")</f>
        <v/>
      </c>
      <c r="C106" s="397" t="s">
        <v>3528</v>
      </c>
      <c r="T106" s="458"/>
    </row>
    <row r="107" spans="1:3" ht="14.25">
      <c r="A107" s="390" t="s">
        <v>779</v>
      </c>
      <c r="B107" s="455" t="str">
        <f>IF('DAP4'!D51&lt;&gt;0,IF(ISNUMBER(FIND("-",ZAKL_DATA!B32)),LEFT(ZAKL_DATA!B32,(FIND("-",ZAKL_DATA!B32,1))-1),""),"")</f>
        <v/>
      </c>
      <c r="C107" s="397" t="s">
        <v>3528</v>
      </c>
    </row>
    <row r="108" spans="1:3" ht="14.25">
      <c r="A108" s="390" t="s">
        <v>780</v>
      </c>
      <c r="B108" s="448" t="str">
        <f>IF('DAP4'!D51&lt;&gt;0,ZAKL_DATA!B5,"")</f>
        <v/>
      </c>
      <c r="C108" s="397" t="s">
        <v>3528</v>
      </c>
    </row>
    <row r="109" spans="1:3" ht="14.25">
      <c r="A109" s="390" t="s">
        <v>781</v>
      </c>
      <c r="B109" s="455" t="str">
        <f>IF('DAP4'!D51&lt;&gt;0,ZAKL_DATA!B19,"")</f>
        <v/>
      </c>
      <c r="C109" s="397" t="s">
        <v>3528</v>
      </c>
    </row>
    <row r="110" spans="1:20" ht="14.25">
      <c r="A110" s="390" t="s">
        <v>782</v>
      </c>
      <c r="B110" s="448" t="str">
        <f>IF('DAP4'!D51&lt;&gt;0,'DAP4'!H54,"")</f>
        <v/>
      </c>
      <c r="C110" s="397" t="s">
        <v>3528</v>
      </c>
      <c r="Q110" t="s">
        <v>722</v>
      </c>
      <c r="R110" s="390" t="s">
        <v>732</v>
      </c>
      <c r="S110" s="393" t="s">
        <v>733</v>
      </c>
      <c r="T110" s="393" t="s">
        <v>734</v>
      </c>
    </row>
    <row r="111" spans="1:20" ht="14.25">
      <c r="A111" s="390" t="s">
        <v>783</v>
      </c>
      <c r="B111" s="448" t="str">
        <f>IF('DAP4'!D51&lt;&gt;0,ZAKL_DATA!B7,"")</f>
        <v/>
      </c>
      <c r="C111" s="397" t="s">
        <v>3528</v>
      </c>
      <c r="R111" s="391"/>
      <c r="T111" s="391"/>
    </row>
    <row r="112" spans="1:3" ht="14.25">
      <c r="A112" s="390" t="s">
        <v>784</v>
      </c>
      <c r="B112" s="448" t="str">
        <f>IF('DAP4'!D51&lt;&gt;0,ZAKL_DATA!B16,"")</f>
        <v/>
      </c>
      <c r="C112" s="397" t="s">
        <v>3528</v>
      </c>
    </row>
    <row r="113" spans="17:20" ht="12.75">
      <c r="Q113" s="397" t="s">
        <v>3526</v>
      </c>
      <c r="R113" s="454" t="s">
        <v>3522</v>
      </c>
      <c r="S113" s="450"/>
      <c r="T113" s="450"/>
    </row>
    <row r="120" spans="17:27" ht="14.25">
      <c r="Q120" t="s">
        <v>735</v>
      </c>
      <c r="R120" s="390" t="s">
        <v>737</v>
      </c>
      <c r="S120" s="393" t="s">
        <v>738</v>
      </c>
      <c r="T120" s="393" t="s">
        <v>739</v>
      </c>
      <c r="U120" s="393" t="s">
        <v>740</v>
      </c>
      <c r="V120" s="393" t="s">
        <v>741</v>
      </c>
      <c r="W120" s="393" t="s">
        <v>742</v>
      </c>
      <c r="X120" s="393" t="s">
        <v>743</v>
      </c>
      <c r="Y120" s="393" t="s">
        <v>744</v>
      </c>
      <c r="Z120" s="393" t="s">
        <v>745</v>
      </c>
      <c r="AA120" s="393" t="s">
        <v>746</v>
      </c>
    </row>
    <row r="121" spans="18:27" ht="12.75">
      <c r="R121" s="452">
        <f>'3Př_a'!F17</f>
        <v>0</v>
      </c>
      <c r="S121" s="451">
        <f>'3Př_a'!F14</f>
        <v>0</v>
      </c>
      <c r="T121" s="451">
        <f>'3Př_a'!F12</f>
        <v>0</v>
      </c>
      <c r="U121" s="451">
        <f>'3Př_a'!F13</f>
        <v>0</v>
      </c>
      <c r="V121" s="452">
        <f>'3Př_a'!F16</f>
        <v>0</v>
      </c>
      <c r="W121" s="451">
        <f>'3Př_a'!F12</f>
        <v>0</v>
      </c>
      <c r="X121" s="451">
        <f>'3Př_a'!F13</f>
        <v>0</v>
      </c>
      <c r="Y121" s="448" t="str">
        <f>IF('3Př_a'!C8&lt;&gt;"",'3Př_a'!C8,"")</f>
        <v/>
      </c>
      <c r="Z121" s="455">
        <f>'3Př_a'!F15*100</f>
        <v>0</v>
      </c>
      <c r="AA121" s="452">
        <f>'3Př_a'!F18</f>
        <v>0</v>
      </c>
    </row>
    <row r="123" spans="20:21" ht="12.75">
      <c r="T123" s="454" t="s">
        <v>3523</v>
      </c>
      <c r="U123" s="450"/>
    </row>
    <row r="124" spans="20:20" ht="12.75">
      <c r="T124" s="397" t="s">
        <v>3527</v>
      </c>
    </row>
    <row r="130" spans="17:22" ht="14.25">
      <c r="Q130" t="s">
        <v>736</v>
      </c>
      <c r="R130" s="390" t="s">
        <v>747</v>
      </c>
      <c r="S130" s="393" t="s">
        <v>748</v>
      </c>
      <c r="T130" s="393" t="s">
        <v>749</v>
      </c>
      <c r="U130" s="393" t="s">
        <v>750</v>
      </c>
      <c r="V130" s="393" t="s">
        <v>751</v>
      </c>
    </row>
    <row r="131" spans="18:24" ht="12.75">
      <c r="R131" s="448">
        <f>IF('6Př'!B12&lt;&gt;"",'6Př'!B12,"")</f>
        <v>2017</v>
      </c>
      <c r="S131">
        <f>IF('6Př'!C12&lt;&gt;"",'6Př'!C12,"")</f>
        <v>0</v>
      </c>
      <c r="T131">
        <f>IF('6Př'!D12&lt;&gt;"",'6Př'!D12,"")</f>
        <v>0</v>
      </c>
      <c r="U131">
        <f>IF('6Př'!E12&lt;&gt;"",'6Př'!E12,"")</f>
        <v>0</v>
      </c>
      <c r="V131">
        <f>IF('6Př'!F12&lt;&gt;"",'6Př'!F12,"")</f>
        <v>0</v>
      </c>
      <c r="X131" s="397" t="s">
        <v>3516</v>
      </c>
    </row>
    <row r="132" spans="18:22" ht="12.75">
      <c r="R132" s="391" t="str">
        <f>IF('6Př'!B13&lt;&gt;"",'6Př'!B13,"")</f>
        <v/>
      </c>
      <c r="S132" t="str">
        <f>IF('6Př'!C13&lt;&gt;"",'6Př'!C13,"")</f>
        <v/>
      </c>
      <c r="T132" t="str">
        <f>IF('6Př'!D13&lt;&gt;"",'6Př'!D13,"")</f>
        <v/>
      </c>
      <c r="U132" t="str">
        <f>IF('6Př'!E13&lt;&gt;"",'6Př'!E13,"")</f>
        <v/>
      </c>
      <c r="V132">
        <f>IF('6Př'!F13&lt;&gt;"",'6Př'!F13,"")</f>
        <v>0</v>
      </c>
    </row>
    <row r="133" spans="18:22" ht="12.75">
      <c r="R133" s="391" t="str">
        <f>IF('6Př'!B14&lt;&gt;"",'6Př'!B14,"")</f>
        <v/>
      </c>
      <c r="S133" t="str">
        <f>IF('6Př'!C14&lt;&gt;"",'6Př'!C14,"")</f>
        <v/>
      </c>
      <c r="T133" t="str">
        <f>IF('6Př'!D14&lt;&gt;"",'6Př'!D14,"")</f>
        <v/>
      </c>
      <c r="U133" t="str">
        <f>IF('6Př'!E14&lt;&gt;"",'6Př'!E14,"")</f>
        <v/>
      </c>
      <c r="V133">
        <f>IF('6Př'!F14&lt;&gt;"",'6Př'!F14,"")</f>
        <v>0</v>
      </c>
    </row>
    <row r="134" spans="18:22" ht="12.75">
      <c r="R134" s="391" t="str">
        <f>IF('6Př'!B15&lt;&gt;"",'6Př'!B15,"")</f>
        <v/>
      </c>
      <c r="S134" t="str">
        <f>IF('6Př'!C15&lt;&gt;"",'6Př'!C15,"")</f>
        <v/>
      </c>
      <c r="T134" t="str">
        <f>IF('6Př'!D15&lt;&gt;"",'6Př'!D15,"")</f>
        <v/>
      </c>
      <c r="U134" t="str">
        <f>IF('6Př'!E15&lt;&gt;"",'6Př'!E15,"")</f>
        <v/>
      </c>
      <c r="V134">
        <f>IF('6Př'!F15&lt;&gt;"",'6Př'!F15,"")</f>
        <v>0</v>
      </c>
    </row>
    <row r="135" spans="18:22" ht="12.75">
      <c r="R135" s="391" t="str">
        <f>IF('6Př'!B16&lt;&gt;"",'6Př'!B16,"")</f>
        <v/>
      </c>
      <c r="S135" t="str">
        <f>IF('6Př'!C16&lt;&gt;"",'6Př'!C16,"")</f>
        <v/>
      </c>
      <c r="T135" t="str">
        <f>IF('6Př'!D16&lt;&gt;"",'6Př'!D16,"")</f>
        <v/>
      </c>
      <c r="U135" t="str">
        <f>IF('6Př'!E16&lt;&gt;"",'6Př'!E16,"")</f>
        <v/>
      </c>
      <c r="V135">
        <f>IF('6Př'!F16&lt;&gt;"",'6Př'!F16,"")</f>
        <v>0</v>
      </c>
    </row>
    <row r="136" spans="18:22" ht="12.75">
      <c r="R136" s="391" t="str">
        <f>IF('6Př'!B17&lt;&gt;"",'6Př'!B17,"")</f>
        <v/>
      </c>
      <c r="S136" t="str">
        <f>IF('6Př'!C17&lt;&gt;"",'6Př'!C17,"")</f>
        <v/>
      </c>
      <c r="T136" t="str">
        <f>IF('6Př'!D17&lt;&gt;"",'6Př'!D17,"")</f>
        <v/>
      </c>
      <c r="U136" t="str">
        <f>IF('6Př'!E17&lt;&gt;"",'6Př'!E17,"")</f>
        <v/>
      </c>
      <c r="V136">
        <f>IF('6Př'!F17&lt;&gt;"",'6Př'!F17,"")</f>
        <v>0</v>
      </c>
    </row>
    <row r="137" spans="18:22" ht="12.75">
      <c r="R137" s="391" t="str">
        <f>IF('6Př'!B18&lt;&gt;"",'6Př'!B18,"")</f>
        <v/>
      </c>
      <c r="S137" t="str">
        <f>IF('6Př'!C18&lt;&gt;"",'6Př'!C18,"")</f>
        <v/>
      </c>
      <c r="T137" t="str">
        <f>IF('6Př'!D18&lt;&gt;"",'6Př'!D18,"")</f>
        <v/>
      </c>
      <c r="U137" t="str">
        <f>IF('6Př'!E18&lt;&gt;"",'6Př'!E18,"")</f>
        <v/>
      </c>
      <c r="V137">
        <f>IF('6Př'!F18&lt;&gt;"",'6Př'!F18,"")</f>
        <v>0</v>
      </c>
    </row>
    <row r="138" spans="18:22" ht="12.75">
      <c r="R138" s="391" t="str">
        <f>IF('6Př'!B19&lt;&gt;"",'6Př'!B19,"")</f>
        <v/>
      </c>
      <c r="S138" t="str">
        <f>IF('6Př'!C19&lt;&gt;"",'6Př'!C19,"")</f>
        <v/>
      </c>
      <c r="T138" t="str">
        <f>IF('6Př'!D19&lt;&gt;"",'6Př'!D19,"")</f>
        <v/>
      </c>
      <c r="U138" t="str">
        <f>IF('6Př'!E19&lt;&gt;"",'6Př'!E19,"")</f>
        <v/>
      </c>
      <c r="V138">
        <f>IF('6Př'!F19&lt;&gt;"",'6Př'!F19,"")</f>
        <v>0</v>
      </c>
    </row>
    <row r="140" spans="18:22" ht="12.75">
      <c r="R140" s="397" t="s">
        <v>3516</v>
      </c>
      <c r="S140" s="397" t="s">
        <v>3516</v>
      </c>
      <c r="T140" s="397" t="s">
        <v>3516</v>
      </c>
      <c r="U140" s="397" t="s">
        <v>3516</v>
      </c>
      <c r="V140" s="397" t="s">
        <v>3516</v>
      </c>
    </row>
    <row r="143" spans="17:55" ht="14.25">
      <c r="Q143" t="s">
        <v>785</v>
      </c>
      <c r="R143" s="390" t="s">
        <v>787</v>
      </c>
      <c r="S143" s="393" t="s">
        <v>788</v>
      </c>
      <c r="T143" s="393" t="s">
        <v>789</v>
      </c>
      <c r="U143" s="393" t="s">
        <v>790</v>
      </c>
      <c r="V143" s="393" t="s">
        <v>791</v>
      </c>
      <c r="W143" s="390" t="s">
        <v>3707</v>
      </c>
      <c r="AL143" s="390"/>
      <c r="AM143" s="390"/>
      <c r="AN143" s="390"/>
      <c r="AO143" s="390"/>
      <c r="AP143" s="390"/>
      <c r="AQ143" s="390"/>
      <c r="AR143" s="390"/>
      <c r="AS143" s="390"/>
      <c r="AT143" s="390"/>
      <c r="AU143" s="390"/>
      <c r="AV143" s="390"/>
      <c r="AW143" s="390"/>
      <c r="AX143" s="390"/>
      <c r="AY143" s="390"/>
      <c r="AZ143" s="390"/>
      <c r="BA143" s="390"/>
      <c r="BB143" s="390"/>
      <c r="BC143" s="390"/>
    </row>
    <row r="144" spans="18:18" ht="12.75">
      <c r="R144" s="451"/>
    </row>
    <row r="146" spans="18:22" ht="12.75">
      <c r="R146" s="454" t="s">
        <v>3524</v>
      </c>
      <c r="S146" s="450"/>
      <c r="T146" s="450"/>
      <c r="U146" s="450"/>
      <c r="V146" s="450"/>
    </row>
    <row r="153" spans="17:22" ht="14.25">
      <c r="Q153" t="s">
        <v>786</v>
      </c>
      <c r="R153" s="390" t="s">
        <v>792</v>
      </c>
      <c r="S153" s="393" t="s">
        <v>793</v>
      </c>
      <c r="T153" s="393" t="s">
        <v>794</v>
      </c>
      <c r="U153" s="393" t="s">
        <v>795</v>
      </c>
      <c r="V153" s="393" t="s">
        <v>796</v>
      </c>
    </row>
    <row r="154" spans="18:22" ht="12.75">
      <c r="R154" t="str">
        <f>IF(Př_b!E10&lt;&gt;"",Př_b!E10,"")</f>
        <v/>
      </c>
      <c r="S154" s="448" t="str">
        <f>IF(AND(Př_b!B10&lt;&gt;"",Př_b!B10&lt;&gt;0),Př_b!B10,"")</f>
        <v/>
      </c>
      <c r="T154" s="448" t="str">
        <f>IF(AND(Př_b!C10&lt;&gt;"",Př_b!C10&lt;&gt;0),VLOOKUP(Př_b!C10,FU!$J$3:$K$253,2,FALSE),"")</f>
        <v/>
      </c>
      <c r="U154" t="str">
        <f>IF(Př_b!F10&lt;&gt;"",Př_b!F10,"")</f>
        <v/>
      </c>
      <c r="V154" s="397" t="str">
        <f>IF(Př_b!D10&lt;&gt;"",Př_b!D10,"")</f>
        <v/>
      </c>
    </row>
    <row r="155" spans="18:22" ht="12.75">
      <c r="R155" t="str">
        <f>IF(Př_b!E11&lt;&gt;"",Př_b!E11,"")</f>
        <v/>
      </c>
      <c r="S155" s="391" t="str">
        <f>IF(AND(Př_b!B11&lt;&gt;"",Př_b!B11&lt;&gt;0),Př_b!B11,"")</f>
        <v/>
      </c>
      <c r="T155" s="391" t="str">
        <f>IF(AND(Př_b!C11&lt;&gt;"",Př_b!C11&lt;&gt;0),VLOOKUP(Př_b!C11,FU!$J$3:$K$253,2,FALSE),"")</f>
        <v/>
      </c>
      <c r="U155" t="str">
        <f>IF(Př_b!F11&lt;&gt;"",Př_b!F11,"")</f>
        <v/>
      </c>
      <c r="V155" t="str">
        <f>IF(Př_b!D11&lt;&gt;"",Př_b!D11,"")</f>
        <v/>
      </c>
    </row>
    <row r="156" spans="18:22" ht="12.75">
      <c r="R156" t="str">
        <f>IF(Př_b!E12&lt;&gt;"",Př_b!E12,"")</f>
        <v/>
      </c>
      <c r="S156" s="391" t="str">
        <f>IF(AND(Př_b!B12&lt;&gt;"",Př_b!B12&lt;&gt;0),Př_b!B12,"")</f>
        <v/>
      </c>
      <c r="T156" s="391" t="str">
        <f>IF(AND(Př_b!C12&lt;&gt;"",Př_b!C12&lt;&gt;0),VLOOKUP(Př_b!C12,FU!$J$3:$K$253,2,FALSE),"")</f>
        <v/>
      </c>
      <c r="U156" t="str">
        <f>IF(Př_b!F12&lt;&gt;"",Př_b!F12,"")</f>
        <v/>
      </c>
      <c r="V156" t="str">
        <f>IF(Př_b!D12&lt;&gt;"",Př_b!D12,"")</f>
        <v/>
      </c>
    </row>
    <row r="157" spans="18:22" ht="12.75">
      <c r="R157" t="str">
        <f>IF(Př_b!E13&lt;&gt;"",Př_b!E13,"")</f>
        <v/>
      </c>
      <c r="S157" s="391" t="str">
        <f>IF(AND(Př_b!B13&lt;&gt;"",Př_b!B13&lt;&gt;0),Př_b!B13,"")</f>
        <v/>
      </c>
      <c r="T157" s="391" t="str">
        <f>IF(AND(Př_b!C13&lt;&gt;"",Př_b!C13&lt;&gt;0),VLOOKUP(Př_b!C13,FU!$J$3:$K$253,2,FALSE),"")</f>
        <v/>
      </c>
      <c r="U157" t="str">
        <f>IF(Př_b!F13&lt;&gt;"",Př_b!F13,"")</f>
        <v/>
      </c>
      <c r="V157" t="str">
        <f>IF(Př_b!D13&lt;&gt;"",Př_b!D13,"")</f>
        <v/>
      </c>
    </row>
    <row r="158" spans="18:22" ht="12.75">
      <c r="R158" t="str">
        <f>IF(Př_b!E14&lt;&gt;"",Př_b!E14,"")</f>
        <v/>
      </c>
      <c r="S158" s="391" t="str">
        <f>IF(AND(Př_b!B14&lt;&gt;"",Př_b!B14&lt;&gt;0),Př_b!B14,"")</f>
        <v/>
      </c>
      <c r="T158" s="391" t="str">
        <f>IF(AND(Př_b!C14&lt;&gt;"",Př_b!C14&lt;&gt;0),VLOOKUP(Př_b!C14,FU!$J$3:$K$253,2,FALSE),"")</f>
        <v/>
      </c>
      <c r="U158" t="str">
        <f>IF(Př_b!F14&lt;&gt;"",Př_b!F14,"")</f>
        <v/>
      </c>
      <c r="V158" t="str">
        <f>IF(Př_b!D14&lt;&gt;"",Př_b!D14,"")</f>
        <v/>
      </c>
    </row>
    <row r="159" spans="18:22" ht="12.75">
      <c r="R159" t="str">
        <f>IF(Př_b!E15&lt;&gt;"",Př_b!E15,"")</f>
        <v/>
      </c>
      <c r="S159" s="391" t="str">
        <f>IF(AND(Př_b!B15&lt;&gt;"",Př_b!B15&lt;&gt;0),Př_b!B15,"")</f>
        <v/>
      </c>
      <c r="T159" s="391" t="str">
        <f>IF(AND(Př_b!C15&lt;&gt;"",Př_b!C15&lt;&gt;0),VLOOKUP(Př_b!C15,FU!$J$3:$K$253,2,FALSE),"")</f>
        <v/>
      </c>
      <c r="U159" t="str">
        <f>IF(Př_b!F15&lt;&gt;"",Př_b!F15,"")</f>
        <v/>
      </c>
      <c r="V159" t="str">
        <f>IF(Př_b!D15&lt;&gt;"",Př_b!D15,"")</f>
        <v/>
      </c>
    </row>
    <row r="160" spans="18:22" ht="12.75">
      <c r="R160" t="str">
        <f>IF(Př_b!E16&lt;&gt;"",Př_b!E16,"")</f>
        <v/>
      </c>
      <c r="S160" s="391" t="str">
        <f>IF(AND(Př_b!B16&lt;&gt;"",Př_b!B16&lt;&gt;0),Př_b!B16,"")</f>
        <v/>
      </c>
      <c r="T160" s="391" t="str">
        <f>IF(AND(Př_b!C16&lt;&gt;"",Př_b!C16&lt;&gt;0),VLOOKUP(Př_b!C16,FU!$J$3:$K$253,2,FALSE),"")</f>
        <v/>
      </c>
      <c r="U160" t="str">
        <f>IF(Př_b!F16&lt;&gt;"",Př_b!F16,"")</f>
        <v/>
      </c>
      <c r="V160" t="str">
        <f>IF(Př_b!D16&lt;&gt;"",Př_b!D16,"")</f>
        <v/>
      </c>
    </row>
    <row r="161" spans="18:22" ht="12.75">
      <c r="R161" t="str">
        <f>IF(Př_b!E17&lt;&gt;"",Př_b!E17,"")</f>
        <v/>
      </c>
      <c r="S161" s="391" t="str">
        <f>IF(AND(Př_b!B17&lt;&gt;"",Př_b!B17&lt;&gt;0),Př_b!B17,"")</f>
        <v/>
      </c>
      <c r="T161" s="391" t="str">
        <f>IF(AND(Př_b!C17&lt;&gt;"",Př_b!C17&lt;&gt;0),VLOOKUP(Př_b!C17,FU!$J$3:$K$253,2,FALSE),"")</f>
        <v/>
      </c>
      <c r="U161" t="str">
        <f>IF(Př_b!F17&lt;&gt;"",Př_b!F17,"")</f>
        <v/>
      </c>
      <c r="V161" t="str">
        <f>IF(Př_b!D17&lt;&gt;"",Př_b!D17,"")</f>
        <v/>
      </c>
    </row>
    <row r="162" spans="18:22" ht="12.75">
      <c r="R162" t="str">
        <f>IF(Př_b!E18&lt;&gt;"",Př_b!E18,"")</f>
        <v/>
      </c>
      <c r="S162" s="391" t="str">
        <f>IF(AND(Př_b!B18&lt;&gt;"",Př_b!B18&lt;&gt;0),Př_b!B18,"")</f>
        <v/>
      </c>
      <c r="T162" s="391" t="str">
        <f>IF(AND(Př_b!C18&lt;&gt;"",Př_b!C18&lt;&gt;0),VLOOKUP(Př_b!C18,FU!$J$3:$K$253,2,FALSE),"")</f>
        <v/>
      </c>
      <c r="U162" t="str">
        <f>IF(Př_b!F18&lt;&gt;"",Př_b!F18,"")</f>
        <v/>
      </c>
      <c r="V162" t="str">
        <f>IF(Př_b!D18&lt;&gt;"",Př_b!D18,"")</f>
        <v/>
      </c>
    </row>
    <row r="163" spans="18:22" ht="12.75">
      <c r="R163" t="str">
        <f>IF(Př_b!E19&lt;&gt;"",Př_b!E19,"")</f>
        <v/>
      </c>
      <c r="S163" s="391" t="str">
        <f>IF(AND(Př_b!B19&lt;&gt;"",Př_b!B19&lt;&gt;0),Př_b!B19,"")</f>
        <v/>
      </c>
      <c r="T163" s="391" t="str">
        <f>IF(AND(Př_b!C19&lt;&gt;"",Př_b!C19&lt;&gt;0),VLOOKUP(Př_b!C19,FU!$J$3:$K$253,2,FALSE),"")</f>
        <v/>
      </c>
      <c r="U163" t="str">
        <f>IF(Př_b!F19&lt;&gt;"",Př_b!F19,"")</f>
        <v/>
      </c>
      <c r="V163" t="str">
        <f>IF(Př_b!D19&lt;&gt;"",Př_b!D19,"")</f>
        <v/>
      </c>
    </row>
    <row r="164" spans="18:22" ht="12.75">
      <c r="R164" t="str">
        <f>IF(Př_b!E20&lt;&gt;"",Př_b!E20,"")</f>
        <v/>
      </c>
      <c r="S164" s="391" t="str">
        <f>IF(AND(Př_b!B20&lt;&gt;"",Př_b!B20&lt;&gt;0),Př_b!B20,"")</f>
        <v/>
      </c>
      <c r="T164" s="391" t="str">
        <f>IF(AND(Př_b!C20&lt;&gt;"",Př_b!C20&lt;&gt;0),VLOOKUP(Př_b!C20,FU!$J$3:$K$253,2,FALSE),"")</f>
        <v/>
      </c>
      <c r="U164" t="str">
        <f>IF(Př_b!F20&lt;&gt;"",Př_b!F20,"")</f>
        <v/>
      </c>
      <c r="V164" t="str">
        <f>IF(Př_b!D20&lt;&gt;"",Př_b!D20,"")</f>
        <v/>
      </c>
    </row>
    <row r="165" spans="18:22" ht="12.75">
      <c r="R165" t="str">
        <f>IF(Př_b!E21&lt;&gt;"",Př_b!E21,"")</f>
        <v/>
      </c>
      <c r="S165" s="391" t="str">
        <f>IF(AND(Př_b!B21&lt;&gt;"",Př_b!B21&lt;&gt;0),Př_b!B21,"")</f>
        <v/>
      </c>
      <c r="T165" s="391" t="str">
        <f>IF(AND(Př_b!C21&lt;&gt;"",Př_b!C21&lt;&gt;0),VLOOKUP(Př_b!C21,FU!$J$3:$K$253,2,FALSE),"")</f>
        <v/>
      </c>
      <c r="U165" t="str">
        <f>IF(Př_b!F21&lt;&gt;"",Př_b!F21,"")</f>
        <v/>
      </c>
      <c r="V165" t="str">
        <f>IF(Př_b!D21&lt;&gt;"",Př_b!D21,"")</f>
        <v/>
      </c>
    </row>
    <row r="166" spans="18:22" ht="12.75">
      <c r="R166" t="str">
        <f>IF(Př_b!E22&lt;&gt;"",Př_b!E22,"")</f>
        <v/>
      </c>
      <c r="S166" s="391" t="str">
        <f>IF(AND(Př_b!B22&lt;&gt;"",Př_b!B22&lt;&gt;0),Př_b!B22,"")</f>
        <v/>
      </c>
      <c r="T166" s="391" t="str">
        <f>IF(AND(Př_b!C22&lt;&gt;"",Př_b!C22&lt;&gt;0),VLOOKUP(Př_b!C22,FU!$J$3:$K$253,2,FALSE),"")</f>
        <v/>
      </c>
      <c r="U166" t="str">
        <f>IF(Př_b!F22&lt;&gt;"",Př_b!F22,"")</f>
        <v/>
      </c>
      <c r="V166" t="str">
        <f>IF(Př_b!D22&lt;&gt;"",Př_b!D22,"")</f>
        <v/>
      </c>
    </row>
    <row r="167" spans="18:22" ht="12.75">
      <c r="R167" t="str">
        <f>IF(Př_b!E23&lt;&gt;"",Př_b!E23,"")</f>
        <v/>
      </c>
      <c r="S167" s="391" t="str">
        <f>IF(AND(Př_b!B23&lt;&gt;"",Př_b!B23&lt;&gt;0),Př_b!B23,"")</f>
        <v/>
      </c>
      <c r="T167" s="391" t="str">
        <f>IF(AND(Př_b!C23&lt;&gt;"",Př_b!C23&lt;&gt;0),VLOOKUP(Př_b!C23,FU!$J$3:$K$253,2,FALSE),"")</f>
        <v/>
      </c>
      <c r="U167" t="str">
        <f>IF(Př_b!F23&lt;&gt;"",Př_b!F23,"")</f>
        <v/>
      </c>
      <c r="V167" t="str">
        <f>IF(Př_b!D23&lt;&gt;"",Př_b!D23,"")</f>
        <v/>
      </c>
    </row>
    <row r="168" spans="18:22" ht="12.75">
      <c r="R168" t="str">
        <f>IF(Př_b!E24&lt;&gt;"",Př_b!E24,"")</f>
        <v/>
      </c>
      <c r="S168" s="391" t="str">
        <f>IF(AND(Př_b!B24&lt;&gt;"",Př_b!B24&lt;&gt;0),Př_b!B24,"")</f>
        <v/>
      </c>
      <c r="T168" s="391" t="str">
        <f>IF(AND(Př_b!C24&lt;&gt;"",Př_b!C24&lt;&gt;0),VLOOKUP(Př_b!C24,FU!$J$3:$K$253,2,FALSE),"")</f>
        <v/>
      </c>
      <c r="U168" t="str">
        <f>IF(Př_b!F24&lt;&gt;"",Př_b!F24,"")</f>
        <v/>
      </c>
      <c r="V168" t="str">
        <f>IF(Př_b!D24&lt;&gt;"",Př_b!D24,"")</f>
        <v/>
      </c>
    </row>
    <row r="169" spans="18:22" ht="12.75">
      <c r="R169" t="str">
        <f>IF(Př_b!E25&lt;&gt;"",Př_b!E25,"")</f>
        <v/>
      </c>
      <c r="S169" s="391" t="str">
        <f>IF(AND(Př_b!B25&lt;&gt;"",Př_b!B25&lt;&gt;0),Př_b!B25,"")</f>
        <v/>
      </c>
      <c r="T169" s="391" t="str">
        <f>IF(AND(Př_b!C25&lt;&gt;"",Př_b!C25&lt;&gt;0),VLOOKUP(Př_b!C25,FU!$J$3:$K$253,2,FALSE),"")</f>
        <v/>
      </c>
      <c r="U169" t="str">
        <f>IF(Př_b!F25&lt;&gt;"",Př_b!F25,"")</f>
        <v/>
      </c>
      <c r="V169" t="str">
        <f>IF(Př_b!D25&lt;&gt;"",Př_b!D25,"")</f>
        <v/>
      </c>
    </row>
    <row r="171" spans="18:22" ht="12.75">
      <c r="R171" s="397" t="s">
        <v>3516</v>
      </c>
      <c r="S171" s="397" t="s">
        <v>3516</v>
      </c>
      <c r="T171" s="397" t="s">
        <v>3516</v>
      </c>
      <c r="U171" s="397" t="s">
        <v>3516</v>
      </c>
      <c r="V171" s="397" t="s">
        <v>3516</v>
      </c>
    </row>
    <row r="176" spans="28:28" ht="12.75">
      <c r="AB176">
        <v>1</v>
      </c>
    </row>
    <row r="177" spans="17:55" ht="14.25">
      <c r="Q177" t="s">
        <v>797</v>
      </c>
      <c r="R177" s="390" t="s">
        <v>799</v>
      </c>
      <c r="S177" s="393" t="s">
        <v>800</v>
      </c>
      <c r="T177" s="393" t="s">
        <v>801</v>
      </c>
      <c r="U177" s="393" t="s">
        <v>802</v>
      </c>
      <c r="V177" s="393" t="s">
        <v>803</v>
      </c>
      <c r="W177" s="393" t="s">
        <v>804</v>
      </c>
      <c r="Y177" s="397" t="s">
        <v>3862</v>
      </c>
      <c r="Z177" s="397" t="s">
        <v>3863</v>
      </c>
      <c r="AA177" s="397" t="s">
        <v>3864</v>
      </c>
      <c r="AB177" s="390" t="s">
        <v>799</v>
      </c>
      <c r="AC177" s="393" t="s">
        <v>800</v>
      </c>
      <c r="AD177" s="393" t="s">
        <v>805</v>
      </c>
      <c r="AE177" s="393" t="s">
        <v>806</v>
      </c>
      <c r="AI177" t="s">
        <v>798</v>
      </c>
      <c r="AJ177" s="390" t="s">
        <v>799</v>
      </c>
      <c r="AK177" s="393" t="s">
        <v>800</v>
      </c>
      <c r="AL177" s="393" t="s">
        <v>805</v>
      </c>
      <c r="AM177" s="393" t="s">
        <v>806</v>
      </c>
      <c r="AP177" t="s">
        <v>807</v>
      </c>
      <c r="AQ177" s="390" t="s">
        <v>799</v>
      </c>
      <c r="AR177" s="393" t="s">
        <v>800</v>
      </c>
      <c r="AS177" s="393" t="s">
        <v>805</v>
      </c>
      <c r="AT177" s="393" t="s">
        <v>806</v>
      </c>
      <c r="AV177" s="397" t="s">
        <v>3862</v>
      </c>
      <c r="AW177" s="397" t="s">
        <v>3863</v>
      </c>
      <c r="AX177" s="397" t="s">
        <v>3864</v>
      </c>
      <c r="AY177" t="s">
        <v>808</v>
      </c>
      <c r="AZ177" s="390" t="s">
        <v>799</v>
      </c>
      <c r="BA177" s="393" t="s">
        <v>800</v>
      </c>
      <c r="BB177" s="393" t="s">
        <v>805</v>
      </c>
      <c r="BC177" s="393" t="s">
        <v>806</v>
      </c>
    </row>
    <row r="178" spans="17:51" ht="12.75">
      <c r="Q178">
        <v>1</v>
      </c>
      <c r="R178">
        <f t="shared" si="1" ref="R178:R209">$Q$178</f>
        <v>1</v>
      </c>
      <c r="S178" s="453">
        <f t="shared" si="2" ref="S178:S241">IF($B$38="P",Y178,IF($B$38="Z",IF(Z178&lt;&gt;"",Z178,""),IF($B$38="M",IF(AA178&lt;&gt;"",AA178,""),Y178)))</f>
        <v>1</v>
      </c>
      <c r="T178" s="683" t="str">
        <f>IF($B$38="P",IF(Účetní_závěrka!D12&lt;&gt;"",Účetní_závěrka!D12,""),IF($B$38="Z",IF(Účetní_závěrka!D12&lt;&gt;"",Účetní_závěrka!D12,""),IF($B$38="M",IF(Účetní_závěrka!D12&lt;&gt;"",Účetní_závěrka!D12,""),"")))</f>
        <v/>
      </c>
      <c r="U178" s="683" t="str">
        <f>IF($B$38="P",IF(Účetní_závěrka!E12&lt;&gt;"",ABS(Účetní_závěrka!E12),""),IF($B$38="Z",IF(Účetní_závěrka!E12&lt;&gt;"",ABS(Účetní_závěrka!E12),""),IF($B$38="M",IF(Účetní_závěrka!E12&lt;&gt;"",ABS(Účetní_závěrka!E12),""),"")))</f>
        <v/>
      </c>
      <c r="V178" s="683" t="str">
        <f>IF($B$38="P",IF(Účetní_závěrka!F12&lt;&gt;"",Účetní_závěrka!F12,""),IF($B$38="Z",IF(Účetní_závěrka!F12&lt;&gt;"",Účetní_závěrka!F12,""),IF($B$38="M",IF(Účetní_závěrka!F12&lt;&gt;"",Účetní_závěrka!F12,""),"")))</f>
        <v/>
      </c>
      <c r="W178" s="683" t="str">
        <f>IF($B$38="P",IF(Účetní_závěrka!G12&lt;&gt;"",Účetní_závěrka!G12,""),IF($B$38="Z",IF(Účetní_závěrka!G12&lt;&gt;"",Účetní_závěrka!G12,""),IF($B$38="M",IF(Účetní_závěrka!G12&lt;&gt;"",Účetní_závěrka!G12,""),"")))</f>
        <v/>
      </c>
      <c r="Y178">
        <v>1</v>
      </c>
      <c r="Z178">
        <v>1</v>
      </c>
      <c r="AA178">
        <v>1</v>
      </c>
      <c r="AB178">
        <f t="shared" si="3" ref="AB178:AB209">$AB$176</f>
        <v>1</v>
      </c>
      <c r="AC178" s="453">
        <f>IF($B$38="P",AG178,IF(AH178&lt;&gt;"",AH178,""))</f>
        <v>1</v>
      </c>
      <c r="AD178" s="683" t="str">
        <f>IF($B$38="P",IF(Účetní_závěrka!E92&lt;&gt;"",Účetní_závěrka!E92,""),IF(Účetní_závěrka!E92&lt;&gt;"",Účetní_závěrka!E92,""))</f>
        <v/>
      </c>
      <c r="AE178" s="683" t="str">
        <f>IF($B$38="P",IF(Účetní_závěrka!D92&lt;&gt;"",Účetní_závěrka!D92,""),IF(Účetní_závěrka!D92&lt;&gt;"",Účetní_závěrka!D92,""))</f>
        <v/>
      </c>
      <c r="AG178">
        <v>1</v>
      </c>
      <c r="AH178">
        <v>1</v>
      </c>
      <c r="AI178">
        <v>1</v>
      </c>
      <c r="AP178">
        <v>1</v>
      </c>
      <c r="AQ178">
        <f t="shared" si="4" ref="AQ178:AQ209">$AP$178</f>
        <v>1</v>
      </c>
      <c r="AR178" s="682">
        <f t="shared" si="5" ref="AR178:AR241">IF($B$38="P",AV178,IF($B$38="Z",IF(AW178&lt;&gt;"",AW178,""),IF($B$38="M",IF(AX178&lt;&gt;"",AX178,""),AV178)))</f>
        <v>1</v>
      </c>
      <c r="AS178" s="683" t="str">
        <f>IF($B$38="P",IF(Účetní_závěrka!L12&lt;&gt;"",Účetní_závěrka!L12,""),IF($B$38="Z",IF(Účetní_závěrka!L12&lt;&gt;"",Účetní_závěrka!L12,""),IF($B$38="M",IF(Účetní_závěrka!L12&lt;&gt;"",Účetní_závěrka!L12,""),"")))</f>
        <v/>
      </c>
      <c r="AT178" s="683" t="str">
        <f>IF($B$38="P",IF(Účetní_závěrka!K12&lt;&gt;"",Účetní_závěrka!K12,""),IF($B$38="Z",IF(Účetní_závěrka!K12&lt;&gt;"",Účetní_závěrka!K12,""),IF($B$38="M",IF(Účetní_závěrka!K12&lt;&gt;"",Účetní_závěrka!K12,""),"")))</f>
        <v/>
      </c>
      <c r="AV178">
        <v>1</v>
      </c>
      <c r="AW178">
        <v>1</v>
      </c>
      <c r="AX178">
        <v>1</v>
      </c>
      <c r="AY178">
        <v>1</v>
      </c>
    </row>
    <row r="179" spans="18:50" ht="12.75">
      <c r="R179">
        <f t="shared" si="1"/>
        <v>1</v>
      </c>
      <c r="S179" s="682">
        <f t="shared" si="2"/>
        <v>2</v>
      </c>
      <c r="T179" s="683" t="str">
        <f>IF($B$38="P",IF(Účetní_závěrka!D13&lt;&gt;"",Účetní_závěrka!D13,""),IF($B$38="Z",IF(Účetní_závěrka!D13&lt;&gt;"",Účetní_závěrka!D13,""),IF($B$38="M",IF(Účetní_závěrka!D13&lt;&gt;"",Účetní_závěrka!D13,""),"")))</f>
        <v/>
      </c>
      <c r="U179" s="683" t="str">
        <f>IF($B$38="P",IF(Účetní_závěrka!E13&lt;&gt;"",ABS(Účetní_závěrka!E13),""),IF($B$38="Z",IF(Účetní_závěrka!E13&lt;&gt;"",ABS(Účetní_závěrka!E13),""),IF($B$38="M",IF(Účetní_závěrka!E13&lt;&gt;"",ABS(Účetní_závěrka!E13),""),"")))</f>
        <v/>
      </c>
      <c r="V179" s="683" t="str">
        <f>IF($B$38="P",IF(Účetní_závěrka!F13&lt;&gt;"",Účetní_závěrka!F13,""),IF($B$38="Z",IF(Účetní_závěrka!F13&lt;&gt;"",Účetní_závěrka!F13,""),IF($B$38="M",IF(Účetní_závěrka!F13&lt;&gt;"",Účetní_závěrka!F13,""),"")))</f>
        <v/>
      </c>
      <c r="W179" s="683" t="str">
        <f>IF($B$38="P",IF(Účetní_závěrka!G13&lt;&gt;"",Účetní_závěrka!G13,""),IF($B$38="Z",IF(Účetní_závěrka!G13&lt;&gt;"",Účetní_závěrka!G13,""),IF($B$38="M",IF(Účetní_závěrka!G13&lt;&gt;"",Účetní_závěrka!G13,""),"")))</f>
        <v/>
      </c>
      <c r="Y179">
        <v>2</v>
      </c>
      <c r="Z179">
        <v>2</v>
      </c>
      <c r="AA179">
        <v>2</v>
      </c>
      <c r="AB179">
        <f t="shared" si="3"/>
        <v>1</v>
      </c>
      <c r="AC179" s="682">
        <f t="shared" si="6" ref="AC179:AC233">IF($B$38="P",AG179,IF(AH179&lt;&gt;"",AH179,""))</f>
        <v>2</v>
      </c>
      <c r="AD179" s="683" t="str">
        <f>IF($B$38="P",IF(Účetní_závěrka!E93&lt;&gt;"",Účetní_závěrka!E93,""),IF(Účetní_závěrka!E93&lt;&gt;"",Účetní_závěrka!E93,""))</f>
        <v/>
      </c>
      <c r="AE179" s="683" t="str">
        <f>IF($B$38="P",IF(Účetní_závěrka!D93&lt;&gt;"",Účetní_závěrka!D93,""),IF(Účetní_závěrka!D93&lt;&gt;"",Účetní_závěrka!D93,""))</f>
        <v/>
      </c>
      <c r="AG179">
        <v>2</v>
      </c>
      <c r="AH179">
        <v>2</v>
      </c>
      <c r="AQ179">
        <f t="shared" si="4"/>
        <v>1</v>
      </c>
      <c r="AR179" s="453">
        <f t="shared" si="5"/>
        <v>2</v>
      </c>
      <c r="AS179" s="683" t="str">
        <f>IF($B$38="P",IF(Účetní_závěrka!L13&lt;&gt;"",Účetní_závěrka!L13,""),IF($B$38="Z",IF(Účetní_závěrka!L13&lt;&gt;"",Účetní_závěrka!L13,""),IF($B$38="M",IF(Účetní_závěrka!L13&lt;&gt;"",Účetní_závěrka!L13,""),"")))</f>
        <v/>
      </c>
      <c r="AT179" s="683" t="str">
        <f>IF($B$38="P",IF(Účetní_závěrka!K13&lt;&gt;"",Účetní_závěrka!K13,""),IF($B$38="Z",IF(Účetní_závěrka!K13&lt;&gt;"",Účetní_závěrka!K13,""),IF($B$38="M",IF(Účetní_závěrka!K13&lt;&gt;"",Účetní_závěrka!K13,""),"")))</f>
        <v/>
      </c>
      <c r="AV179">
        <v>2</v>
      </c>
      <c r="AW179">
        <v>2</v>
      </c>
      <c r="AX179">
        <v>2</v>
      </c>
    </row>
    <row r="180" spans="17:50" ht="12.75">
      <c r="Q180" s="2"/>
      <c r="R180" s="458">
        <f t="shared" si="1"/>
        <v>1</v>
      </c>
      <c r="S180" s="682">
        <f t="shared" si="2"/>
        <v>3</v>
      </c>
      <c r="T180" s="683" t="str">
        <f>IF($B$38="P",IF(Účetní_závěrka!D14&lt;&gt;"",Účetní_závěrka!D14,""),IF($B$38="Z",IF(Účetní_závěrka!D14&lt;&gt;"",Účetní_závěrka!D14,""),IF($B$38="M",IF(Účetní_závěrka!D14&lt;&gt;"",Účetní_závěrka!D14,""),"")))</f>
        <v/>
      </c>
      <c r="U180" s="683" t="str">
        <f>IF($B$38="P",IF(Účetní_závěrka!E14&lt;&gt;"",ABS(Účetní_závěrka!E14),""),IF($B$38="Z",IF(Účetní_závěrka!E14&lt;&gt;"",ABS(Účetní_závěrka!E14),""),IF($B$38="M",IF(Účetní_závěrka!E14&lt;&gt;"",ABS(Účetní_závěrka!E14),""),"")))</f>
        <v/>
      </c>
      <c r="V180" s="683" t="str">
        <f>IF($B$38="P",IF(Účetní_závěrka!F14&lt;&gt;"",Účetní_závěrka!F14,""),IF($B$38="Z",IF(Účetní_závěrka!F14&lt;&gt;"",Účetní_závěrka!F14,""),IF($B$38="M",IF(Účetní_závěrka!F14&lt;&gt;"",Účetní_závěrka!F14,""),"")))</f>
        <v/>
      </c>
      <c r="W180" s="683" t="str">
        <f>IF($B$38="P",IF(Účetní_závěrka!G14&lt;&gt;"",Účetní_závěrka!G14,""),IF($B$38="Z",IF(Účetní_závěrka!G14&lt;&gt;"",Účetní_závěrka!G14,""),IF($B$38="M",IF(Účetní_závěrka!G14&lt;&gt;"",Účetní_závěrka!G14,""),"")))</f>
        <v/>
      </c>
      <c r="Y180">
        <v>3</v>
      </c>
      <c r="Z180">
        <v>3</v>
      </c>
      <c r="AA180">
        <v>3</v>
      </c>
      <c r="AB180">
        <f t="shared" si="3"/>
        <v>1</v>
      </c>
      <c r="AC180" s="682">
        <f t="shared" si="6"/>
        <v>3</v>
      </c>
      <c r="AD180" s="683" t="str">
        <f>IF($B$38="P",IF(Účetní_závěrka!E94&lt;&gt;"",Účetní_závěrka!E94,""),IF(Účetní_závěrka!E94&lt;&gt;"",Účetní_závěrka!E94,""))</f>
        <v/>
      </c>
      <c r="AE180" s="683" t="str">
        <f>IF($B$38="P",IF(Účetní_závěrka!D94&lt;&gt;"",Účetní_závěrka!D94,""),IF(Účetní_závěrka!D94&lt;&gt;"",Účetní_závěrka!D94,""))</f>
        <v/>
      </c>
      <c r="AG180">
        <v>3</v>
      </c>
      <c r="AH180">
        <v>3</v>
      </c>
      <c r="AQ180">
        <f t="shared" si="4"/>
        <v>1</v>
      </c>
      <c r="AR180" s="682">
        <f t="shared" si="5"/>
        <v>3</v>
      </c>
      <c r="AS180" s="683" t="str">
        <f>IF($B$38="P",IF(Účetní_závěrka!L14&lt;&gt;"",Účetní_závěrka!L14,""),IF($B$38="Z",IF(Účetní_závěrka!L14&lt;&gt;"",Účetní_závěrka!L14,""),IF($B$38="M",IF(Účetní_závěrka!L35&lt;&gt;"",Účetní_závěrka!L35,""),"")))</f>
        <v/>
      </c>
      <c r="AT180" s="683" t="str">
        <f>IF($B$38="P",IF(Účetní_závěrka!K14&lt;&gt;"",Účetní_závěrka!K14,""),IF($B$38="Z",IF(Účetní_závěrka!K14&lt;&gt;"",Účetní_závěrka!K14,""),IF($B$38="M",IF(Účetní_závěrka!K35&lt;&gt;"",Účetní_závěrka!K35,""),"")))</f>
        <v/>
      </c>
      <c r="AV180">
        <v>3</v>
      </c>
      <c r="AW180">
        <v>3</v>
      </c>
      <c r="AX180">
        <v>24</v>
      </c>
    </row>
    <row r="181" spans="18:50" ht="12.75">
      <c r="R181">
        <f t="shared" si="1"/>
        <v>1</v>
      </c>
      <c r="S181" s="682">
        <f t="shared" si="2"/>
        <v>4</v>
      </c>
      <c r="T181" s="683" t="str">
        <f>IF($B$38="P",IF(Účetní_závěrka!D15&lt;&gt;"",Účetní_závěrka!D15,""),IF($B$38="Z",IF(Účetní_závěrka!D15&lt;&gt;"",Účetní_závěrka!D15,""),IF($B$38="M",IF(Účetní_závěrka!D48&lt;&gt;"",Účetní_závěrka!D48,""),"")))</f>
        <v/>
      </c>
      <c r="U181" s="683" t="str">
        <f>IF($B$38="P",IF(Účetní_závěrka!E15&lt;&gt;"",ABS(Účetní_závěrka!E15),""),IF($B$38="Z",IF(Účetní_závěrka!E15&lt;&gt;"",ABS(Účetní_závěrka!E15),""),IF($B$38="M",IF(Účetní_závěrka!E48&lt;&gt;"",ABS(Účetní_závěrka!E48),""),"")))</f>
        <v/>
      </c>
      <c r="V181" s="683" t="str">
        <f>IF($B$38="P",IF(Účetní_závěrka!F15&lt;&gt;"",Účetní_závěrka!F15,""),IF($B$38="Z",IF(Účetní_závěrka!F15&lt;&gt;"",Účetní_závěrka!F15,""),IF($B$38="M",IF(Účetní_závěrka!F48&lt;&gt;"",Účetní_závěrka!F48,""),"")))</f>
        <v/>
      </c>
      <c r="W181" s="683" t="str">
        <f>IF($B$38="P",IF(Účetní_závěrka!G15&lt;&gt;"",Účetní_závěrka!G15,""),IF($B$38="Z",IF(Účetní_závěrka!G15&lt;&gt;"",Účetní_závěrka!G15,""),IF($B$38="M",IF(Účetní_závěrka!G48&lt;&gt;"",Účetní_závěrka!G48,""),"")))</f>
        <v/>
      </c>
      <c r="Y181">
        <v>4</v>
      </c>
      <c r="Z181">
        <v>4</v>
      </c>
      <c r="AA181">
        <v>37</v>
      </c>
      <c r="AB181">
        <f t="shared" si="3"/>
        <v>1</v>
      </c>
      <c r="AC181" s="682">
        <f t="shared" si="6"/>
        <v>7</v>
      </c>
      <c r="AD181" s="683" t="str">
        <f>IF($B$38="P",IF(Účetní_závěrka!E95&lt;&gt;"",Účetní_závěrka!E95,""),IF(Účetní_závěrka!E98&lt;&gt;"",Účetní_závěrka!E98,""))</f>
        <v/>
      </c>
      <c r="AE181" s="683" t="str">
        <f>IF($B$38="P",IF(Účetní_závěrka!D95&lt;&gt;"",Účetní_závěrka!D95,""),IF(Účetní_závěrka!D98&lt;&gt;"",Účetní_závěrka!D98,""))</f>
        <v/>
      </c>
      <c r="AG181">
        <v>4</v>
      </c>
      <c r="AH181">
        <v>7</v>
      </c>
      <c r="AQ181">
        <f t="shared" si="4"/>
        <v>1</v>
      </c>
      <c r="AR181" s="682">
        <f t="shared" si="5"/>
        <v>4</v>
      </c>
      <c r="AS181" s="683" t="str">
        <f>IF($B$38="P",IF(Účetní_závěrka!L15&lt;&gt;"",Účetní_závěrka!L15,""),IF($B$38="Z",IF(Účetní_závěrka!L18&lt;&gt;"",Účetní_závěrka!L18,""),IF($B$38="M",IF(Účetní_závěrka!L36&lt;&gt;"",Účetní_závěrka!L36,""),"")))</f>
        <v/>
      </c>
      <c r="AT181" s="683" t="str">
        <f>IF($B$38="P",IF(Účetní_závěrka!K15&lt;&gt;"",Účetní_závěrka!K15,""),IF($B$38="Z",IF(Účetní_závěrka!K18&lt;&gt;"",Účetní_závěrka!K18,""),IF($B$38="M",IF(Účetní_závěrka!K36&lt;&gt;"",Účetní_závěrka!K36,""),"")))</f>
        <v/>
      </c>
      <c r="AV181">
        <v>4</v>
      </c>
      <c r="AW181">
        <v>7</v>
      </c>
      <c r="AX181">
        <v>25</v>
      </c>
    </row>
    <row r="182" spans="18:50" ht="12.75">
      <c r="R182">
        <f t="shared" si="1"/>
        <v>1</v>
      </c>
      <c r="S182" s="682">
        <f t="shared" si="2"/>
        <v>5</v>
      </c>
      <c r="T182" s="683" t="str">
        <f>IF($B$38="P",IF(Účetní_závěrka!D16&lt;&gt;"",Účetní_závěrka!D16,""),IF($B$38="Z",IF(Účetní_závěrka!D25&lt;&gt;"",Účetní_závěrka!D25,""),IF($B$38="M",IF(Účetní_závěrka!D85&lt;&gt;"",Účetní_závěrka!D85,""),"")))</f>
        <v/>
      </c>
      <c r="U182" s="683" t="str">
        <f>IF($B$38="P",IF(Účetní_závěrka!E16&lt;&gt;"",ABS(Účetní_závěrka!E16),""),IF($B$38="Z",IF(Účetní_závěrka!E25&lt;&gt;"",ABS(Účetní_závěrka!E25),""),IF($B$38="M",IF(Účetní_závěrka!E85&lt;&gt;"",ABS(Účetní_závěrka!E85),""),"")))</f>
        <v/>
      </c>
      <c r="V182" s="683" t="str">
        <f>IF($B$38="P",IF(Účetní_závěrka!F16&lt;&gt;"",Účetní_závěrka!F16,""),IF($B$38="Z",IF(Účetní_závěrka!F25&lt;&gt;"",Účetní_závěrka!F25,""),IF($B$38="M",IF(Účetní_závěrka!F85&lt;&gt;"",Účetní_závěrka!F85,""),"")))</f>
        <v/>
      </c>
      <c r="W182" s="683" t="str">
        <f>IF($B$38="P",IF(Účetní_závěrka!G16&lt;&gt;"",Účetní_závěrka!G16,""),IF($B$38="Z",IF(Účetní_závěrka!G25&lt;&gt;"",Účetní_závěrka!G25,""),IF($B$38="M",IF(Účetní_závěrka!G85&lt;&gt;"",Účetní_závěrka!G85,""),"")))</f>
        <v/>
      </c>
      <c r="Y182">
        <v>5</v>
      </c>
      <c r="Z182">
        <v>14</v>
      </c>
      <c r="AA182">
        <v>74</v>
      </c>
      <c r="AB182">
        <f t="shared" si="3"/>
        <v>1</v>
      </c>
      <c r="AC182" s="682">
        <f t="shared" si="6"/>
        <v>8</v>
      </c>
      <c r="AD182" s="683" t="str">
        <f>IF($B$38="P",IF(Účetní_závěrka!E96&lt;&gt;"",Účetní_závěrka!E96,""),IF(Účetní_závěrka!E99&lt;&gt;"",Účetní_závěrka!E99,""))</f>
        <v/>
      </c>
      <c r="AE182" s="683" t="str">
        <f>IF($B$38="P",IF(Účetní_závěrka!D96&lt;&gt;"",Účetní_závěrka!D96,""),IF(Účetní_závěrka!D99&lt;&gt;"",Účetní_závěrka!D99,""))</f>
        <v/>
      </c>
      <c r="AG182">
        <v>5</v>
      </c>
      <c r="AH182">
        <v>8</v>
      </c>
      <c r="AQ182">
        <f t="shared" si="4"/>
        <v>1</v>
      </c>
      <c r="AR182" s="682">
        <f t="shared" si="5"/>
        <v>5</v>
      </c>
      <c r="AS182" s="683" t="str">
        <f>IF($B$38="P",IF(Účetní_závěrka!L16&lt;&gt;"",Účetní_závěrka!L16,""),IF($B$38="Z",IF(Účetní_závěrka!L26&lt;&gt;"",Účetní_závěrka!L26,""),IF($B$38="M",IF(Účetní_závěrka!L41&lt;&gt;"",Účetní_závěrka!L41,""),"")))</f>
        <v/>
      </c>
      <c r="AT182" s="683" t="str">
        <f>IF($B$38="P",IF(Účetní_závěrka!K16&lt;&gt;"",Účetní_závěrka!K16,""),IF($B$38="Z",IF(Účetní_závěrka!K26&lt;&gt;"",Účetní_závěrka!K26,""),IF($B$38="M",IF(Účetní_závěrka!K41&lt;&gt;"",Účetní_závěrka!K41,""),"")))</f>
        <v/>
      </c>
      <c r="AV182">
        <v>5</v>
      </c>
      <c r="AW182">
        <v>15</v>
      </c>
      <c r="AX182">
        <v>30</v>
      </c>
    </row>
    <row r="183" spans="18:50" ht="12.75">
      <c r="R183">
        <f t="shared" si="1"/>
        <v>1</v>
      </c>
      <c r="S183" s="682">
        <f t="shared" si="2"/>
        <v>6</v>
      </c>
      <c r="T183" s="683" t="str">
        <f>IF($B$38="P",IF(Účetní_závěrka!D17&lt;&gt;"",Účetní_závěrka!D17,""),IF($B$38="Z",IF(Účetní_závěrka!D38&lt;&gt;"",Účetní_závěrka!D38,""),""))</f>
        <v/>
      </c>
      <c r="U183" s="683" t="str">
        <f>IF($B$38="P",IF(Účetní_závěrka!E17&lt;&gt;"",ABS(Účetní_závěrka!E17),""),IF($B$38="Z",IF(Účetní_závěrka!E38&lt;&gt;"",ABS(Účetní_závěrka!E38),""),""))</f>
        <v/>
      </c>
      <c r="V183" s="683" t="str">
        <f>IF($B$38="P",IF(Účetní_závěrka!F17&lt;&gt;"",Účetní_závěrka!F17,""),IF($B$38="Z",IF(Účetní_závěrka!F38&lt;&gt;"",Účetní_závěrka!F38,""),""))</f>
        <v/>
      </c>
      <c r="W183" s="683" t="str">
        <f>IF($B$38="P",IF(Účetní_závěrka!G17&lt;&gt;"",Účetní_závěrka!G17,""),IF($B$38="Z",IF(Účetní_závěrka!G38&lt;&gt;"",Účetní_závěrka!G38,""),""))</f>
        <v/>
      </c>
      <c r="Y183">
        <v>6</v>
      </c>
      <c r="Z183">
        <v>27</v>
      </c>
      <c r="AB183">
        <f t="shared" si="3"/>
        <v>1</v>
      </c>
      <c r="AC183" s="682">
        <f t="shared" si="6"/>
        <v>9</v>
      </c>
      <c r="AD183" s="683" t="str">
        <f>IF($B$38="P",IF(Účetní_závěrka!E97&lt;&gt;"",Účetní_závěrka!E97,""),IF(Účetní_závěrka!E100&lt;&gt;"",Účetní_závěrka!E100,""))</f>
        <v/>
      </c>
      <c r="AE183" s="683" t="str">
        <f>IF($B$38="P",IF(Účetní_závěrka!D97&lt;&gt;"",Účetní_závěrka!D97,""),IF(Účetní_závěrka!D100&lt;&gt;"",Účetní_závěrka!D100,""))</f>
        <v/>
      </c>
      <c r="AG183">
        <v>6</v>
      </c>
      <c r="AH183">
        <v>9</v>
      </c>
      <c r="AQ183">
        <f t="shared" si="4"/>
        <v>1</v>
      </c>
      <c r="AR183" s="682">
        <f t="shared" si="5"/>
        <v>6</v>
      </c>
      <c r="AS183" s="683" t="str">
        <f>IF($B$38="P",IF(Účetní_závěrka!L17&lt;&gt;"",Účetní_závěrka!L17,""),IF($B$38="Z",IF(Účetní_závěrka!L29&lt;&gt;"",Účetní_závěrka!L29,""),IF($B$38="M",IF(Účetní_závěrka!L75&lt;&gt;"",Účetní_závěrka!L75,""),"")))</f>
        <v/>
      </c>
      <c r="AT183" s="683" t="str">
        <f>IF($B$38="P",IF(Účetní_závěrka!K17&lt;&gt;"",Účetní_závěrka!K17,""),IF($B$38="Z",IF(Účetní_závěrka!K29&lt;&gt;"",Účetní_závěrka!K29,""),IF($B$38="M",IF(Účetní_závěrka!K75&lt;&gt;"",Účetní_závěrka!K75,""),"")))</f>
        <v/>
      </c>
      <c r="AV183">
        <v>6</v>
      </c>
      <c r="AW183">
        <v>18</v>
      </c>
      <c r="AX183">
        <v>64</v>
      </c>
    </row>
    <row r="184" spans="18:49" ht="12.75">
      <c r="R184">
        <f t="shared" si="1"/>
        <v>1</v>
      </c>
      <c r="S184" s="682">
        <f t="shared" si="2"/>
        <v>7</v>
      </c>
      <c r="T184" s="683" t="str">
        <f>IF($B$38="P",IF(Účetní_závěrka!D18&lt;&gt;"",Účetní_závěrka!D18,""),IF($B$38="Z",IF(Účetní_závěrka!D48&lt;&gt;"",Účetní_závěrka!D48,""),""))</f>
        <v/>
      </c>
      <c r="U184" s="683" t="str">
        <f>IF($B$38="P",IF(Účetní_závěrka!E18&lt;&gt;"",ABS(Účetní_závěrka!E18),""),IF($B$38="Z",IF(Účetní_závěrka!E48&lt;&gt;"",ABS(Účetní_závěrka!E48),""),""))</f>
        <v/>
      </c>
      <c r="V184" s="683" t="str">
        <f>IF($B$38="P",IF(Účetní_závěrka!F18&lt;&gt;"",Účetní_závěrka!F18,""),IF($B$38="Z",IF(Účetní_závěrka!F48&lt;&gt;"",Účetní_závěrka!F48,""),""))</f>
        <v/>
      </c>
      <c r="W184" s="683" t="str">
        <f>IF($B$38="P",IF(Účetní_závěrka!G18&lt;&gt;"",Účetní_závěrka!G18,""),IF($B$38="Z",IF(Účetní_závěrka!G48&lt;&gt;"",Účetní_závěrka!G48,""),""))</f>
        <v/>
      </c>
      <c r="Y184">
        <v>7</v>
      </c>
      <c r="Z184">
        <v>37</v>
      </c>
      <c r="AB184">
        <f t="shared" si="3"/>
        <v>1</v>
      </c>
      <c r="AC184" s="682">
        <f t="shared" si="6"/>
        <v>14</v>
      </c>
      <c r="AD184" s="683" t="str">
        <f>IF($B$38="P",IF(Účetní_závěrka!E98&lt;&gt;"",Účetní_závěrka!E98,""),IF(Účetní_závěrka!E105&lt;&gt;"",Účetní_závěrka!E105,""))</f>
        <v/>
      </c>
      <c r="AE184" s="683" t="str">
        <f>IF($B$38="P",IF(Účetní_závěrka!D98&lt;&gt;"",Účetní_závěrka!D98,""),IF(Účetní_závěrka!D105&lt;&gt;"",Účetní_závěrka!D105,""))</f>
        <v/>
      </c>
      <c r="AG184">
        <v>7</v>
      </c>
      <c r="AH184">
        <v>14</v>
      </c>
      <c r="AQ184">
        <f t="shared" si="4"/>
        <v>1</v>
      </c>
      <c r="AR184" s="682">
        <f t="shared" si="5"/>
        <v>7</v>
      </c>
      <c r="AS184" s="683" t="str">
        <f>IF($B$38="P",IF(Účetní_závěrka!L18&lt;&gt;"",Účetní_závěrka!L18,""),IF($B$38="Z",IF(Účetní_závěrka!L33&lt;&gt;"",Účetní_závěrka!L33,""),""))</f>
        <v/>
      </c>
      <c r="AT184" s="683" t="str">
        <f>IF($B$38="P",IF(Účetní_závěrka!K18&lt;&gt;"",Účetní_závěrka!K18,""),IF($B$38="Z",IF(Účetní_závěrka!K33&lt;&gt;"",Účetní_závěrka!K33,""),""))</f>
        <v/>
      </c>
      <c r="AV184">
        <v>7</v>
      </c>
      <c r="AW184">
        <v>22</v>
      </c>
    </row>
    <row r="185" spans="18:49" ht="12.75">
      <c r="R185">
        <f t="shared" si="1"/>
        <v>1</v>
      </c>
      <c r="S185" s="682">
        <f t="shared" si="2"/>
        <v>8</v>
      </c>
      <c r="T185" s="683" t="str">
        <f>IF($B$38="P",IF(Účetní_závěrka!D19&lt;&gt;"",Účetní_závěrka!D19,""),IF($B$38="Z",IF(Účetní_závěrka!D49&lt;&gt;"",Účetní_závěrka!D49,""),""))</f>
        <v/>
      </c>
      <c r="U185" s="683" t="str">
        <f>IF($B$38="P",IF(Účetní_závěrka!E19&lt;&gt;"",ABS(Účetní_závěrka!E19),""),IF($B$38="Z",IF(Účetní_závěrka!E49&lt;&gt;"",ABS(Účetní_závěrka!E49),""),""))</f>
        <v/>
      </c>
      <c r="V185" s="683" t="str">
        <f>IF($B$38="P",IF(Účetní_závěrka!F19&lt;&gt;"",Účetní_závěrka!F19,""),IF($B$38="Z",IF(Účetní_závěrka!F49&lt;&gt;"",Účetní_závěrka!F49,""),""))</f>
        <v/>
      </c>
      <c r="W185" s="683" t="str">
        <f>IF($B$38="P",IF(Účetní_závěrka!G19&lt;&gt;"",Účetní_závěrka!G19,""),IF($B$38="Z",IF(Účetní_závěrka!G49&lt;&gt;"",Účetní_závěrka!G49,""),""))</f>
        <v/>
      </c>
      <c r="Y185">
        <v>8</v>
      </c>
      <c r="Z185">
        <v>38</v>
      </c>
      <c r="AB185">
        <f t="shared" si="3"/>
        <v>1</v>
      </c>
      <c r="AC185" s="682">
        <f t="shared" si="6"/>
        <v>20</v>
      </c>
      <c r="AD185" s="683" t="str">
        <f>IF($B$38="P",IF(Účetní_závěrka!E99&lt;&gt;"",Účetní_závěrka!E99,""),IF(Účetní_závěrka!E111&lt;&gt;"",Účetní_závěrka!E111,""))</f>
        <v/>
      </c>
      <c r="AE185" s="683" t="str">
        <f>IF($B$38="P",IF(Účetní_závěrka!D99&lt;&gt;"",Účetní_závěrka!D99,""),IF(Účetní_závěrka!D111&lt;&gt;"",Účetní_závěrka!D111,""))</f>
        <v/>
      </c>
      <c r="AG185">
        <v>8</v>
      </c>
      <c r="AH185">
        <v>20</v>
      </c>
      <c r="AQ185">
        <f t="shared" si="4"/>
        <v>1</v>
      </c>
      <c r="AR185" s="682">
        <f t="shared" si="5"/>
        <v>8</v>
      </c>
      <c r="AS185" s="683" t="str">
        <f>IF($B$38="P",IF(Účetní_závěrka!L19&lt;&gt;"",Účetní_závěrka!L19,""),IF($B$38="Z",IF(Účetní_závěrka!L34&lt;&gt;"",Účetní_závěrka!L34,""),""))</f>
        <v/>
      </c>
      <c r="AT185" s="683" t="str">
        <f>IF($B$38="P",IF(Účetní_závěrka!K19&lt;&gt;"",Účetní_závěrka!K19,""),IF($B$38="Z",IF(Účetní_závěrka!K34&lt;&gt;"",Účetní_závěrka!K34,""),""))</f>
        <v/>
      </c>
      <c r="AV185">
        <v>8</v>
      </c>
      <c r="AW185">
        <v>23</v>
      </c>
    </row>
    <row r="186" spans="18:49" ht="12.75">
      <c r="R186">
        <f t="shared" si="1"/>
        <v>1</v>
      </c>
      <c r="S186" s="682">
        <f t="shared" si="2"/>
        <v>9</v>
      </c>
      <c r="T186" s="683" t="str">
        <f>IF($B$38="P",IF(Účetní_závěrka!D20&lt;&gt;"",Účetní_závěrka!D20,""),IF($B$38="Z",IF(Účetní_závěrka!D57&lt;&gt;"",Účetní_závěrka!D57,""),""))</f>
        <v/>
      </c>
      <c r="U186" s="683" t="str">
        <f>IF($B$38="P",IF(Účetní_závěrka!E20&lt;&gt;"",ABS(Účetní_závěrka!E20),""),IF($B$38="Z",IF(Účetní_závěrka!E57&lt;&gt;"",ABS(Účetní_závěrka!E57),""),""))</f>
        <v/>
      </c>
      <c r="V186" s="683" t="str">
        <f>IF($B$38="P",IF(Účetní_závěrka!F20&lt;&gt;"",Účetní_závěrka!F20,""),IF($B$38="Z",IF(Účetní_závěrka!F57&lt;&gt;"",Účetní_závěrka!F57,""),""))</f>
        <v/>
      </c>
      <c r="W186" s="683" t="str">
        <f>IF($B$38="P",IF(Účetní_závěrka!G20&lt;&gt;"",Účetní_závěrka!G20,""),IF($B$38="Z",IF(Účetní_závěrka!G57&lt;&gt;"",Účetní_závěrka!G57,""),""))</f>
        <v/>
      </c>
      <c r="Y186">
        <v>9</v>
      </c>
      <c r="Z186">
        <v>46</v>
      </c>
      <c r="AB186">
        <f t="shared" si="3"/>
        <v>1</v>
      </c>
      <c r="AC186" s="682">
        <f t="shared" si="6"/>
        <v>24</v>
      </c>
      <c r="AD186" s="683" t="str">
        <f>IF($B$38="P",IF(Účetní_závěrka!E100&lt;&gt;"",Účetní_závěrka!E100,""),IF(Účetní_závěrka!E115&lt;&gt;"",Účetní_závěrka!E115,""))</f>
        <v/>
      </c>
      <c r="AE186" s="683" t="str">
        <f>IF($B$38="P",IF(Účetní_závěrka!D100&lt;&gt;"",Účetní_závěrka!D100,""),IF(Účetní_závěrka!D115&lt;&gt;"",Účetní_závěrka!D115,""))</f>
        <v/>
      </c>
      <c r="AG186">
        <v>9</v>
      </c>
      <c r="AH186">
        <v>24</v>
      </c>
      <c r="AQ186">
        <f t="shared" si="4"/>
        <v>1</v>
      </c>
      <c r="AR186" s="682">
        <f t="shared" si="5"/>
        <v>9</v>
      </c>
      <c r="AS186" s="683" t="str">
        <f>IF($B$38="P",IF(Účetní_závěrka!L20&lt;&gt;"",Účetní_závěrka!L20,""),IF($B$38="Z",IF(Účetní_závěrka!L35&lt;&gt;"",Účetní_závěrka!L35,""),""))</f>
        <v/>
      </c>
      <c r="AT186" s="683" t="str">
        <f>IF($B$38="P",IF(Účetní_závěrka!K20&lt;&gt;"",Účetní_závěrka!K20,""),IF($B$38="Z",IF(Účetní_závěrka!K35&lt;&gt;"",Účetní_závěrka!K35,""),""))</f>
        <v/>
      </c>
      <c r="AV186">
        <v>9</v>
      </c>
      <c r="AW186">
        <v>24</v>
      </c>
    </row>
    <row r="187" spans="18:49" ht="12.75">
      <c r="R187">
        <f t="shared" si="1"/>
        <v>1</v>
      </c>
      <c r="S187" s="682">
        <f t="shared" si="2"/>
        <v>10</v>
      </c>
      <c r="T187" s="683" t="str">
        <f>IF($B$38="P",IF(Účetní_závěrka!D21&lt;&gt;"",Účetní_závěrka!D21,""),IF($B$38="Z",IF(Účetní_závěrka!D58&lt;&gt;"",Účetní_závěrka!D58,""),""))</f>
        <v/>
      </c>
      <c r="U187" s="683" t="str">
        <f>IF($B$38="P",IF(Účetní_závěrka!E21&lt;&gt;"",ABS(Účetní_závěrka!E21),""),IF($B$38="Z",IF(Účetní_závěrka!E58&lt;&gt;"",ABS(Účetní_závěrka!E58),""),""))</f>
        <v/>
      </c>
      <c r="V187" s="683" t="str">
        <f>IF($B$38="P",IF(Účetní_závěrka!F21&lt;&gt;"",Účetní_závěrka!F21,""),IF($B$38="Z",IF(Účetní_závěrka!F58&lt;&gt;"",Účetní_závěrka!F58,""),""))</f>
        <v/>
      </c>
      <c r="W187" s="683" t="str">
        <f>IF($B$38="P",IF(Účetní_závěrka!G21&lt;&gt;"",Účetní_závěrka!G21,""),IF($B$38="Z",IF(Účetní_závěrka!G58&lt;&gt;"",Účetní_závěrka!G58,""),""))</f>
        <v/>
      </c>
      <c r="Y187">
        <v>10</v>
      </c>
      <c r="Z187">
        <v>47</v>
      </c>
      <c r="AB187">
        <f t="shared" si="3"/>
        <v>1</v>
      </c>
      <c r="AC187" s="682">
        <f t="shared" si="6"/>
        <v>30</v>
      </c>
      <c r="AD187" s="683" t="str">
        <f>IF($B$38="P",IF(Účetní_závěrka!E101&lt;&gt;"",Účetní_závěrka!E101,""),IF(Účetní_závěrka!E121&lt;&gt;"",Účetní_závěrka!E121,""))</f>
        <v/>
      </c>
      <c r="AE187" s="683" t="str">
        <f>IF($B$38="P",IF(Účetní_závěrka!D101&lt;&gt;"",Účetní_závěrka!D101,""),IF(Účetní_závěrka!D121&lt;&gt;"",Účetní_závěrka!D121,""))</f>
        <v/>
      </c>
      <c r="AG187">
        <v>10</v>
      </c>
      <c r="AH187">
        <v>30</v>
      </c>
      <c r="AQ187">
        <f t="shared" si="4"/>
        <v>1</v>
      </c>
      <c r="AR187" s="682">
        <f t="shared" si="5"/>
        <v>10</v>
      </c>
      <c r="AS187" s="683" t="str">
        <f>IF($B$38="P",IF(Účetní_závěrka!L21&lt;&gt;"",Účetní_závěrka!L21,""),IF($B$38="Z",IF(Účetní_závěrka!L36&lt;&gt;"",Účetní_závěrka!L36,""),""))</f>
        <v/>
      </c>
      <c r="AT187" s="683" t="str">
        <f>IF($B$38="P",IF(Účetní_závěrka!K21&lt;&gt;"",Účetní_závěrka!K21,""),IF($B$38="Z",IF(Účetní_závěrka!K36&lt;&gt;"",Účetní_závěrka!K36,""),""))</f>
        <v/>
      </c>
      <c r="AV187">
        <v>10</v>
      </c>
      <c r="AW187">
        <v>25</v>
      </c>
    </row>
    <row r="188" spans="18:49" ht="12.75">
      <c r="R188">
        <f t="shared" si="1"/>
        <v>1</v>
      </c>
      <c r="S188" s="682">
        <f t="shared" si="2"/>
        <v>11</v>
      </c>
      <c r="T188" s="683" t="str">
        <f>IF($B$38="P",IF(Účetní_závěrka!D22&lt;&gt;"",Účetní_závěrka!D22,""),IF($B$38="Z",IF(Účetní_závěrka!D68&lt;&gt;"",Účetní_závěrka!D68,""),""))</f>
        <v/>
      </c>
      <c r="U188" s="683" t="str">
        <f>IF($B$38="P",IF(Účetní_závěrka!E22&lt;&gt;"",ABS(Účetní_závěrka!E22),""),IF($B$38="Z",IF(Účetní_závěrka!E68&lt;&gt;"",ABS(Účetní_závěrka!E68),""),""))</f>
        <v/>
      </c>
      <c r="V188" s="683" t="str">
        <f>IF($B$38="P",IF(Účetní_závěrka!F22&lt;&gt;"",Účetní_závěrka!F22,""),IF($B$38="Z",IF(Účetní_závěrka!F68&lt;&gt;"",Účetní_závěrka!F68,""),""))</f>
        <v/>
      </c>
      <c r="W188" s="683" t="str">
        <f>IF($B$38="P",IF(Účetní_závěrka!G22&lt;&gt;"",Účetní_závěrka!G22,""),IF($B$38="Z",IF(Účetní_závěrka!G68&lt;&gt;"",Účetní_závěrka!G68,""),""))</f>
        <v/>
      </c>
      <c r="Y188">
        <v>11</v>
      </c>
      <c r="Z188">
        <v>57</v>
      </c>
      <c r="AB188">
        <f t="shared" si="3"/>
        <v>1</v>
      </c>
      <c r="AC188" s="682">
        <f t="shared" si="6"/>
        <v>31</v>
      </c>
      <c r="AD188" s="683" t="str">
        <f>IF($B$38="P",IF(Účetní_závěrka!E102&lt;&gt;"",Účetní_závěrka!E102,""),IF(Účetní_závěrka!E122&lt;&gt;"",Účetní_závěrka!E122,""))</f>
        <v/>
      </c>
      <c r="AE188" s="683" t="str">
        <f>IF($B$38="P",IF(Účetní_závěrka!D102&lt;&gt;"",Účetní_závěrka!D102,""),IF(Účetní_závěrka!D122&lt;&gt;"",Účetní_závěrka!D122,""))</f>
        <v/>
      </c>
      <c r="AG188">
        <v>11</v>
      </c>
      <c r="AH188">
        <v>31</v>
      </c>
      <c r="AQ188">
        <f t="shared" si="4"/>
        <v>1</v>
      </c>
      <c r="AR188" s="682">
        <f t="shared" si="5"/>
        <v>11</v>
      </c>
      <c r="AS188" s="683" t="str">
        <f>IF($B$38="P",IF(Účetní_závěrka!L22&lt;&gt;"",Účetní_závěrka!L22,""),IF($B$38="Z",IF(Účetní_závěrka!L41&lt;&gt;"",Účetní_závěrka!L41,""),""))</f>
        <v/>
      </c>
      <c r="AT188" s="683" t="str">
        <f>IF($B$38="P",IF(Účetní_závěrka!K22&lt;&gt;"",Účetní_závěrka!K22,""),IF($B$38="Z",IF(Účetní_závěrka!K41&lt;&gt;"",Účetní_závěrka!K41,""),""))</f>
        <v/>
      </c>
      <c r="AV188">
        <v>11</v>
      </c>
      <c r="AW188">
        <v>30</v>
      </c>
    </row>
    <row r="189" spans="18:49" ht="12.75">
      <c r="R189">
        <f t="shared" si="1"/>
        <v>1</v>
      </c>
      <c r="S189" s="682">
        <f t="shared" si="2"/>
        <v>12</v>
      </c>
      <c r="T189" s="683" t="str">
        <f>IF($B$38="P",IF(Účetní_závěrka!D23&lt;&gt;"",Účetní_závěrka!D23,""),IF($B$38="Z",IF(Účetní_závěrka!D79&lt;&gt;"",Účetní_závěrka!D79,""),""))</f>
        <v/>
      </c>
      <c r="U189" s="683" t="str">
        <f>IF($B$38="P",IF(Účetní_závěrka!E23&lt;&gt;"",ABS(Účetní_závěrka!E23),""),IF($B$38="Z",IF(Účetní_závěrka!E79&lt;&gt;"",ABS(Účetní_závěrka!E79),""),""))</f>
        <v/>
      </c>
      <c r="V189" s="683" t="str">
        <f>IF($B$38="P",IF(Účetní_závěrka!F23&lt;&gt;"",Účetní_závěrka!F23,""),IF($B$38="Z",IF(Účetní_závěrka!F79&lt;&gt;"",Účetní_závěrka!F79,""),""))</f>
        <v/>
      </c>
      <c r="W189" s="683" t="str">
        <f>IF($B$38="P",IF(Účetní_závěrka!G23&lt;&gt;"",Účetní_závěrka!G23,""),IF($B$38="Z",IF(Účetní_závěrka!G79&lt;&gt;"",Účetní_závěrka!G79,""),""))</f>
        <v/>
      </c>
      <c r="Y189">
        <v>12</v>
      </c>
      <c r="Z189">
        <v>68</v>
      </c>
      <c r="AB189">
        <f t="shared" si="3"/>
        <v>1</v>
      </c>
      <c r="AC189" s="682">
        <f t="shared" si="6"/>
        <v>34</v>
      </c>
      <c r="AD189" s="683" t="str">
        <f>IF($B$38="P",IF(Účetní_závěrka!E103&lt;&gt;"",Účetní_závěrka!E103,""),IF(Účetní_závěrka!E125&lt;&gt;"",Účetní_závěrka!E125,""))</f>
        <v/>
      </c>
      <c r="AE189" s="683" t="str">
        <f>IF($B$38="P",IF(Účetní_závěrka!D103&lt;&gt;"",Účetní_závěrka!D103,""),IF(Účetní_závěrka!D125&lt;&gt;"",Účetní_závěrka!D125,""))</f>
        <v/>
      </c>
      <c r="AG189">
        <v>12</v>
      </c>
      <c r="AH189">
        <v>34</v>
      </c>
      <c r="AQ189">
        <f t="shared" si="4"/>
        <v>1</v>
      </c>
      <c r="AR189" s="682">
        <f t="shared" si="5"/>
        <v>12</v>
      </c>
      <c r="AS189" s="683" t="str">
        <f>IF($B$38="P",IF(Účetní_závěrka!L23&lt;&gt;"",Účetní_závěrka!L23,""),IF($B$38="Z",IF(Účetní_závěrka!L42&lt;&gt;"",Účetní_závěrka!L42,""),""))</f>
        <v/>
      </c>
      <c r="AT189" s="683" t="str">
        <f>IF($B$38="P",IF(Účetní_závěrka!K23&lt;&gt;"",Účetní_závěrka!K23,""),IF($B$38="Z",IF(Účetní_závěrka!K42&lt;&gt;"",Účetní_závěrka!K42,""),""))</f>
        <v/>
      </c>
      <c r="AV189">
        <v>12</v>
      </c>
      <c r="AW189">
        <v>31</v>
      </c>
    </row>
    <row r="190" spans="18:49" ht="12.75">
      <c r="R190">
        <f t="shared" si="1"/>
        <v>1</v>
      </c>
      <c r="S190" s="682">
        <f t="shared" si="2"/>
        <v>13</v>
      </c>
      <c r="T190" s="683" t="str">
        <f>IF($B$38="P",IF(Účetní_závěrka!D24&lt;&gt;"",Účetní_závěrka!D24,""),IF($B$38="Z",IF(Účetní_závěrka!D82&lt;&gt;"",Účetní_závěrka!D82,""),""))</f>
        <v/>
      </c>
      <c r="U190" s="683" t="str">
        <f>IF($B$38="P",IF(Účetní_závěrka!E24&lt;&gt;"",ABS(Účetní_závěrka!E24),""),IF($B$38="Z",IF(Účetní_závěrka!E82&lt;&gt;"",ABS(Účetní_závěrka!E82),""),""))</f>
        <v/>
      </c>
      <c r="V190" s="683" t="str">
        <f>IF($B$38="P",IF(Účetní_závěrka!F24&lt;&gt;"",Účetní_závěrka!F24,""),IF($B$38="Z",IF(Účetní_závěrka!F82&lt;&gt;"",Účetní_závěrka!F82,""),""))</f>
        <v/>
      </c>
      <c r="W190" s="683" t="str">
        <f>IF($B$38="P",IF(Účetní_závěrka!G24&lt;&gt;"",Účetní_závěrka!G24,""),IF($B$38="Z",IF(Účetní_závěrka!G82&lt;&gt;"",Účetní_závěrka!G82,""),""))</f>
        <v/>
      </c>
      <c r="Y190">
        <v>13</v>
      </c>
      <c r="Z190">
        <v>71</v>
      </c>
      <c r="AB190">
        <f t="shared" si="3"/>
        <v>1</v>
      </c>
      <c r="AC190" s="682">
        <f t="shared" si="6"/>
        <v>35</v>
      </c>
      <c r="AD190" s="683" t="str">
        <f>IF($B$38="P",IF(Účetní_závěrka!E104&lt;&gt;"",Účetní_závěrka!E104,""),IF(Účetní_závěrka!E126&lt;&gt;"",Účetní_závěrka!E126,""))</f>
        <v/>
      </c>
      <c r="AE190" s="683" t="str">
        <f>IF($B$38="P",IF(Účetní_závěrka!D104&lt;&gt;"",Účetní_závěrka!D104,""),IF(Účetní_závěrka!D126&lt;&gt;"",Účetní_závěrka!D126,""))</f>
        <v/>
      </c>
      <c r="AG190">
        <v>13</v>
      </c>
      <c r="AH190">
        <v>35</v>
      </c>
      <c r="AQ190">
        <f t="shared" si="4"/>
        <v>1</v>
      </c>
      <c r="AR190" s="682">
        <f t="shared" si="5"/>
        <v>13</v>
      </c>
      <c r="AS190" s="683" t="str">
        <f>IF($B$38="P",IF(Účetní_závěrka!L24&lt;&gt;"",Účetní_závěrka!L24,""),IF($B$38="Z",IF(Účetní_závěrka!L57&lt;&gt;"",Účetní_závěrka!L57,""),""))</f>
        <v/>
      </c>
      <c r="AT190" s="683" t="str">
        <f>IF($B$38="P",IF(Účetní_závěrka!K24&lt;&gt;"",Účetní_závěrka!K24,""),IF($B$38="Z",IF(Účetní_závěrka!K57&lt;&gt;"",Účetní_závěrka!K57,""),""))</f>
        <v/>
      </c>
      <c r="AV190">
        <v>13</v>
      </c>
      <c r="AW190">
        <v>46</v>
      </c>
    </row>
    <row r="191" spans="18:49" ht="12.75">
      <c r="R191">
        <f t="shared" si="1"/>
        <v>1</v>
      </c>
      <c r="S191" s="682">
        <f t="shared" si="2"/>
        <v>14</v>
      </c>
      <c r="T191" s="683" t="str">
        <f>IF($B$38="P",IF(Účetní_závěrka!D25&lt;&gt;"",Účetní_závěrka!D25,""),IF($B$38="Z",IF(Účetní_závěrka!D85&lt;&gt;"",Účetní_závěrka!D85,""),""))</f>
        <v/>
      </c>
      <c r="U191" s="683" t="str">
        <f>IF($B$38="P",IF(Účetní_závěrka!E25&lt;&gt;"",ABS(Účetní_závěrka!E25),""),IF($B$38="Z",IF(Účetní_závěrka!E85&lt;&gt;"",ABS(Účetní_závěrka!E85),""),""))</f>
        <v/>
      </c>
      <c r="V191" s="683" t="str">
        <f>IF($B$38="P",IF(Účetní_závěrka!F25&lt;&gt;"",Účetní_závěrka!F25,""),IF($B$38="Z",IF(Účetní_závěrka!F85&lt;&gt;"",Účetní_závěrka!F85,""),""))</f>
        <v/>
      </c>
      <c r="W191" s="683" t="str">
        <f>IF($B$38="P",IF(Účetní_závěrka!G25&lt;&gt;"",Účetní_závěrka!G25,""),IF($B$38="Z",IF(Účetní_závěrka!G85&lt;&gt;"",Účetní_závěrka!G85,""),""))</f>
        <v/>
      </c>
      <c r="Y191">
        <v>14</v>
      </c>
      <c r="Z191">
        <v>74</v>
      </c>
      <c r="AB191">
        <f t="shared" si="3"/>
        <v>1</v>
      </c>
      <c r="AC191" s="682">
        <f t="shared" si="6"/>
        <v>38</v>
      </c>
      <c r="AD191" s="683" t="str">
        <f>IF($B$38="P",IF(Účetní_závěrka!E105&lt;&gt;"",Účetní_závěrka!E105,""),IF(Účetní_závěrka!E129&lt;&gt;"",Účetní_závěrka!E129,""))</f>
        <v/>
      </c>
      <c r="AE191" s="683" t="str">
        <f>IF($B$38="P",IF(Účetní_závěrka!D105&lt;&gt;"",Účetní_závěrka!D105,""),IF(Účetní_závěrka!D129&lt;&gt;"",Účetní_závěrka!D129,""))</f>
        <v/>
      </c>
      <c r="AG191">
        <v>14</v>
      </c>
      <c r="AH191">
        <v>38</v>
      </c>
      <c r="AQ191">
        <f t="shared" si="4"/>
        <v>1</v>
      </c>
      <c r="AR191" s="682">
        <f t="shared" si="5"/>
        <v>14</v>
      </c>
      <c r="AS191" s="683" t="str">
        <f>IF($B$38="P",IF(Účetní_závěrka!L25&lt;&gt;"",Účetní_závěrka!L25,""),IF($B$38="Z",IF(Účetní_závěrka!L75&lt;&gt;"",Účetní_závěrka!L75,""),""))</f>
        <v/>
      </c>
      <c r="AT191" s="683" t="str">
        <f>IF($B$38="P",IF(Účetní_závěrka!K25&lt;&gt;"",Účetní_závěrka!K25,""),IF($B$38="Z",IF(Účetní_závěrka!K75&lt;&gt;"",Účetní_závěrka!K75,""),""))</f>
        <v/>
      </c>
      <c r="AV191">
        <v>14</v>
      </c>
      <c r="AW191">
        <v>64</v>
      </c>
    </row>
    <row r="192" spans="18:49" ht="12.75">
      <c r="R192">
        <f t="shared" si="1"/>
        <v>1</v>
      </c>
      <c r="S192" s="682">
        <f t="shared" si="2"/>
        <v>15</v>
      </c>
      <c r="T192" s="683" t="str">
        <f>IF($B$38="P",IF(Účetní_závěrka!D26&lt;&gt;"",Účetní_závěrka!D26,""),"")</f>
        <v/>
      </c>
      <c r="U192" s="683" t="str">
        <f>IF($B$38="P",IF(Účetní_závěrka!E26&lt;&gt;"",ABS(Účetní_závěrka!E26),""),"")</f>
        <v/>
      </c>
      <c r="V192" s="683" t="str">
        <f>IF($B$38="P",IF(Účetní_závěrka!F26&lt;&gt;"",Účetní_závěrka!F26,""),"")</f>
        <v/>
      </c>
      <c r="W192" s="683" t="str">
        <f>IF($B$38="P",IF(Účetní_závěrka!G26&lt;&gt;"",Účetní_závěrka!G26,""),"")</f>
        <v/>
      </c>
      <c r="Y192">
        <v>15</v>
      </c>
      <c r="AB192">
        <f t="shared" si="3"/>
        <v>1</v>
      </c>
      <c r="AC192" s="682">
        <f t="shared" si="6"/>
        <v>39</v>
      </c>
      <c r="AD192" s="683" t="str">
        <f>IF($B$38="P",IF(Účetní_závěrka!E106&lt;&gt;"",Účetní_závěrka!E106,""),IF(Účetní_závěrka!E130&lt;&gt;"",Účetní_závěrka!E130,""))</f>
        <v/>
      </c>
      <c r="AE192" s="683" t="str">
        <f>IF($B$38="P",IF(Účetní_závěrka!D106&lt;&gt;"",Účetní_závěrka!D106,""),IF(Účetní_závěrka!D130&lt;&gt;"",Účetní_závěrka!D130,""))</f>
        <v/>
      </c>
      <c r="AG192">
        <v>15</v>
      </c>
      <c r="AH192">
        <v>39</v>
      </c>
      <c r="AQ192">
        <f t="shared" si="4"/>
        <v>1</v>
      </c>
      <c r="AR192" s="682">
        <f t="shared" si="5"/>
        <v>15</v>
      </c>
      <c r="AS192" s="683" t="str">
        <f>IF($B$38="P",IF(Účetní_závěrka!L26&lt;&gt;"",Účetní_závěrka!L26,""),"")</f>
        <v/>
      </c>
      <c r="AT192" s="683" t="str">
        <f>IF($B$38="P",IF(Účetní_závěrka!K26&lt;&gt;"",Účetní_závěrka!K26,""),"")</f>
        <v/>
      </c>
      <c r="AV192">
        <v>15</v>
      </c>
      <c r="AW192" s="541"/>
    </row>
    <row r="193" spans="18:49" ht="12.75">
      <c r="R193">
        <f t="shared" si="1"/>
        <v>1</v>
      </c>
      <c r="S193" s="682">
        <f t="shared" si="2"/>
        <v>16</v>
      </c>
      <c r="T193" s="683" t="str">
        <f>IF($B$38="P",IF(Účetní_závěrka!D27&lt;&gt;"",Účetní_závěrka!D27,""),"")</f>
        <v/>
      </c>
      <c r="U193" s="683" t="str">
        <f>IF($B$38="P",IF(Účetní_závěrka!E27&lt;&gt;"",ABS(Účetní_závěrka!E27),""),"")</f>
        <v/>
      </c>
      <c r="V193" s="683" t="str">
        <f>IF($B$38="P",IF(Účetní_závěrka!F27&lt;&gt;"",Účetní_závěrka!F27,""),"")</f>
        <v/>
      </c>
      <c r="W193" s="683" t="str">
        <f>IF($B$38="P",IF(Účetní_závěrka!G27&lt;&gt;"",Účetní_závěrka!G27,""),"")</f>
        <v/>
      </c>
      <c r="Y193">
        <v>16</v>
      </c>
      <c r="AB193">
        <f t="shared" si="3"/>
        <v>1</v>
      </c>
      <c r="AC193" s="682">
        <f t="shared" si="6"/>
        <v>42</v>
      </c>
      <c r="AD193" s="683" t="str">
        <f>IF($B$38="P",IF(Účetní_závěrka!E107&lt;&gt;"",Účetní_závěrka!E107,""),IF(Účetní_závěrka!E133&lt;&gt;"",Účetní_závěrka!E133,""))</f>
        <v/>
      </c>
      <c r="AE193" s="683" t="str">
        <f>IF($B$38="P",IF(Účetní_závěrka!D107&lt;&gt;"",Účetní_závěrka!D107,""),IF(Účetní_závěrka!D133&lt;&gt;"",Účetní_závěrka!D133,""))</f>
        <v/>
      </c>
      <c r="AG193">
        <v>16</v>
      </c>
      <c r="AH193">
        <v>42</v>
      </c>
      <c r="AQ193">
        <f t="shared" si="4"/>
        <v>1</v>
      </c>
      <c r="AR193" s="682">
        <f t="shared" si="5"/>
        <v>16</v>
      </c>
      <c r="AS193" s="683" t="str">
        <f>IF($B$38="P",IF(Účetní_závěrka!L27&lt;&gt;"",Účetní_závěrka!L27,""),"")</f>
        <v/>
      </c>
      <c r="AT193" s="683" t="str">
        <f>IF($B$38="P",IF(Účetní_závěrka!K27&lt;&gt;"",Účetní_závěrka!K27,""),"")</f>
        <v/>
      </c>
      <c r="AV193">
        <v>16</v>
      </c>
      <c r="AW193" s="541"/>
    </row>
    <row r="194" spans="18:49" ht="12.75">
      <c r="R194">
        <f t="shared" si="1"/>
        <v>1</v>
      </c>
      <c r="S194" s="682">
        <f t="shared" si="2"/>
        <v>17</v>
      </c>
      <c r="T194" s="683" t="str">
        <f>IF($B$38="P",IF(Účetní_závěrka!D28&lt;&gt;"",Účetní_závěrka!D28,""),"")</f>
        <v/>
      </c>
      <c r="U194" s="683" t="str">
        <f>IF($B$38="P",IF(Účetní_závěrka!E28&lt;&gt;"",ABS(Účetní_závěrka!E28),""),"")</f>
        <v/>
      </c>
      <c r="V194" s="683" t="str">
        <f>IF($B$38="P",IF(Účetní_závěrka!F28&lt;&gt;"",Účetní_závěrka!F28,""),"")</f>
        <v/>
      </c>
      <c r="W194" s="683" t="str">
        <f>IF($B$38="P",IF(Účetní_závěrka!G28&lt;&gt;"",Účetní_závěrka!G28,""),"")</f>
        <v/>
      </c>
      <c r="Y194">
        <v>17</v>
      </c>
      <c r="AB194">
        <f t="shared" si="3"/>
        <v>1</v>
      </c>
      <c r="AC194" s="682">
        <f t="shared" si="6"/>
        <v>43</v>
      </c>
      <c r="AD194" s="683" t="str">
        <f>IF($B$38="P",IF(Účetní_závěrka!E108&lt;&gt;"",Účetní_závěrka!E108,""),IF(Účetní_závěrka!E134&lt;&gt;"",Účetní_závěrka!E134,""))</f>
        <v/>
      </c>
      <c r="AE194" s="683" t="str">
        <f>IF($B$38="P",IF(Účetní_závěrka!D108&lt;&gt;"",Účetní_závěrka!D108,""),IF(Účetní_závěrka!D134&lt;&gt;"",Účetní_závěrka!D134,""))</f>
        <v/>
      </c>
      <c r="AG194">
        <v>17</v>
      </c>
      <c r="AH194">
        <v>43</v>
      </c>
      <c r="AQ194">
        <f t="shared" si="4"/>
        <v>1</v>
      </c>
      <c r="AR194" s="682">
        <f t="shared" si="5"/>
        <v>17</v>
      </c>
      <c r="AS194" s="683" t="str">
        <f>IF($B$38="P",IF(Účetní_závěrka!L28&lt;&gt;"",Účetní_závěrka!L28,""),"")</f>
        <v/>
      </c>
      <c r="AT194" s="683" t="str">
        <f>IF($B$38="P",IF(Účetní_závěrka!K28&lt;&gt;"",Účetní_závěrka!K28,""),"")</f>
        <v/>
      </c>
      <c r="AV194">
        <v>17</v>
      </c>
      <c r="AW194" s="541"/>
    </row>
    <row r="195" spans="18:49" ht="12.75">
      <c r="R195">
        <f t="shared" si="1"/>
        <v>1</v>
      </c>
      <c r="S195" s="682">
        <f t="shared" si="2"/>
        <v>18</v>
      </c>
      <c r="T195" s="683" t="str">
        <f>IF($B$38="P",IF(Účetní_závěrka!D29&lt;&gt;"",Účetní_závěrka!D29,""),"")</f>
        <v/>
      </c>
      <c r="U195" s="683" t="str">
        <f>IF($B$38="P",IF(Účetní_závěrka!E29&lt;&gt;"",ABS(Účetní_závěrka!E29),""),"")</f>
        <v/>
      </c>
      <c r="V195" s="683" t="str">
        <f>IF($B$38="P",IF(Účetní_závěrka!F29&lt;&gt;"",Účetní_závěrka!F29,""),"")</f>
        <v/>
      </c>
      <c r="W195" s="683" t="str">
        <f>IF($B$38="P",IF(Účetní_závěrka!G29&lt;&gt;"",Účetní_závěrka!G29,""),"")</f>
        <v/>
      </c>
      <c r="Y195">
        <v>18</v>
      </c>
      <c r="AB195">
        <f t="shared" si="3"/>
        <v>1</v>
      </c>
      <c r="AC195" s="682">
        <f t="shared" si="6"/>
        <v>46</v>
      </c>
      <c r="AD195" s="683" t="str">
        <f>IF($B$38="P",IF(Účetní_závěrka!E109&lt;&gt;"",Účetní_závěrka!E109,""),IF(Účetní_závěrka!E137&lt;&gt;"",Účetní_závěrka!E137,""))</f>
        <v/>
      </c>
      <c r="AE195" s="683" t="str">
        <f>IF($B$38="P",IF(Účetní_závěrka!D109&lt;&gt;"",Účetní_závěrka!D109,""),IF(Účetní_závěrka!D137&lt;&gt;"",Účetní_závěrka!D137,""))</f>
        <v/>
      </c>
      <c r="AG195">
        <v>18</v>
      </c>
      <c r="AH195">
        <v>46</v>
      </c>
      <c r="AQ195">
        <f t="shared" si="4"/>
        <v>1</v>
      </c>
      <c r="AR195" s="682">
        <f t="shared" si="5"/>
        <v>18</v>
      </c>
      <c r="AS195" s="683" t="str">
        <f>IF($B$38="P",IF(Účetní_závěrka!L29&lt;&gt;"",Účetní_závěrka!L29,""),"")</f>
        <v/>
      </c>
      <c r="AT195" s="683" t="str">
        <f>IF($B$38="P",IF(Účetní_závěrka!K29&lt;&gt;"",Účetní_závěrka!K29,""),"")</f>
        <v/>
      </c>
      <c r="AV195">
        <v>18</v>
      </c>
      <c r="AW195" s="541"/>
    </row>
    <row r="196" spans="18:49" ht="12.75">
      <c r="R196">
        <f t="shared" si="1"/>
        <v>1</v>
      </c>
      <c r="S196" s="682">
        <f t="shared" si="2"/>
        <v>19</v>
      </c>
      <c r="T196" s="683" t="str">
        <f>IF($B$38="P",IF(Účetní_závěrka!D30&lt;&gt;"",Účetní_závěrka!D30,""),"")</f>
        <v/>
      </c>
      <c r="U196" s="683" t="str">
        <f>IF($B$38="P",IF(Účetní_závěrka!E30&lt;&gt;"",ABS(Účetní_závěrka!E30),""),"")</f>
        <v/>
      </c>
      <c r="V196" s="683" t="str">
        <f>IF($B$38="P",IF(Účetní_závěrka!F30&lt;&gt;"",Účetní_závěrka!F30,""),"")</f>
        <v/>
      </c>
      <c r="W196" s="683" t="str">
        <f>IF($B$38="P",IF(Účetní_závěrka!G30&lt;&gt;"",Účetní_závěrka!G30,""),"")</f>
        <v/>
      </c>
      <c r="Y196">
        <v>19</v>
      </c>
      <c r="AB196">
        <f t="shared" si="3"/>
        <v>1</v>
      </c>
      <c r="AC196" s="682">
        <f t="shared" si="6"/>
        <v>47</v>
      </c>
      <c r="AD196" s="683" t="str">
        <f>IF($B$38="P",IF(Účetní_závěrka!E110&lt;&gt;"",Účetní_závěrka!E110,""),IF(Účetní_závěrka!E138&lt;&gt;"",Účetní_závěrka!E138,""))</f>
        <v/>
      </c>
      <c r="AE196" s="683" t="str">
        <f>IF($B$38="P",IF(Účetní_závěrka!D110&lt;&gt;"",Účetní_závěrka!D110,""),IF(Účetní_závěrka!D138&lt;&gt;"",Účetní_závěrka!D138,""))</f>
        <v/>
      </c>
      <c r="AG196">
        <v>19</v>
      </c>
      <c r="AH196">
        <v>47</v>
      </c>
      <c r="AQ196">
        <f t="shared" si="4"/>
        <v>1</v>
      </c>
      <c r="AR196" s="682">
        <f t="shared" si="5"/>
        <v>19</v>
      </c>
      <c r="AS196" s="683" t="str">
        <f>IF($B$38="P",IF(Účetní_závěrka!L30&lt;&gt;"",Účetní_závěrka!L30,""),"")</f>
        <v/>
      </c>
      <c r="AT196" s="683" t="str">
        <f>IF($B$38="P",IF(Účetní_závěrka!K30&lt;&gt;"",Účetní_závěrka!K30,""),"")</f>
        <v/>
      </c>
      <c r="AV196">
        <v>19</v>
      </c>
      <c r="AW196" s="541"/>
    </row>
    <row r="197" spans="18:49" ht="12.75">
      <c r="R197">
        <f t="shared" si="1"/>
        <v>1</v>
      </c>
      <c r="S197" s="682">
        <f t="shared" si="2"/>
        <v>20</v>
      </c>
      <c r="T197" s="683" t="str">
        <f>IF($B$38="P",IF(Účetní_závěrka!D31&lt;&gt;"",Účetní_závěrka!D31,""),"")</f>
        <v/>
      </c>
      <c r="U197" s="683" t="str">
        <f>IF($B$38="P",IF(Účetní_závěrka!E31&lt;&gt;"",ABS(Účetní_závěrka!E31),""),"")</f>
        <v/>
      </c>
      <c r="V197" s="683" t="str">
        <f>IF($B$38="P",IF(Účetní_závěrka!F31&lt;&gt;"",Účetní_závěrka!F31,""),"")</f>
        <v/>
      </c>
      <c r="W197" s="683" t="str">
        <f>IF($B$38="P",IF(Účetní_závěrka!G31&lt;&gt;"",Účetní_závěrka!G31,""),"")</f>
        <v/>
      </c>
      <c r="Y197">
        <v>20</v>
      </c>
      <c r="AB197">
        <f t="shared" si="3"/>
        <v>1</v>
      </c>
      <c r="AC197" s="682">
        <f t="shared" si="6"/>
        <v>48</v>
      </c>
      <c r="AD197" s="683" t="str">
        <f>IF($B$38="P",IF(Účetní_závěrka!E111&lt;&gt;"",Účetní_závěrka!E111,""),IF(Účetní_závěrka!E139&lt;&gt;"",Účetní_závěrka!E139,""))</f>
        <v/>
      </c>
      <c r="AE197" s="683" t="str">
        <f>IF($B$38="P",IF(Účetní_závěrka!D111&lt;&gt;"",Účetní_závěrka!D111,""),IF(Účetní_závěrka!D139&lt;&gt;"",Účetní_závěrka!D139,""))</f>
        <v/>
      </c>
      <c r="AG197">
        <v>20</v>
      </c>
      <c r="AH197">
        <v>48</v>
      </c>
      <c r="AQ197">
        <f t="shared" si="4"/>
        <v>1</v>
      </c>
      <c r="AR197" s="682">
        <f t="shared" si="5"/>
        <v>20</v>
      </c>
      <c r="AS197" s="683" t="str">
        <f>IF($B$38="P",IF(Účetní_závěrka!L31&lt;&gt;"",Účetní_závěrka!L31,""),"")</f>
        <v/>
      </c>
      <c r="AT197" s="683" t="str">
        <f>IF($B$38="P",IF(Účetní_závěrka!K31&lt;&gt;"",Účetní_závěrka!K31,""),"")</f>
        <v/>
      </c>
      <c r="AV197">
        <v>20</v>
      </c>
      <c r="AW197" s="541"/>
    </row>
    <row r="198" spans="18:49" ht="12.75">
      <c r="R198">
        <f t="shared" si="1"/>
        <v>1</v>
      </c>
      <c r="S198" s="682">
        <f t="shared" si="2"/>
        <v>21</v>
      </c>
      <c r="T198" s="683" t="str">
        <f>IF($B$38="P",IF(Účetní_závěrka!D32&lt;&gt;"",Účetní_závěrka!D32,""),"")</f>
        <v/>
      </c>
      <c r="U198" s="683" t="str">
        <f>IF($B$38="P",IF(Účetní_závěrka!E32&lt;&gt;"",ABS(Účetní_závěrka!E32),""),"")</f>
        <v/>
      </c>
      <c r="V198" s="683" t="str">
        <f>IF($B$38="P",IF(Účetní_závěrka!F32&lt;&gt;"",Účetní_závěrka!F32,""),"")</f>
        <v/>
      </c>
      <c r="W198" s="683" t="str">
        <f>IF($B$38="P",IF(Účetní_závěrka!G32&lt;&gt;"",Účetní_závěrka!G32,""),"")</f>
        <v/>
      </c>
      <c r="Y198">
        <v>21</v>
      </c>
      <c r="AB198">
        <f t="shared" si="3"/>
        <v>1</v>
      </c>
      <c r="AC198" s="682">
        <f t="shared" si="6"/>
        <v>49</v>
      </c>
      <c r="AD198" s="683" t="str">
        <f>IF($B$38="P",IF(Účetní_závěrka!E112&lt;&gt;"",Účetní_závěrka!E112,""),IF(Účetní_závěrka!E140&lt;&gt;"",Účetní_závěrka!E140,""))</f>
        <v/>
      </c>
      <c r="AE198" s="683" t="str">
        <f>IF($B$38="P",IF(Účetní_závěrka!D112&lt;&gt;"",Účetní_závěrka!D112,""),IF(Účetní_závěrka!D140&lt;&gt;"",Účetní_závěrka!D140,""))</f>
        <v/>
      </c>
      <c r="AG198">
        <v>21</v>
      </c>
      <c r="AH198">
        <v>49</v>
      </c>
      <c r="AQ198">
        <f t="shared" si="4"/>
        <v>1</v>
      </c>
      <c r="AR198" s="682">
        <f t="shared" si="5"/>
        <v>21</v>
      </c>
      <c r="AS198" s="683" t="str">
        <f>IF($B$38="P",IF(Účetní_závěrka!L32&lt;&gt;"",Účetní_závěrka!L32,""),"")</f>
        <v/>
      </c>
      <c r="AT198" s="683" t="str">
        <f>IF($B$38="P",IF(Účetní_závěrka!K32&lt;&gt;"",Účetní_závěrka!K32,""),"")</f>
        <v/>
      </c>
      <c r="AV198">
        <v>21</v>
      </c>
      <c r="AW198" s="541"/>
    </row>
    <row r="199" spans="18:49" ht="12.75">
      <c r="R199">
        <f t="shared" si="1"/>
        <v>1</v>
      </c>
      <c r="S199" s="682">
        <f t="shared" si="2"/>
        <v>22</v>
      </c>
      <c r="T199" s="683" t="str">
        <f>IF($B$38="P",IF(Účetní_závěrka!D33&lt;&gt;"",Účetní_závěrka!D33,""),"")</f>
        <v/>
      </c>
      <c r="U199" s="683" t="str">
        <f>IF($B$38="P",IF(Účetní_závěrka!E33&lt;&gt;"",ABS(Účetní_závěrka!E33),""),"")</f>
        <v/>
      </c>
      <c r="V199" s="683" t="str">
        <f>IF($B$38="P",IF(Účetní_závěrka!F33&lt;&gt;"",Účetní_závěrka!F33,""),"")</f>
        <v/>
      </c>
      <c r="W199" s="683" t="str">
        <f>IF($B$38="P",IF(Účetní_závěrka!G33&lt;&gt;"",Účetní_závěrka!G33,""),"")</f>
        <v/>
      </c>
      <c r="Y199">
        <v>22</v>
      </c>
      <c r="AB199">
        <f t="shared" si="3"/>
        <v>1</v>
      </c>
      <c r="AC199" s="682">
        <f t="shared" si="6"/>
        <v>50</v>
      </c>
      <c r="AD199" s="683" t="str">
        <f>IF($B$38="P",IF(Účetní_závěrka!E113&lt;&gt;"",Účetní_závěrka!E113,""),IF(Účetní_závěrka!E141&lt;&gt;"",Účetní_závěrka!E141,""))</f>
        <v/>
      </c>
      <c r="AE199" s="683" t="str">
        <f>IF($B$38="P",IF(Účetní_závěrka!D113&lt;&gt;"",Účetní_závěrka!D113,""),IF(Účetní_závěrka!D141&lt;&gt;"",Účetní_závěrka!D141,""))</f>
        <v/>
      </c>
      <c r="AG199">
        <v>22</v>
      </c>
      <c r="AH199">
        <v>50</v>
      </c>
      <c r="AQ199">
        <f t="shared" si="4"/>
        <v>1</v>
      </c>
      <c r="AR199" s="682">
        <f t="shared" si="5"/>
        <v>22</v>
      </c>
      <c r="AS199" s="683" t="str">
        <f>IF($B$38="P",IF(Účetní_závěrka!L33&lt;&gt;"",Účetní_závěrka!L33,""),"")</f>
        <v/>
      </c>
      <c r="AT199" s="683" t="str">
        <f>IF($B$38="P",IF(Účetní_závěrka!K33&lt;&gt;"",Účetní_závěrka!K33,""),"")</f>
        <v/>
      </c>
      <c r="AV199">
        <v>22</v>
      </c>
      <c r="AW199" s="541"/>
    </row>
    <row r="200" spans="18:49" ht="12.75">
      <c r="R200">
        <f t="shared" si="1"/>
        <v>1</v>
      </c>
      <c r="S200" s="682">
        <f t="shared" si="2"/>
        <v>23</v>
      </c>
      <c r="T200" s="683" t="str">
        <f>IF($B$38="P",IF(Účetní_závěrka!D34&lt;&gt;"",Účetní_závěrka!D34,""),"")</f>
        <v/>
      </c>
      <c r="U200" s="683" t="str">
        <f>IF($B$38="P",IF(Účetní_závěrka!E34&lt;&gt;"",ABS(Účetní_závěrka!E34),""),"")</f>
        <v/>
      </c>
      <c r="V200" s="683" t="str">
        <f>IF($B$38="P",IF(Účetní_závěrka!F34&lt;&gt;"",Účetní_závěrka!F34,""),"")</f>
        <v/>
      </c>
      <c r="W200" s="683" t="str">
        <f>IF($B$38="P",IF(Účetní_závěrka!G34&lt;&gt;"",Účetní_závěrka!G34,""),"")</f>
        <v/>
      </c>
      <c r="Y200">
        <v>23</v>
      </c>
      <c r="AB200">
        <f t="shared" si="3"/>
        <v>1</v>
      </c>
      <c r="AC200" s="682">
        <f t="shared" si="6"/>
        <v>53</v>
      </c>
      <c r="AD200" s="683" t="str">
        <f>IF($B$38="P",IF(Účetní_závěrka!E114&lt;&gt;"",Účetní_závěrka!E114,""),IF(Účetní_závěrka!E144&lt;&gt;"",Účetní_závěrka!E144,""))</f>
        <v/>
      </c>
      <c r="AE200" s="683" t="str">
        <f>IF($B$38="P",IF(Účetní_závěrka!D114&lt;&gt;"",Účetní_závěrka!D114,""),IF(Účetní_závěrka!D144&lt;&gt;"",Účetní_závěrka!D144,""))</f>
        <v/>
      </c>
      <c r="AG200">
        <v>23</v>
      </c>
      <c r="AH200">
        <v>53</v>
      </c>
      <c r="AQ200">
        <f t="shared" si="4"/>
        <v>1</v>
      </c>
      <c r="AR200" s="682">
        <f t="shared" si="5"/>
        <v>23</v>
      </c>
      <c r="AS200" s="683" t="str">
        <f>IF($B$38="P",IF(Účetní_závěrka!L34&lt;&gt;"",Účetní_závěrka!L34,""),"")</f>
        <v/>
      </c>
      <c r="AT200" s="683" t="str">
        <f>IF($B$38="P",IF(Účetní_závěrka!K34&lt;&gt;"",Účetní_závěrka!K34,""),"")</f>
        <v/>
      </c>
      <c r="AV200">
        <v>23</v>
      </c>
      <c r="AW200" s="541"/>
    </row>
    <row r="201" spans="18:49" ht="12.75">
      <c r="R201">
        <f t="shared" si="1"/>
        <v>1</v>
      </c>
      <c r="S201" s="682">
        <f t="shared" si="2"/>
        <v>24</v>
      </c>
      <c r="T201" s="683" t="str">
        <f>IF($B$38="P",IF(Účetní_závěrka!D35&lt;&gt;"",Účetní_závěrka!D35,""),"")</f>
        <v/>
      </c>
      <c r="U201" s="683" t="str">
        <f>IF($B$38="P",IF(Účetní_závěrka!E35&lt;&gt;"",ABS(Účetní_závěrka!E35),""),"")</f>
        <v/>
      </c>
      <c r="V201" s="683" t="str">
        <f>IF($B$38="P",IF(Účetní_závěrka!F35&lt;&gt;"",Účetní_závěrka!F35,""),"")</f>
        <v/>
      </c>
      <c r="W201" s="683" t="str">
        <f>IF($B$38="P",IF(Účetní_závěrka!G35&lt;&gt;"",Účetní_závěrka!G35,""),"")</f>
        <v/>
      </c>
      <c r="Y201">
        <v>24</v>
      </c>
      <c r="AB201">
        <f t="shared" si="3"/>
        <v>1</v>
      </c>
      <c r="AC201" s="682">
        <f t="shared" si="6"/>
        <v>54</v>
      </c>
      <c r="AD201" s="683" t="str">
        <f>IF($B$38="P",IF(Účetní_závěrka!E115&lt;&gt;"",Účetní_závěrka!E115,""),IF(Účetní_závěrka!E145&lt;&gt;"",Účetní_závěrka!E145,""))</f>
        <v/>
      </c>
      <c r="AE201" s="683" t="str">
        <f>IF($B$38="P",IF(Účetní_závěrka!D115&lt;&gt;"",Účetní_závěrka!D115,""),IF(Účetní_závěrka!D145&lt;&gt;"",Účetní_závěrka!D145,""))</f>
        <v/>
      </c>
      <c r="AG201">
        <v>24</v>
      </c>
      <c r="AH201">
        <v>54</v>
      </c>
      <c r="AQ201">
        <f t="shared" si="4"/>
        <v>1</v>
      </c>
      <c r="AR201" s="682">
        <f t="shared" si="5"/>
        <v>24</v>
      </c>
      <c r="AS201" s="683" t="str">
        <f>IF($B$38="P",IF(Účetní_závěrka!L35&lt;&gt;"",Účetní_závěrka!L35,""),"")</f>
        <v/>
      </c>
      <c r="AT201" s="683" t="str">
        <f>IF($B$38="P",IF(Účetní_závěrka!K35&lt;&gt;"",Účetní_závěrka!K35,""),"")</f>
        <v/>
      </c>
      <c r="AV201">
        <v>24</v>
      </c>
      <c r="AW201" s="541"/>
    </row>
    <row r="202" spans="18:49" ht="12.75">
      <c r="R202">
        <f t="shared" si="1"/>
        <v>1</v>
      </c>
      <c r="S202" s="682">
        <f t="shared" si="2"/>
        <v>25</v>
      </c>
      <c r="T202" s="683" t="str">
        <f>IF($B$38="P",IF(Účetní_závěrka!D36&lt;&gt;"",Účetní_závěrka!D36,""),"")</f>
        <v/>
      </c>
      <c r="U202" s="683" t="str">
        <f>IF($B$38="P",IF(Účetní_závěrka!E36&lt;&gt;"",ABS(Účetní_závěrka!E36),""),"")</f>
        <v/>
      </c>
      <c r="V202" s="683" t="str">
        <f>IF($B$38="P",IF(Účetní_závěrka!F36&lt;&gt;"",Účetní_závěrka!F36,""),"")</f>
        <v/>
      </c>
      <c r="W202" s="683" t="str">
        <f>IF($B$38="P",IF(Účetní_závěrka!G36&lt;&gt;"",Účetní_závěrka!G36,""),"")</f>
        <v/>
      </c>
      <c r="Y202">
        <v>25</v>
      </c>
      <c r="AB202">
        <f t="shared" si="3"/>
        <v>1</v>
      </c>
      <c r="AC202" s="682">
        <f t="shared" si="6"/>
        <v>55</v>
      </c>
      <c r="AD202" s="683" t="str">
        <f>IF($B$38="P",IF(Účetní_závěrka!E116&lt;&gt;"",Účetní_závěrka!E116,""),IF(Účetní_závěrka!E146&lt;&gt;"",Účetní_závěrka!E146,""))</f>
        <v/>
      </c>
      <c r="AE202" s="683" t="str">
        <f>IF($B$38="P",IF(Účetní_závěrka!D116&lt;&gt;"",Účetní_závěrka!D116,""),IF(Účetní_závěrka!D146&lt;&gt;"",Účetní_závěrka!D146,""))</f>
        <v/>
      </c>
      <c r="AG202">
        <v>25</v>
      </c>
      <c r="AH202">
        <v>55</v>
      </c>
      <c r="AQ202">
        <f t="shared" si="4"/>
        <v>1</v>
      </c>
      <c r="AR202" s="682">
        <f t="shared" si="5"/>
        <v>25</v>
      </c>
      <c r="AS202" s="683" t="str">
        <f>IF($B$38="P",IF(Účetní_závěrka!L36&lt;&gt;"",Účetní_závěrka!L36,""),"")</f>
        <v/>
      </c>
      <c r="AT202" s="683" t="str">
        <f>IF($B$38="P",IF(Účetní_závěrka!K36&lt;&gt;"",Účetní_závěrka!K36,""),"")</f>
        <v/>
      </c>
      <c r="AV202">
        <v>25</v>
      </c>
      <c r="AW202" s="541"/>
    </row>
    <row r="203" spans="18:49" ht="12.75">
      <c r="R203">
        <f t="shared" si="1"/>
        <v>1</v>
      </c>
      <c r="S203" s="682">
        <f t="shared" si="2"/>
        <v>26</v>
      </c>
      <c r="T203" s="683" t="str">
        <f>IF($B$38="P",IF(Účetní_závěrka!D37&lt;&gt;"",Účetní_závěrka!D37,""),"")</f>
        <v/>
      </c>
      <c r="U203" s="683" t="str">
        <f>IF($B$38="P",IF(Účetní_závěrka!E37&lt;&gt;"",ABS(Účetní_závěrka!E37),""),"")</f>
        <v/>
      </c>
      <c r="V203" s="683" t="str">
        <f>IF($B$38="P",IF(Účetní_závěrka!F37&lt;&gt;"",Účetní_závěrka!F37,""),"")</f>
        <v/>
      </c>
      <c r="W203" s="683" t="str">
        <f>IF($B$38="P",IF(Účetní_závěrka!G37&lt;&gt;"",Účetní_závěrka!G37,""),"")</f>
        <v/>
      </c>
      <c r="Y203">
        <v>26</v>
      </c>
      <c r="AB203">
        <f t="shared" si="3"/>
        <v>1</v>
      </c>
      <c r="AC203" s="682">
        <f t="shared" si="6"/>
        <v>56</v>
      </c>
      <c r="AD203" s="683" t="str">
        <f>IF($B$38="P",IF(Účetní_závěrka!E117&lt;&gt;"",Účetní_závěrka!E117,""),IF(Účetní_závěrka!E147&lt;&gt;"",Účetní_závěrka!E147,""))</f>
        <v/>
      </c>
      <c r="AE203" s="683" t="str">
        <f>IF($B$38="P",IF(Účetní_závěrka!D117&lt;&gt;"",Účetní_závěrka!D117,""),IF(Účetní_závěrka!D147&lt;&gt;"",Účetní_závěrka!D147,""))</f>
        <v/>
      </c>
      <c r="AG203">
        <v>26</v>
      </c>
      <c r="AH203">
        <v>56</v>
      </c>
      <c r="AQ203">
        <f t="shared" si="4"/>
        <v>1</v>
      </c>
      <c r="AR203" s="682">
        <f t="shared" si="5"/>
        <v>26</v>
      </c>
      <c r="AS203" s="683" t="str">
        <f>IF($B$38="P",IF(Účetní_závěrka!L37&lt;&gt;"",Účetní_závěrka!L37,""),"")</f>
        <v/>
      </c>
      <c r="AT203" s="683" t="str">
        <f>IF($B$38="P",IF(Účetní_závěrka!K37&lt;&gt;"",Účetní_závěrka!K37,""),"")</f>
        <v/>
      </c>
      <c r="AV203">
        <v>26</v>
      </c>
      <c r="AW203" s="541"/>
    </row>
    <row r="204" spans="18:49" ht="12.75">
      <c r="R204">
        <f t="shared" si="1"/>
        <v>1</v>
      </c>
      <c r="S204" s="682">
        <f t="shared" si="2"/>
        <v>27</v>
      </c>
      <c r="T204" s="683" t="str">
        <f>IF($B$38="P",IF(Účetní_závěrka!D38&lt;&gt;"",Účetní_závěrka!D38,""),"")</f>
        <v/>
      </c>
      <c r="U204" s="683" t="str">
        <f>IF($B$38="P",IF(Účetní_závěrka!E38&lt;&gt;"",ABS(Účetní_závěrka!E38),""),"")</f>
        <v/>
      </c>
      <c r="V204" s="683" t="str">
        <f>IF($B$38="P",IF(Účetní_závěrka!F38&lt;&gt;"",Účetní_závěrka!F38,""),"")</f>
        <v/>
      </c>
      <c r="W204" s="683" t="str">
        <f>IF($B$38="P",IF(Účetní_závěrka!G38&lt;&gt;"",Účetní_závěrka!G38,""),"")</f>
        <v/>
      </c>
      <c r="Y204">
        <v>27</v>
      </c>
      <c r="AB204">
        <f t="shared" si="3"/>
        <v>1</v>
      </c>
      <c r="AC204" s="682" t="str">
        <f t="shared" si="6"/>
        <v/>
      </c>
      <c r="AD204" s="683" t="str">
        <f>IF($B$38="P",IF(Účetní_závěrka!E118&lt;&gt;"",Účetní_závěrka!E118,""),"")</f>
        <v/>
      </c>
      <c r="AE204" s="683" t="str">
        <f>IF($B$38="P",IF(Účetní_závěrka!D118&lt;&gt;"",Účetní_závěrka!D118,""),"")</f>
        <v/>
      </c>
      <c r="AG204">
        <v>27</v>
      </c>
      <c r="AQ204">
        <f t="shared" si="4"/>
        <v>1</v>
      </c>
      <c r="AR204" s="682">
        <f t="shared" si="5"/>
        <v>27</v>
      </c>
      <c r="AS204" s="683" t="str">
        <f>IF($B$38="P",IF(Účetní_závěrka!L38&lt;&gt;"",Účetní_závěrka!L38,""),"")</f>
        <v/>
      </c>
      <c r="AT204" s="683" t="str">
        <f>IF($B$38="P",IF(Účetní_závěrka!K38&lt;&gt;"",Účetní_závěrka!K38,""),"")</f>
        <v/>
      </c>
      <c r="AV204">
        <v>27</v>
      </c>
      <c r="AW204" s="541"/>
    </row>
    <row r="205" spans="18:49" ht="12.75">
      <c r="R205">
        <f t="shared" si="1"/>
        <v>1</v>
      </c>
      <c r="S205" s="682">
        <f t="shared" si="2"/>
        <v>28</v>
      </c>
      <c r="T205" s="683" t="str">
        <f>IF($B$38="P",IF(Účetní_závěrka!D39&lt;&gt;"",Účetní_závěrka!D39,""),"")</f>
        <v/>
      </c>
      <c r="U205" s="683" t="str">
        <f>IF($B$38="P",IF(Účetní_závěrka!E39&lt;&gt;"",ABS(Účetní_závěrka!E39),""),"")</f>
        <v/>
      </c>
      <c r="V205" s="683" t="str">
        <f>IF($B$38="P",IF(Účetní_závěrka!F39&lt;&gt;"",Účetní_závěrka!F39,""),"")</f>
        <v/>
      </c>
      <c r="W205" s="683" t="str">
        <f>IF($B$38="P",IF(Účetní_závěrka!G39&lt;&gt;"",Účetní_závěrka!G39,""),"")</f>
        <v/>
      </c>
      <c r="Y205">
        <v>28</v>
      </c>
      <c r="AB205">
        <f t="shared" si="3"/>
        <v>1</v>
      </c>
      <c r="AC205" s="682" t="str">
        <f t="shared" si="6"/>
        <v/>
      </c>
      <c r="AD205" s="683" t="str">
        <f>IF($B$38="P",IF(Účetní_závěrka!E119&lt;&gt;"",Účetní_závěrka!E119,""),"")</f>
        <v/>
      </c>
      <c r="AE205" s="683" t="str">
        <f>IF($B$38="P",IF(Účetní_závěrka!D119&lt;&gt;"",Účetní_závěrka!D119,""),"")</f>
        <v/>
      </c>
      <c r="AG205">
        <v>28</v>
      </c>
      <c r="AQ205">
        <f t="shared" si="4"/>
        <v>1</v>
      </c>
      <c r="AR205" s="682">
        <f t="shared" si="5"/>
        <v>28</v>
      </c>
      <c r="AS205" s="683" t="str">
        <f>IF($B$38="P",IF(Účetní_závěrka!L39&lt;&gt;"",Účetní_závěrka!L39,""),"")</f>
        <v/>
      </c>
      <c r="AT205" s="683" t="str">
        <f>IF($B$38="P",IF(Účetní_závěrka!K39&lt;&gt;"",Účetní_závěrka!K39,""),"")</f>
        <v/>
      </c>
      <c r="AV205">
        <v>28</v>
      </c>
      <c r="AW205" s="541"/>
    </row>
    <row r="206" spans="18:49" ht="12.75">
      <c r="R206">
        <f t="shared" si="1"/>
        <v>1</v>
      </c>
      <c r="S206" s="682">
        <f t="shared" si="2"/>
        <v>29</v>
      </c>
      <c r="T206" s="683" t="str">
        <f>IF($B$38="P",IF(Účetní_závěrka!D40&lt;&gt;"",Účetní_závěrka!D40,""),"")</f>
        <v/>
      </c>
      <c r="U206" s="683" t="str">
        <f>IF($B$38="P",IF(Účetní_závěrka!E40&lt;&gt;"",ABS(Účetní_závěrka!E40),""),"")</f>
        <v/>
      </c>
      <c r="V206" s="683" t="str">
        <f>IF($B$38="P",IF(Účetní_závěrka!F40&lt;&gt;"",Účetní_závěrka!F40,""),"")</f>
        <v/>
      </c>
      <c r="W206" s="683" t="str">
        <f>IF($B$38="P",IF(Účetní_závěrka!G40&lt;&gt;"",Účetní_závěrka!G40,""),"")</f>
        <v/>
      </c>
      <c r="Y206">
        <v>29</v>
      </c>
      <c r="AB206">
        <f t="shared" si="3"/>
        <v>1</v>
      </c>
      <c r="AC206" s="682" t="str">
        <f t="shared" si="6"/>
        <v/>
      </c>
      <c r="AD206" s="683" t="str">
        <f>IF($B$38="P",IF(Účetní_závěrka!E120&lt;&gt;"",Účetní_závěrka!E120,""),"")</f>
        <v/>
      </c>
      <c r="AE206" s="683" t="str">
        <f>IF($B$38="P",IF(Účetní_závěrka!D120&lt;&gt;"",Účetní_závěrka!D120,""),"")</f>
        <v/>
      </c>
      <c r="AG206">
        <v>29</v>
      </c>
      <c r="AQ206">
        <f t="shared" si="4"/>
        <v>1</v>
      </c>
      <c r="AR206" s="682">
        <f t="shared" si="5"/>
        <v>29</v>
      </c>
      <c r="AS206" s="683" t="str">
        <f>IF($B$38="P",IF(Účetní_závěrka!L40&lt;&gt;"",Účetní_závěrka!L40,""),"")</f>
        <v/>
      </c>
      <c r="AT206" s="683" t="str">
        <f>IF($B$38="P",IF(Účetní_závěrka!K40&lt;&gt;"",Účetní_závěrka!K40,""),"")</f>
        <v/>
      </c>
      <c r="AV206">
        <v>29</v>
      </c>
      <c r="AW206" s="541"/>
    </row>
    <row r="207" spans="18:49" ht="12.75">
      <c r="R207">
        <f t="shared" si="1"/>
        <v>1</v>
      </c>
      <c r="S207" s="682">
        <f t="shared" si="2"/>
        <v>30</v>
      </c>
      <c r="T207" s="683" t="str">
        <f>IF($B$38="P",IF(Účetní_závěrka!D41&lt;&gt;"",Účetní_závěrka!D41,""),"")</f>
        <v/>
      </c>
      <c r="U207" s="683" t="str">
        <f>IF($B$38="P",IF(Účetní_závěrka!E41&lt;&gt;"",ABS(Účetní_závěrka!E41),""),"")</f>
        <v/>
      </c>
      <c r="V207" s="683" t="str">
        <f>IF($B$38="P",IF(Účetní_závěrka!F41&lt;&gt;"",Účetní_závěrka!F41,""),"")</f>
        <v/>
      </c>
      <c r="W207" s="683" t="str">
        <f>IF($B$38="P",IF(Účetní_závěrka!G41&lt;&gt;"",Účetní_závěrka!G41,""),"")</f>
        <v/>
      </c>
      <c r="Y207">
        <v>30</v>
      </c>
      <c r="AB207">
        <f t="shared" si="3"/>
        <v>1</v>
      </c>
      <c r="AC207" s="682" t="str">
        <f t="shared" si="6"/>
        <v/>
      </c>
      <c r="AD207" s="683" t="str">
        <f>IF($B$38="P",IF(Účetní_závěrka!E121&lt;&gt;"",Účetní_závěrka!E121,""),"")</f>
        <v/>
      </c>
      <c r="AE207" s="683" t="str">
        <f>IF($B$38="P",IF(Účetní_závěrka!D121&lt;&gt;"",Účetní_závěrka!D121,""),"")</f>
        <v/>
      </c>
      <c r="AG207">
        <v>30</v>
      </c>
      <c r="AQ207">
        <f t="shared" si="4"/>
        <v>1</v>
      </c>
      <c r="AR207" s="682">
        <f t="shared" si="5"/>
        <v>30</v>
      </c>
      <c r="AS207" s="683" t="str">
        <f>IF($B$38="P",IF(Účetní_závěrka!L41&lt;&gt;"",Účetní_závěrka!L41,""),"")</f>
        <v/>
      </c>
      <c r="AT207" s="683" t="str">
        <f>IF($B$38="P",IF(Účetní_závěrka!K41&lt;&gt;"",Účetní_závěrka!K41,""),"")</f>
        <v/>
      </c>
      <c r="AV207">
        <v>30</v>
      </c>
      <c r="AW207" s="541"/>
    </row>
    <row r="208" spans="18:49" ht="12.75">
      <c r="R208">
        <f t="shared" si="1"/>
        <v>1</v>
      </c>
      <c r="S208" s="682">
        <f t="shared" si="2"/>
        <v>31</v>
      </c>
      <c r="T208" s="683" t="str">
        <f>IF($B$38="P",IF(Účetní_závěrka!D42&lt;&gt;"",Účetní_závěrka!D42,""),"")</f>
        <v/>
      </c>
      <c r="U208" s="683" t="str">
        <f>IF($B$38="P",IF(Účetní_závěrka!E42&lt;&gt;"",ABS(Účetní_závěrka!E42),""),"")</f>
        <v/>
      </c>
      <c r="V208" s="683" t="str">
        <f>IF($B$38="P",IF(Účetní_závěrka!F42&lt;&gt;"",Účetní_závěrka!F42,""),"")</f>
        <v/>
      </c>
      <c r="W208" s="683" t="str">
        <f>IF($B$38="P",IF(Účetní_závěrka!G42&lt;&gt;"",Účetní_závěrka!G42,""),"")</f>
        <v/>
      </c>
      <c r="Y208">
        <v>31</v>
      </c>
      <c r="AB208">
        <f t="shared" si="3"/>
        <v>1</v>
      </c>
      <c r="AC208" s="682" t="str">
        <f t="shared" si="6"/>
        <v/>
      </c>
      <c r="AD208" s="683" t="str">
        <f>IF($B$38="P",IF(Účetní_závěrka!E122&lt;&gt;"",Účetní_závěrka!E122,""),"")</f>
        <v/>
      </c>
      <c r="AE208" s="683" t="str">
        <f>IF($B$38="P",IF(Účetní_závěrka!D122&lt;&gt;"",Účetní_závěrka!D122,""),"")</f>
        <v/>
      </c>
      <c r="AG208">
        <v>31</v>
      </c>
      <c r="AQ208">
        <f t="shared" si="4"/>
        <v>1</v>
      </c>
      <c r="AR208" s="682">
        <f t="shared" si="5"/>
        <v>31</v>
      </c>
      <c r="AS208" s="683" t="str">
        <f>IF($B$38="P",IF(Účetní_závěrka!L42&lt;&gt;"",Účetní_závěrka!L42,""),"")</f>
        <v/>
      </c>
      <c r="AT208" s="683" t="str">
        <f>IF($B$38="P",IF(Účetní_závěrka!K42&lt;&gt;"",Účetní_závěrka!K42,""),"")</f>
        <v/>
      </c>
      <c r="AV208">
        <v>31</v>
      </c>
      <c r="AW208" s="541"/>
    </row>
    <row r="209" spans="18:49" ht="12.75">
      <c r="R209">
        <f t="shared" si="1"/>
        <v>1</v>
      </c>
      <c r="S209" s="682">
        <f t="shared" si="2"/>
        <v>32</v>
      </c>
      <c r="T209" s="683" t="str">
        <f>IF($B$38="P",IF(Účetní_závěrka!D43&lt;&gt;"",Účetní_závěrka!D43,""),"")</f>
        <v/>
      </c>
      <c r="U209" s="683" t="str">
        <f>IF($B$38="P",IF(Účetní_závěrka!E43&lt;&gt;"",ABS(Účetní_závěrka!E43),""),"")</f>
        <v/>
      </c>
      <c r="V209" s="683" t="str">
        <f>IF($B$38="P",IF(Účetní_závěrka!F43&lt;&gt;"",Účetní_závěrka!F43,""),"")</f>
        <v/>
      </c>
      <c r="W209" s="683" t="str">
        <f>IF($B$38="P",IF(Účetní_závěrka!G43&lt;&gt;"",Účetní_závěrka!G43,""),"")</f>
        <v/>
      </c>
      <c r="Y209">
        <v>32</v>
      </c>
      <c r="AB209">
        <f t="shared" si="3"/>
        <v>1</v>
      </c>
      <c r="AC209" s="682" t="str">
        <f t="shared" si="6"/>
        <v/>
      </c>
      <c r="AD209" s="683" t="str">
        <f>IF($B$38="P",IF(Účetní_závěrka!E123&lt;&gt;"",Účetní_závěrka!E123,""),"")</f>
        <v/>
      </c>
      <c r="AE209" s="683" t="str">
        <f>IF($B$38="P",IF(Účetní_závěrka!D123&lt;&gt;"",Účetní_závěrka!D123,""),"")</f>
        <v/>
      </c>
      <c r="AG209">
        <v>32</v>
      </c>
      <c r="AQ209">
        <f t="shared" si="4"/>
        <v>1</v>
      </c>
      <c r="AR209" s="682">
        <f t="shared" si="5"/>
        <v>32</v>
      </c>
      <c r="AS209" s="683" t="str">
        <f>IF($B$38="P",IF(Účetní_závěrka!L43&lt;&gt;"",Účetní_závěrka!L43,""),"")</f>
        <v/>
      </c>
      <c r="AT209" s="683" t="str">
        <f>IF($B$38="P",IF(Účetní_závěrka!K43&lt;&gt;"",Účetní_závěrka!K43,""),"")</f>
        <v/>
      </c>
      <c r="AV209">
        <v>32</v>
      </c>
      <c r="AW209" s="541"/>
    </row>
    <row r="210" spans="18:49" ht="12.75">
      <c r="R210">
        <f t="shared" si="7" ref="R210:R243">$Q$178</f>
        <v>1</v>
      </c>
      <c r="S210" s="682">
        <f t="shared" si="2"/>
        <v>33</v>
      </c>
      <c r="T210" s="683" t="str">
        <f>IF($B$38="P",IF(Účetní_závěrka!D44&lt;&gt;"",Účetní_závěrka!D44,""),"")</f>
        <v/>
      </c>
      <c r="U210" s="683" t="str">
        <f>IF($B$38="P",IF(Účetní_závěrka!E44&lt;&gt;"",ABS(Účetní_závěrka!E44),""),"")</f>
        <v/>
      </c>
      <c r="V210" s="683" t="str">
        <f>IF($B$38="P",IF(Účetní_závěrka!F44&lt;&gt;"",Účetní_závěrka!F44,""),"")</f>
        <v/>
      </c>
      <c r="W210" s="683" t="str">
        <f>IF($B$38="P",IF(Účetní_závěrka!G44&lt;&gt;"",Účetní_závěrka!G44,""),"")</f>
        <v/>
      </c>
      <c r="Y210">
        <v>33</v>
      </c>
      <c r="AB210">
        <f t="shared" si="8" ref="AB210:AB233">$AB$176</f>
        <v>1</v>
      </c>
      <c r="AC210" s="682" t="str">
        <f t="shared" si="6"/>
        <v/>
      </c>
      <c r="AD210" s="683" t="str">
        <f>IF($B$38="P",IF(Účetní_závěrka!E124&lt;&gt;"",Účetní_závěrka!E124,""),"")</f>
        <v/>
      </c>
      <c r="AE210" s="683" t="str">
        <f>IF($B$38="P",IF(Účetní_závěrka!D124&lt;&gt;"",Účetní_závěrka!D124,""),"")</f>
        <v/>
      </c>
      <c r="AG210">
        <v>33</v>
      </c>
      <c r="AQ210">
        <f t="shared" si="9" ref="AQ210:AQ235">$AP$178</f>
        <v>1</v>
      </c>
      <c r="AR210" s="682">
        <f t="shared" si="5"/>
        <v>33</v>
      </c>
      <c r="AS210" s="683" t="str">
        <f>IF($B$38="P",IF(Účetní_závěrka!L44&lt;&gt;"",Účetní_závěrka!L44,""),"")</f>
        <v/>
      </c>
      <c r="AT210" s="683" t="str">
        <f>IF($B$38="P",IF(Účetní_závěrka!K44&lt;&gt;"",Účetní_závěrka!K44,""),"")</f>
        <v/>
      </c>
      <c r="AV210">
        <v>33</v>
      </c>
      <c r="AW210" s="541"/>
    </row>
    <row r="211" spans="18:49" ht="12.75">
      <c r="R211">
        <f t="shared" si="7"/>
        <v>1</v>
      </c>
      <c r="S211" s="682">
        <f t="shared" si="2"/>
        <v>34</v>
      </c>
      <c r="T211" s="683" t="str">
        <f>IF($B$38="P",IF(Účetní_závěrka!D45&lt;&gt;"",Účetní_závěrka!D45,""),"")</f>
        <v/>
      </c>
      <c r="U211" s="683" t="str">
        <f>IF($B$38="P",IF(Účetní_závěrka!E45&lt;&gt;"",ABS(Účetní_závěrka!E45),""),"")</f>
        <v/>
      </c>
      <c r="V211" s="683" t="str">
        <f>IF($B$38="P",IF(Účetní_závěrka!F45&lt;&gt;"",Účetní_závěrka!F45,""),"")</f>
        <v/>
      </c>
      <c r="W211" s="683" t="str">
        <f>IF($B$38="P",IF(Účetní_závěrka!G45&lt;&gt;"",Účetní_závěrka!G45,""),"")</f>
        <v/>
      </c>
      <c r="Y211">
        <v>34</v>
      </c>
      <c r="AB211">
        <f t="shared" si="8"/>
        <v>1</v>
      </c>
      <c r="AC211" s="682" t="str">
        <f t="shared" si="6"/>
        <v/>
      </c>
      <c r="AD211" s="683" t="str">
        <f>IF($B$38="P",IF(Účetní_závěrka!E125&lt;&gt;"",Účetní_závěrka!E125,""),"")</f>
        <v/>
      </c>
      <c r="AE211" s="683" t="str">
        <f>IF($B$38="P",IF(Účetní_závěrka!D125&lt;&gt;"",Účetní_závěrka!D125,""),"")</f>
        <v/>
      </c>
      <c r="AG211">
        <v>34</v>
      </c>
      <c r="AQ211">
        <f t="shared" si="9"/>
        <v>1</v>
      </c>
      <c r="AR211" s="682">
        <f t="shared" si="5"/>
        <v>34</v>
      </c>
      <c r="AS211" s="683" t="str">
        <f>IF($B$38="P",IF(Účetní_závěrka!L45&lt;&gt;"",Účetní_závěrka!L45,""),"")</f>
        <v/>
      </c>
      <c r="AT211" s="683" t="str">
        <f>IF($B$38="P",IF(Účetní_závěrka!K45&lt;&gt;"",Účetní_závěrka!K45,""),"")</f>
        <v/>
      </c>
      <c r="AV211">
        <v>34</v>
      </c>
      <c r="AW211" s="541"/>
    </row>
    <row r="212" spans="18:49" ht="12.75">
      <c r="R212">
        <f t="shared" si="7"/>
        <v>1</v>
      </c>
      <c r="S212" s="682">
        <f t="shared" si="2"/>
        <v>35</v>
      </c>
      <c r="T212" s="683" t="str">
        <f>IF($B$38="P",IF(Účetní_závěrka!D46&lt;&gt;"",Účetní_závěrka!D46,""),"")</f>
        <v/>
      </c>
      <c r="U212" s="683" t="str">
        <f>IF($B$38="P",IF(Účetní_závěrka!E46&lt;&gt;"",ABS(Účetní_závěrka!E46),""),"")</f>
        <v/>
      </c>
      <c r="V212" s="683" t="str">
        <f>IF($B$38="P",IF(Účetní_závěrka!F46&lt;&gt;"",Účetní_závěrka!F46,""),"")</f>
        <v/>
      </c>
      <c r="W212" s="683" t="str">
        <f>IF($B$38="P",IF(Účetní_závěrka!G46&lt;&gt;"",Účetní_závěrka!G46,""),"")</f>
        <v/>
      </c>
      <c r="Y212">
        <v>35</v>
      </c>
      <c r="AB212">
        <f t="shared" si="8"/>
        <v>1</v>
      </c>
      <c r="AC212" s="682" t="str">
        <f t="shared" si="6"/>
        <v/>
      </c>
      <c r="AD212" s="683" t="str">
        <f>IF($B$38="P",IF(Účetní_závěrka!E126&lt;&gt;"",Účetní_závěrka!E126,""),"")</f>
        <v/>
      </c>
      <c r="AE212" s="683" t="str">
        <f>IF($B$38="P",IF(Účetní_závěrka!D126&lt;&gt;"",Účetní_závěrka!D126,""),"")</f>
        <v/>
      </c>
      <c r="AG212">
        <v>35</v>
      </c>
      <c r="AQ212">
        <f t="shared" si="9"/>
        <v>1</v>
      </c>
      <c r="AR212" s="682">
        <f t="shared" si="5"/>
        <v>35</v>
      </c>
      <c r="AS212" s="683" t="str">
        <f>IF($B$38="P",IF(Účetní_závěrka!L46&lt;&gt;"",Účetní_závěrka!L46,""),"")</f>
        <v/>
      </c>
      <c r="AT212" s="683" t="str">
        <f>IF($B$38="P",IF(Účetní_závěrka!K46&lt;&gt;"",Účetní_závěrka!K46,""),"")</f>
        <v/>
      </c>
      <c r="AV212">
        <v>35</v>
      </c>
      <c r="AW212" s="541"/>
    </row>
    <row r="213" spans="18:49" ht="12.75">
      <c r="R213">
        <f t="shared" si="7"/>
        <v>1</v>
      </c>
      <c r="S213" s="682">
        <f t="shared" si="2"/>
        <v>36</v>
      </c>
      <c r="T213" s="683" t="str">
        <f>IF($B$38="P",IF(Účetní_závěrka!D47&lt;&gt;"",Účetní_závěrka!D47,""),"")</f>
        <v/>
      </c>
      <c r="U213" s="683" t="str">
        <f>IF($B$38="P",IF(Účetní_závěrka!E47&lt;&gt;"",ABS(Účetní_závěrka!E47),""),"")</f>
        <v/>
      </c>
      <c r="V213" s="683" t="str">
        <f>IF($B$38="P",IF(Účetní_závěrka!F47&lt;&gt;"",Účetní_závěrka!F47,""),"")</f>
        <v/>
      </c>
      <c r="W213" s="683" t="str">
        <f>IF($B$38="P",IF(Účetní_závěrka!G47&lt;&gt;"",Účetní_závěrka!G47,""),"")</f>
        <v/>
      </c>
      <c r="Y213">
        <v>36</v>
      </c>
      <c r="AB213">
        <f t="shared" si="8"/>
        <v>1</v>
      </c>
      <c r="AC213" s="682" t="str">
        <f t="shared" si="6"/>
        <v/>
      </c>
      <c r="AD213" s="683" t="str">
        <f>IF($B$38="P",IF(Účetní_závěrka!E127&lt;&gt;"",Účetní_závěrka!E127,""),"")</f>
        <v/>
      </c>
      <c r="AE213" s="683" t="str">
        <f>IF($B$38="P",IF(Účetní_závěrka!D127&lt;&gt;"",Účetní_závěrka!D127,""),"")</f>
        <v/>
      </c>
      <c r="AG213">
        <v>36</v>
      </c>
      <c r="AQ213">
        <f t="shared" si="9"/>
        <v>1</v>
      </c>
      <c r="AR213" s="682">
        <f t="shared" si="5"/>
        <v>36</v>
      </c>
      <c r="AS213" s="683" t="str">
        <f>IF($B$38="P",IF(Účetní_závěrka!L47&lt;&gt;"",Účetní_závěrka!L47,""),"")</f>
        <v/>
      </c>
      <c r="AT213" s="683" t="str">
        <f>IF($B$38="P",IF(Účetní_závěrka!K47&lt;&gt;"",Účetní_závěrka!K47,""),"")</f>
        <v/>
      </c>
      <c r="AV213">
        <v>36</v>
      </c>
      <c r="AW213" s="541"/>
    </row>
    <row r="214" spans="18:49" ht="12.75">
      <c r="R214">
        <f t="shared" si="7"/>
        <v>1</v>
      </c>
      <c r="S214" s="682">
        <f t="shared" si="2"/>
        <v>37</v>
      </c>
      <c r="T214" s="683" t="str">
        <f>IF($B$38="P",IF(Účetní_závěrka!D48&lt;&gt;"",Účetní_závěrka!D48,""),"")</f>
        <v/>
      </c>
      <c r="U214" s="683" t="str">
        <f>IF($B$38="P",IF(Účetní_závěrka!E48&lt;&gt;"",ABS(Účetní_závěrka!E48),""),"")</f>
        <v/>
      </c>
      <c r="V214" s="683" t="str">
        <f>IF($B$38="P",IF(Účetní_závěrka!F48&lt;&gt;"",Účetní_závěrka!F48,""),"")</f>
        <v/>
      </c>
      <c r="W214" s="683" t="str">
        <f>IF($B$38="P",IF(Účetní_závěrka!G48&lt;&gt;"",Účetní_závěrka!G48,""),"")</f>
        <v/>
      </c>
      <c r="Y214">
        <v>37</v>
      </c>
      <c r="AB214">
        <f t="shared" si="8"/>
        <v>1</v>
      </c>
      <c r="AC214" s="682" t="str">
        <f t="shared" si="6"/>
        <v/>
      </c>
      <c r="AD214" s="683" t="str">
        <f>IF($B$38="P",IF(Účetní_závěrka!E128&lt;&gt;"",Účetní_závěrka!E128,""),"")</f>
        <v/>
      </c>
      <c r="AE214" s="683" t="str">
        <f>IF($B$38="P",IF(Účetní_závěrka!D128&lt;&gt;"",Účetní_závěrka!D128,""),"")</f>
        <v/>
      </c>
      <c r="AG214">
        <v>37</v>
      </c>
      <c r="AQ214">
        <f t="shared" si="9"/>
        <v>1</v>
      </c>
      <c r="AR214" s="682">
        <f t="shared" si="5"/>
        <v>37</v>
      </c>
      <c r="AS214" s="683" t="str">
        <f>IF($B$38="P",IF(Účetní_závěrka!L48&lt;&gt;"",Účetní_závěrka!L48,""),"")</f>
        <v/>
      </c>
      <c r="AT214" s="683" t="str">
        <f>IF($B$38="P",IF(Účetní_závěrka!K48&lt;&gt;"",Účetní_závěrka!K48,""),"")</f>
        <v/>
      </c>
      <c r="AV214">
        <v>37</v>
      </c>
      <c r="AW214" s="541"/>
    </row>
    <row r="215" spans="18:49" ht="12.75">
      <c r="R215">
        <f t="shared" si="7"/>
        <v>1</v>
      </c>
      <c r="S215" s="682">
        <f t="shared" si="2"/>
        <v>38</v>
      </c>
      <c r="T215" s="683" t="str">
        <f>IF($B$38="P",IF(Účetní_závěrka!D49&lt;&gt;"",Účetní_závěrka!D49,""),"")</f>
        <v/>
      </c>
      <c r="U215" s="683" t="str">
        <f>IF($B$38="P",IF(Účetní_závěrka!E49&lt;&gt;"",ABS(Účetní_závěrka!E49),""),"")</f>
        <v/>
      </c>
      <c r="V215" s="683" t="str">
        <f>IF($B$38="P",IF(Účetní_závěrka!F49&lt;&gt;"",Účetní_závěrka!F49,""),"")</f>
        <v/>
      </c>
      <c r="W215" s="683" t="str">
        <f>IF($B$38="P",IF(Účetní_závěrka!G49&lt;&gt;"",Účetní_závěrka!G49,""),"")</f>
        <v/>
      </c>
      <c r="Y215">
        <v>38</v>
      </c>
      <c r="AB215">
        <f t="shared" si="8"/>
        <v>1</v>
      </c>
      <c r="AC215" s="682" t="str">
        <f t="shared" si="6"/>
        <v/>
      </c>
      <c r="AD215" s="683" t="str">
        <f>IF($B$38="P",IF(Účetní_závěrka!E129&lt;&gt;"",Účetní_závěrka!E129,""),"")</f>
        <v/>
      </c>
      <c r="AE215" s="683" t="str">
        <f>IF($B$38="P",IF(Účetní_závěrka!D129&lt;&gt;"",Účetní_závěrka!D129,""),"")</f>
        <v/>
      </c>
      <c r="AG215">
        <v>38</v>
      </c>
      <c r="AQ215">
        <f t="shared" si="9"/>
        <v>1</v>
      </c>
      <c r="AR215" s="682">
        <f t="shared" si="5"/>
        <v>38</v>
      </c>
      <c r="AS215" s="683" t="str">
        <f>IF($B$38="P",IF(Účetní_závěrka!L49&lt;&gt;"",Účetní_závěrka!L49,""),"")</f>
        <v/>
      </c>
      <c r="AT215" s="683" t="str">
        <f>IF($B$38="P",IF(Účetní_závěrka!K49&lt;&gt;"",Účetní_závěrka!K49,""),"")</f>
        <v/>
      </c>
      <c r="AV215">
        <v>38</v>
      </c>
      <c r="AW215" s="541"/>
    </row>
    <row r="216" spans="18:49" ht="12.75">
      <c r="R216">
        <f t="shared" si="7"/>
        <v>1</v>
      </c>
      <c r="S216" s="682">
        <f t="shared" si="2"/>
        <v>39</v>
      </c>
      <c r="T216" s="683" t="str">
        <f>IF($B$38="P",IF(Účetní_závěrka!D50&lt;&gt;"",Účetní_závěrka!D50,""),"")</f>
        <v/>
      </c>
      <c r="U216" s="683" t="str">
        <f>IF($B$38="P",IF(Účetní_závěrka!E50&lt;&gt;"",ABS(Účetní_závěrka!E50),""),"")</f>
        <v/>
      </c>
      <c r="V216" s="683" t="str">
        <f>IF($B$38="P",IF(Účetní_závěrka!F50&lt;&gt;"",Účetní_závěrka!F50,""),"")</f>
        <v/>
      </c>
      <c r="W216" s="683" t="str">
        <f>IF($B$38="P",IF(Účetní_závěrka!G50&lt;&gt;"",Účetní_závěrka!G50,""),"")</f>
        <v/>
      </c>
      <c r="Y216">
        <v>39</v>
      </c>
      <c r="AB216">
        <f t="shared" si="8"/>
        <v>1</v>
      </c>
      <c r="AC216" s="682" t="str">
        <f t="shared" si="6"/>
        <v/>
      </c>
      <c r="AD216" s="683" t="str">
        <f>IF($B$38="P",IF(Účetní_závěrka!E130&lt;&gt;"",Účetní_závěrka!E130,""),"")</f>
        <v/>
      </c>
      <c r="AE216" s="683" t="str">
        <f>IF($B$38="P",IF(Účetní_závěrka!D130&lt;&gt;"",Účetní_závěrka!D130,""),"")</f>
        <v/>
      </c>
      <c r="AG216">
        <v>39</v>
      </c>
      <c r="AQ216">
        <f t="shared" si="9"/>
        <v>1</v>
      </c>
      <c r="AR216" s="682">
        <f t="shared" si="5"/>
        <v>39</v>
      </c>
      <c r="AS216" s="683" t="str">
        <f>IF($B$38="P",IF(Účetní_závěrka!L50&lt;&gt;"",Účetní_závěrka!L50,""),"")</f>
        <v/>
      </c>
      <c r="AT216" s="683" t="str">
        <f>IF($B$38="P",IF(Účetní_závěrka!K50&lt;&gt;"",Účetní_závěrka!K50,""),"")</f>
        <v/>
      </c>
      <c r="AV216">
        <v>39</v>
      </c>
      <c r="AW216" s="541"/>
    </row>
    <row r="217" spans="18:49" ht="12.75">
      <c r="R217">
        <f t="shared" si="7"/>
        <v>1</v>
      </c>
      <c r="S217" s="682">
        <f t="shared" si="2"/>
        <v>40</v>
      </c>
      <c r="T217" s="683" t="str">
        <f>IF($B$38="P",IF(Účetní_závěrka!D51&lt;&gt;"",Účetní_závěrka!D51,""),"")</f>
        <v/>
      </c>
      <c r="U217" s="683" t="str">
        <f>IF($B$38="P",IF(Účetní_závěrka!E51&lt;&gt;"",ABS(Účetní_závěrka!E51),""),"")</f>
        <v/>
      </c>
      <c r="V217" s="683" t="str">
        <f>IF($B$38="P",IF(Účetní_závěrka!F51&lt;&gt;"",Účetní_závěrka!F51,""),"")</f>
        <v/>
      </c>
      <c r="W217" s="683" t="str">
        <f>IF($B$38="P",IF(Účetní_závěrka!G51&lt;&gt;"",Účetní_závěrka!G51,""),"")</f>
        <v/>
      </c>
      <c r="Y217">
        <v>40</v>
      </c>
      <c r="AB217">
        <f t="shared" si="8"/>
        <v>1</v>
      </c>
      <c r="AC217" s="682" t="str">
        <f t="shared" si="6"/>
        <v/>
      </c>
      <c r="AD217" s="683" t="str">
        <f>IF($B$38="P",IF(Účetní_závěrka!E131&lt;&gt;"",Účetní_závěrka!E131,""),"")</f>
        <v/>
      </c>
      <c r="AE217" s="683" t="str">
        <f>IF($B$38="P",IF(Účetní_závěrka!D131&lt;&gt;"",Účetní_závěrka!D131,""),"")</f>
        <v/>
      </c>
      <c r="AG217">
        <v>40</v>
      </c>
      <c r="AQ217">
        <f t="shared" si="9"/>
        <v>1</v>
      </c>
      <c r="AR217" s="682">
        <f t="shared" si="5"/>
        <v>40</v>
      </c>
      <c r="AS217" s="683" t="str">
        <f>IF($B$38="P",IF(Účetní_závěrka!L51&lt;&gt;"",Účetní_závěrka!L51,""),"")</f>
        <v/>
      </c>
      <c r="AT217" s="683" t="str">
        <f>IF($B$38="P",IF(Účetní_závěrka!K51&lt;&gt;"",Účetní_závěrka!K51,""),"")</f>
        <v/>
      </c>
      <c r="AV217">
        <v>40</v>
      </c>
      <c r="AW217" s="541"/>
    </row>
    <row r="218" spans="18:49" ht="12.75">
      <c r="R218">
        <f t="shared" si="7"/>
        <v>1</v>
      </c>
      <c r="S218" s="682">
        <f t="shared" si="2"/>
        <v>41</v>
      </c>
      <c r="T218" s="683" t="str">
        <f>IF($B$38="P",IF(Účetní_závěrka!D52&lt;&gt;"",Účetní_závěrka!D52,""),"")</f>
        <v/>
      </c>
      <c r="U218" s="683" t="str">
        <f>IF($B$38="P",IF(Účetní_závěrka!E52&lt;&gt;"",ABS(Účetní_závěrka!E52),""),"")</f>
        <v/>
      </c>
      <c r="V218" s="683" t="str">
        <f>IF($B$38="P",IF(Účetní_závěrka!F52&lt;&gt;"",Účetní_závěrka!F52,""),"")</f>
        <v/>
      </c>
      <c r="W218" s="683" t="str">
        <f>IF($B$38="P",IF(Účetní_závěrka!G52&lt;&gt;"",Účetní_závěrka!G52,""),"")</f>
        <v/>
      </c>
      <c r="Y218">
        <v>41</v>
      </c>
      <c r="AB218">
        <f t="shared" si="8"/>
        <v>1</v>
      </c>
      <c r="AC218" s="682" t="str">
        <f t="shared" si="6"/>
        <v/>
      </c>
      <c r="AD218" s="683" t="str">
        <f>IF($B$38="P",IF(Účetní_závěrka!E132&lt;&gt;"",Účetní_závěrka!E132,""),"")</f>
        <v/>
      </c>
      <c r="AE218" s="683" t="str">
        <f>IF($B$38="P",IF(Účetní_závěrka!D132&lt;&gt;"",Účetní_závěrka!D132,""),"")</f>
        <v/>
      </c>
      <c r="AF218" s="397"/>
      <c r="AG218">
        <v>41</v>
      </c>
      <c r="AQ218">
        <f t="shared" si="9"/>
        <v>1</v>
      </c>
      <c r="AR218" s="682">
        <f t="shared" si="5"/>
        <v>41</v>
      </c>
      <c r="AS218" s="683" t="str">
        <f>IF($B$38="P",IF(Účetní_závěrka!L52&lt;&gt;"",Účetní_závěrka!L52,""),"")</f>
        <v/>
      </c>
      <c r="AT218" s="683" t="str">
        <f>IF($B$38="P",IF(Účetní_závěrka!K52&lt;&gt;"",Účetní_závěrka!K52,""),"")</f>
        <v/>
      </c>
      <c r="AV218">
        <v>41</v>
      </c>
      <c r="AW218" s="541"/>
    </row>
    <row r="219" spans="18:49" ht="12.75">
      <c r="R219">
        <f t="shared" si="7"/>
        <v>1</v>
      </c>
      <c r="S219" s="682">
        <f t="shared" si="2"/>
        <v>42</v>
      </c>
      <c r="T219" s="683" t="str">
        <f>IF($B$38="P",IF(Účetní_závěrka!D53&lt;&gt;"",Účetní_závěrka!D53,""),"")</f>
        <v/>
      </c>
      <c r="U219" s="683" t="str">
        <f>IF($B$38="P",IF(Účetní_závěrka!E53&lt;&gt;"",ABS(Účetní_závěrka!E53),""),"")</f>
        <v/>
      </c>
      <c r="V219" s="683" t="str">
        <f>IF($B$38="P",IF(Účetní_závěrka!F53&lt;&gt;"",Účetní_závěrka!F53,""),"")</f>
        <v/>
      </c>
      <c r="W219" s="683" t="str">
        <f>IF($B$38="P",IF(Účetní_závěrka!G53&lt;&gt;"",Účetní_závěrka!G53,""),"")</f>
        <v/>
      </c>
      <c r="Y219">
        <v>42</v>
      </c>
      <c r="AB219">
        <f t="shared" si="8"/>
        <v>1</v>
      </c>
      <c r="AC219" s="682" t="str">
        <f t="shared" si="6"/>
        <v/>
      </c>
      <c r="AD219" s="683" t="str">
        <f>IF($B$38="P",IF(Účetní_závěrka!E133&lt;&gt;"",Účetní_závěrka!E133,""),"")</f>
        <v/>
      </c>
      <c r="AE219" s="683" t="str">
        <f>IF($B$38="P",IF(Účetní_závěrka!D133&lt;&gt;"",Účetní_závěrka!D133,""),"")</f>
        <v/>
      </c>
      <c r="AF219" s="541"/>
      <c r="AG219">
        <v>42</v>
      </c>
      <c r="AQ219">
        <f t="shared" si="9"/>
        <v>1</v>
      </c>
      <c r="AR219" s="682">
        <f t="shared" si="5"/>
        <v>42</v>
      </c>
      <c r="AS219" s="683" t="str">
        <f>IF($B$38="P",IF(Účetní_závěrka!L53&lt;&gt;"",Účetní_závěrka!L53,""),"")</f>
        <v/>
      </c>
      <c r="AT219" s="683" t="str">
        <f>IF($B$38="P",IF(Účetní_závěrka!K53&lt;&gt;"",Účetní_závěrka!K53,""),"")</f>
        <v/>
      </c>
      <c r="AV219">
        <v>42</v>
      </c>
      <c r="AW219" s="541"/>
    </row>
    <row r="220" spans="18:49" ht="12.75">
      <c r="R220">
        <f t="shared" si="7"/>
        <v>1</v>
      </c>
      <c r="S220" s="682">
        <f t="shared" si="2"/>
        <v>43</v>
      </c>
      <c r="T220" s="683" t="str">
        <f>IF($B$38="P",IF(Účetní_závěrka!D54&lt;&gt;"",Účetní_závěrka!D54,""),"")</f>
        <v/>
      </c>
      <c r="U220" s="683" t="str">
        <f>IF($B$38="P",IF(Účetní_závěrka!E54&lt;&gt;"",ABS(Účetní_závěrka!E54),""),"")</f>
        <v/>
      </c>
      <c r="V220" s="683" t="str">
        <f>IF($B$38="P",IF(Účetní_závěrka!F54&lt;&gt;"",Účetní_závěrka!F54,""),"")</f>
        <v/>
      </c>
      <c r="W220" s="683" t="str">
        <f>IF($B$38="P",IF(Účetní_závěrka!G54&lt;&gt;"",Účetní_závěrka!G54,""),"")</f>
        <v/>
      </c>
      <c r="Y220">
        <v>43</v>
      </c>
      <c r="AB220">
        <f t="shared" si="8"/>
        <v>1</v>
      </c>
      <c r="AC220" s="682" t="str">
        <f t="shared" si="6"/>
        <v/>
      </c>
      <c r="AD220" s="683" t="str">
        <f>IF($B$38="P",IF(Účetní_závěrka!E134&lt;&gt;"",Účetní_závěrka!E134,""),"")</f>
        <v/>
      </c>
      <c r="AE220" s="683" t="str">
        <f>IF($B$38="P",IF(Účetní_závěrka!D134&lt;&gt;"",Účetní_závěrka!D134,""),"")</f>
        <v/>
      </c>
      <c r="AF220" s="541"/>
      <c r="AG220">
        <v>43</v>
      </c>
      <c r="AQ220">
        <f t="shared" si="9"/>
        <v>1</v>
      </c>
      <c r="AR220" s="682">
        <f t="shared" si="5"/>
        <v>43</v>
      </c>
      <c r="AS220" s="683" t="str">
        <f>IF($B$38="P",IF(Účetní_závěrka!L54&lt;&gt;"",Účetní_závěrka!L54,""),"")</f>
        <v/>
      </c>
      <c r="AT220" s="683" t="str">
        <f>IF($B$38="P",IF(Účetní_závěrka!K54&lt;&gt;"",Účetní_závěrka!K54,""),"")</f>
        <v/>
      </c>
      <c r="AV220">
        <v>43</v>
      </c>
      <c r="AW220" s="541"/>
    </row>
    <row r="221" spans="18:49" ht="12.75">
      <c r="R221">
        <f t="shared" si="7"/>
        <v>1</v>
      </c>
      <c r="S221" s="682">
        <f t="shared" si="2"/>
        <v>44</v>
      </c>
      <c r="T221" s="683" t="str">
        <f>IF($B$38="P",IF(Účetní_závěrka!D55&lt;&gt;"",Účetní_závěrka!D55,""),"")</f>
        <v/>
      </c>
      <c r="U221" s="683" t="str">
        <f>IF($B$38="P",IF(Účetní_závěrka!E55&lt;&gt;"",ABS(Účetní_závěrka!E55),""),"")</f>
        <v/>
      </c>
      <c r="V221" s="683" t="str">
        <f>IF($B$38="P",IF(Účetní_závěrka!F55&lt;&gt;"",Účetní_závěrka!F55,""),"")</f>
        <v/>
      </c>
      <c r="W221" s="683" t="str">
        <f>IF($B$38="P",IF(Účetní_závěrka!G55&lt;&gt;"",Účetní_závěrka!G55,""),"")</f>
        <v/>
      </c>
      <c r="Y221">
        <v>44</v>
      </c>
      <c r="AB221">
        <f t="shared" si="8"/>
        <v>1</v>
      </c>
      <c r="AC221" s="682" t="str">
        <f t="shared" si="6"/>
        <v/>
      </c>
      <c r="AD221" s="683" t="str">
        <f>IF($B$38="P",IF(Účetní_závěrka!E135&lt;&gt;"",Účetní_závěrka!E135,""),"")</f>
        <v/>
      </c>
      <c r="AE221" s="683" t="str">
        <f>IF($B$38="P",IF(Účetní_závěrka!D135&lt;&gt;"",Účetní_závěrka!D135,""),"")</f>
        <v/>
      </c>
      <c r="AF221" s="541"/>
      <c r="AG221">
        <v>44</v>
      </c>
      <c r="AQ221">
        <f t="shared" si="9"/>
        <v>1</v>
      </c>
      <c r="AR221" s="682">
        <f t="shared" si="5"/>
        <v>44</v>
      </c>
      <c r="AS221" s="683" t="str">
        <f>IF($B$38="P",IF(Účetní_závěrka!L55&lt;&gt;"",Účetní_závěrka!L55,""),"")</f>
        <v/>
      </c>
      <c r="AT221" s="683" t="str">
        <f>IF($B$38="P",IF(Účetní_závěrka!K55&lt;&gt;"",Účetní_závěrka!K55,""),"")</f>
        <v/>
      </c>
      <c r="AV221">
        <v>44</v>
      </c>
      <c r="AW221" s="541"/>
    </row>
    <row r="222" spans="18:49" ht="12.75">
      <c r="R222">
        <f t="shared" si="7"/>
        <v>1</v>
      </c>
      <c r="S222" s="682">
        <f t="shared" si="2"/>
        <v>45</v>
      </c>
      <c r="T222" s="683" t="str">
        <f>IF($B$38="P",IF(Účetní_závěrka!D56&lt;&gt;"",Účetní_závěrka!D56,""),"")</f>
        <v/>
      </c>
      <c r="U222" s="683" t="str">
        <f>IF($B$38="P",IF(Účetní_závěrka!E56&lt;&gt;"",ABS(Účetní_závěrka!E56),""),"")</f>
        <v/>
      </c>
      <c r="V222" s="683" t="str">
        <f>IF($B$38="P",IF(Účetní_závěrka!F56&lt;&gt;"",Účetní_závěrka!F56,""),"")</f>
        <v/>
      </c>
      <c r="W222" s="683" t="str">
        <f>IF($B$38="P",IF(Účetní_závěrka!G56&lt;&gt;"",Účetní_závěrka!G56,""),"")</f>
        <v/>
      </c>
      <c r="Y222">
        <v>45</v>
      </c>
      <c r="AB222">
        <f t="shared" si="8"/>
        <v>1</v>
      </c>
      <c r="AC222" s="682" t="str">
        <f t="shared" si="6"/>
        <v/>
      </c>
      <c r="AD222" s="683" t="str">
        <f>IF($B$38="P",IF(Účetní_závěrka!E136&lt;&gt;"",Účetní_závěrka!E136,""),"")</f>
        <v/>
      </c>
      <c r="AE222" s="683" t="str">
        <f>IF($B$38="P",IF(Účetní_závěrka!D136&lt;&gt;"",Účetní_závěrka!D136,""),"")</f>
        <v/>
      </c>
      <c r="AF222" s="541"/>
      <c r="AG222">
        <v>45</v>
      </c>
      <c r="AQ222">
        <f t="shared" si="9"/>
        <v>1</v>
      </c>
      <c r="AR222" s="682">
        <f t="shared" si="5"/>
        <v>45</v>
      </c>
      <c r="AS222" s="683" t="str">
        <f>IF($B$38="P",IF(Účetní_závěrka!L56&lt;&gt;"",Účetní_závěrka!L56,""),"")</f>
        <v/>
      </c>
      <c r="AT222" s="683" t="str">
        <f>IF($B$38="P",IF(Účetní_závěrka!K56&lt;&gt;"",Účetní_závěrka!K56,""),"")</f>
        <v/>
      </c>
      <c r="AV222">
        <v>45</v>
      </c>
      <c r="AW222" s="541"/>
    </row>
    <row r="223" spans="18:49" ht="12.75">
      <c r="R223">
        <f t="shared" si="7"/>
        <v>1</v>
      </c>
      <c r="S223" s="682">
        <f t="shared" si="2"/>
        <v>46</v>
      </c>
      <c r="T223" s="683" t="str">
        <f>IF($B$38="P",IF(Účetní_závěrka!D57&lt;&gt;"",Účetní_závěrka!D57,""),"")</f>
        <v/>
      </c>
      <c r="U223" s="683" t="str">
        <f>IF($B$38="P",IF(Účetní_závěrka!E57&lt;&gt;"",ABS(Účetní_závěrka!E57),""),"")</f>
        <v/>
      </c>
      <c r="V223" s="683" t="str">
        <f>IF($B$38="P",IF(Účetní_závěrka!F57&lt;&gt;"",Účetní_závěrka!F57,""),"")</f>
        <v/>
      </c>
      <c r="W223" s="683" t="str">
        <f>IF($B$38="P",IF(Účetní_závěrka!G57&lt;&gt;"",Účetní_závěrka!G57,""),"")</f>
        <v/>
      </c>
      <c r="Y223">
        <v>46</v>
      </c>
      <c r="AB223">
        <f t="shared" si="8"/>
        <v>1</v>
      </c>
      <c r="AC223" s="682" t="str">
        <f t="shared" si="6"/>
        <v/>
      </c>
      <c r="AD223" s="683" t="str">
        <f>IF($B$38="P",IF(Účetní_závěrka!E137&lt;&gt;"",Účetní_závěrka!E137,""),"")</f>
        <v/>
      </c>
      <c r="AE223" s="683" t="str">
        <f>IF($B$38="P",IF(Účetní_závěrka!D137&lt;&gt;"",Účetní_závěrka!D137,""),"")</f>
        <v/>
      </c>
      <c r="AF223" s="541"/>
      <c r="AG223">
        <v>46</v>
      </c>
      <c r="AQ223">
        <f t="shared" si="9"/>
        <v>1</v>
      </c>
      <c r="AR223" s="682">
        <f t="shared" si="5"/>
        <v>46</v>
      </c>
      <c r="AS223" s="683" t="str">
        <f>IF($B$38="P",IF(Účetní_závěrka!L57&lt;&gt;"",Účetní_závěrka!L57,""),"")</f>
        <v/>
      </c>
      <c r="AT223" s="683" t="str">
        <f>IF($B$38="P",IF(Účetní_závěrka!K57&lt;&gt;"",Účetní_závěrka!K57,""),"")</f>
        <v/>
      </c>
      <c r="AV223">
        <v>46</v>
      </c>
      <c r="AW223" s="541"/>
    </row>
    <row r="224" spans="18:49" ht="12.75">
      <c r="R224">
        <f t="shared" si="7"/>
        <v>1</v>
      </c>
      <c r="S224" s="682">
        <f t="shared" si="2"/>
        <v>47</v>
      </c>
      <c r="T224" s="683" t="str">
        <f>IF($B$38="P",IF(Účetní_závěrka!D58&lt;&gt;"",Účetní_závěrka!D58,""),"")</f>
        <v/>
      </c>
      <c r="U224" s="683" t="str">
        <f>IF($B$38="P",IF(Účetní_závěrka!E58&lt;&gt;"",ABS(Účetní_závěrka!E58),""),"")</f>
        <v/>
      </c>
      <c r="V224" s="683" t="str">
        <f>IF($B$38="P",IF(Účetní_závěrka!F58&lt;&gt;"",Účetní_závěrka!F58,""),"")</f>
        <v/>
      </c>
      <c r="W224" s="683" t="str">
        <f>IF($B$38="P",IF(Účetní_závěrka!G58&lt;&gt;"",Účetní_závěrka!G58,""),"")</f>
        <v/>
      </c>
      <c r="Y224">
        <v>47</v>
      </c>
      <c r="AB224">
        <f t="shared" si="8"/>
        <v>1</v>
      </c>
      <c r="AC224" s="682" t="str">
        <f t="shared" si="6"/>
        <v/>
      </c>
      <c r="AD224" s="683" t="str">
        <f>IF($B$38="P",IF(Účetní_závěrka!E138&lt;&gt;"",Účetní_závěrka!E138,""),"")</f>
        <v/>
      </c>
      <c r="AE224" s="683" t="str">
        <f>IF($B$38="P",IF(Účetní_závěrka!D138&lt;&gt;"",Účetní_závěrka!D138,""),"")</f>
        <v/>
      </c>
      <c r="AF224" s="541"/>
      <c r="AG224">
        <v>47</v>
      </c>
      <c r="AQ224">
        <f t="shared" si="9"/>
        <v>1</v>
      </c>
      <c r="AR224" s="682">
        <f t="shared" si="5"/>
        <v>47</v>
      </c>
      <c r="AS224" s="683" t="str">
        <f>IF($B$38="P",IF(Účetní_závěrka!L58&lt;&gt;"",Účetní_závěrka!L58,""),"")</f>
        <v/>
      </c>
      <c r="AT224" s="683" t="str">
        <f>IF($B$38="P",IF(Účetní_závěrka!K58&lt;&gt;"",Účetní_závěrka!K58,""),"")</f>
        <v/>
      </c>
      <c r="AV224">
        <v>47</v>
      </c>
      <c r="AW224" s="541"/>
    </row>
    <row r="225" spans="18:49" ht="12.75">
      <c r="R225">
        <f t="shared" si="7"/>
        <v>1</v>
      </c>
      <c r="S225" s="682">
        <f t="shared" si="2"/>
        <v>48</v>
      </c>
      <c r="T225" s="683" t="str">
        <f>IF($B$38="P",IF(Účetní_závěrka!D59&lt;&gt;"",Účetní_závěrka!D59,""),"")</f>
        <v/>
      </c>
      <c r="U225" s="683" t="str">
        <f>IF($B$38="P",IF(Účetní_závěrka!E59&lt;&gt;"",ABS(Účetní_závěrka!E59),""),"")</f>
        <v/>
      </c>
      <c r="V225" s="683" t="str">
        <f>IF($B$38="P",IF(Účetní_závěrka!F59&lt;&gt;"",Účetní_závěrka!F59,""),"")</f>
        <v/>
      </c>
      <c r="W225" s="683" t="str">
        <f>IF($B$38="P",IF(Účetní_závěrka!G59&lt;&gt;"",Účetní_závěrka!G59,""),"")</f>
        <v/>
      </c>
      <c r="Y225">
        <v>48</v>
      </c>
      <c r="AB225">
        <f t="shared" si="8"/>
        <v>1</v>
      </c>
      <c r="AC225" s="682" t="str">
        <f t="shared" si="6"/>
        <v/>
      </c>
      <c r="AD225" s="683" t="str">
        <f>IF($B$38="P",IF(Účetní_závěrka!E139&lt;&gt;"",Účetní_závěrka!E139,""),"")</f>
        <v/>
      </c>
      <c r="AE225" s="683" t="str">
        <f>IF($B$38="P",IF(Účetní_závěrka!D139&lt;&gt;"",Účetní_závěrka!D139,""),"")</f>
        <v/>
      </c>
      <c r="AF225" s="541"/>
      <c r="AG225">
        <v>48</v>
      </c>
      <c r="AQ225">
        <f t="shared" si="9"/>
        <v>1</v>
      </c>
      <c r="AR225" s="682">
        <f t="shared" si="5"/>
        <v>48</v>
      </c>
      <c r="AS225" s="683" t="str">
        <f>IF($B$38="P",IF(Účetní_závěrka!L59&lt;&gt;"",Účetní_závěrka!L59,""),"")</f>
        <v/>
      </c>
      <c r="AT225" s="683" t="str">
        <f>IF($B$38="P",IF(Účetní_závěrka!K59&lt;&gt;"",Účetní_závěrka!K59,""),"")</f>
        <v/>
      </c>
      <c r="AV225">
        <v>48</v>
      </c>
      <c r="AW225" s="541"/>
    </row>
    <row r="226" spans="18:49" ht="12.75">
      <c r="R226">
        <f t="shared" si="7"/>
        <v>1</v>
      </c>
      <c r="S226" s="682">
        <f t="shared" si="2"/>
        <v>49</v>
      </c>
      <c r="T226" s="683" t="str">
        <f>IF($B$38="P",IF(Účetní_závěrka!D60&lt;&gt;"",Účetní_závěrka!D60,""),"")</f>
        <v/>
      </c>
      <c r="U226" s="683" t="str">
        <f>IF($B$38="P",IF(Účetní_závěrka!E60&lt;&gt;"",ABS(Účetní_závěrka!E60),""),"")</f>
        <v/>
      </c>
      <c r="V226" s="683" t="str">
        <f>IF($B$38="P",IF(Účetní_závěrka!F60&lt;&gt;"",Účetní_závěrka!F60,""),"")</f>
        <v/>
      </c>
      <c r="W226" s="683" t="str">
        <f>IF($B$38="P",IF(Účetní_závěrka!G60&lt;&gt;"",Účetní_závěrka!G60,""),"")</f>
        <v/>
      </c>
      <c r="Y226">
        <v>49</v>
      </c>
      <c r="AB226">
        <f t="shared" si="8"/>
        <v>1</v>
      </c>
      <c r="AC226" s="682" t="str">
        <f t="shared" si="6"/>
        <v/>
      </c>
      <c r="AD226" s="683" t="str">
        <f>IF($B$38="P",IF(Účetní_závěrka!E140&lt;&gt;"",Účetní_závěrka!E140,""),"")</f>
        <v/>
      </c>
      <c r="AE226" s="683" t="str">
        <f>IF($B$38="P",IF(Účetní_závěrka!D140&lt;&gt;"",Účetní_závěrka!D140,""),"")</f>
        <v/>
      </c>
      <c r="AF226" s="541"/>
      <c r="AG226">
        <v>49</v>
      </c>
      <c r="AQ226">
        <f t="shared" si="9"/>
        <v>1</v>
      </c>
      <c r="AR226" s="682">
        <f t="shared" si="5"/>
        <v>49</v>
      </c>
      <c r="AS226" s="683" t="str">
        <f>IF($B$38="P",IF(Účetní_závěrka!L60&lt;&gt;"",Účetní_závěrka!L60,""),"")</f>
        <v/>
      </c>
      <c r="AT226" s="683" t="str">
        <f>IF($B$38="P",IF(Účetní_závěrka!K60&lt;&gt;"",Účetní_závěrka!K60,""),"")</f>
        <v/>
      </c>
      <c r="AV226">
        <v>49</v>
      </c>
      <c r="AW226" s="541"/>
    </row>
    <row r="227" spans="18:49" ht="12.75">
      <c r="R227">
        <f t="shared" si="7"/>
        <v>1</v>
      </c>
      <c r="S227" s="682">
        <f t="shared" si="2"/>
        <v>50</v>
      </c>
      <c r="T227" s="683" t="str">
        <f>IF($B$38="P",IF(Účetní_závěrka!D61&lt;&gt;"",Účetní_závěrka!D61,""),"")</f>
        <v/>
      </c>
      <c r="U227" s="683" t="str">
        <f>IF($B$38="P",IF(Účetní_závěrka!E61&lt;&gt;"",ABS(Účetní_závěrka!E61),""),"")</f>
        <v/>
      </c>
      <c r="V227" s="683" t="str">
        <f>IF($B$38="P",IF(Účetní_závěrka!F61&lt;&gt;"",Účetní_závěrka!F61,""),"")</f>
        <v/>
      </c>
      <c r="W227" s="683" t="str">
        <f>IF($B$38="P",IF(Účetní_závěrka!G61&lt;&gt;"",Účetní_závěrka!G61,""),"")</f>
        <v/>
      </c>
      <c r="Y227">
        <v>50</v>
      </c>
      <c r="AB227">
        <f t="shared" si="8"/>
        <v>1</v>
      </c>
      <c r="AC227" s="682" t="str">
        <f t="shared" si="6"/>
        <v/>
      </c>
      <c r="AD227" s="683" t="str">
        <f>IF($B$38="P",IF(Účetní_závěrka!E141&lt;&gt;"",Účetní_závěrka!E141,""),"")</f>
        <v/>
      </c>
      <c r="AE227" s="683" t="str">
        <f>IF($B$38="P",IF(Účetní_závěrka!D141&lt;&gt;"",Účetní_závěrka!D141,""),"")</f>
        <v/>
      </c>
      <c r="AF227" s="541"/>
      <c r="AG227">
        <v>50</v>
      </c>
      <c r="AQ227">
        <f t="shared" si="9"/>
        <v>1</v>
      </c>
      <c r="AR227" s="682">
        <f t="shared" si="5"/>
        <v>50</v>
      </c>
      <c r="AS227" s="683" t="str">
        <f>IF($B$38="P",IF(Účetní_závěrka!L61&lt;&gt;"",Účetní_závěrka!L61,""),"")</f>
        <v/>
      </c>
      <c r="AT227" s="683" t="str">
        <f>IF($B$38="P",IF(Účetní_závěrka!K61&lt;&gt;"",Účetní_závěrka!K61,""),"")</f>
        <v/>
      </c>
      <c r="AV227">
        <v>50</v>
      </c>
      <c r="AW227" s="541"/>
    </row>
    <row r="228" spans="18:49" ht="12.75">
      <c r="R228">
        <f t="shared" si="7"/>
        <v>1</v>
      </c>
      <c r="S228" s="682">
        <f t="shared" si="2"/>
        <v>51</v>
      </c>
      <c r="T228" s="683" t="str">
        <f>IF($B$38="P",IF(Účetní_závěrka!D62&lt;&gt;"",Účetní_závěrka!D62,""),"")</f>
        <v/>
      </c>
      <c r="U228" s="683" t="str">
        <f>IF($B$38="P",IF(Účetní_závěrka!E62&lt;&gt;"",ABS(Účetní_závěrka!E62),""),"")</f>
        <v/>
      </c>
      <c r="V228" s="683" t="str">
        <f>IF($B$38="P",IF(Účetní_závěrka!F62&lt;&gt;"",Účetní_závěrka!F62,""),"")</f>
        <v/>
      </c>
      <c r="W228" s="683" t="str">
        <f>IF($B$38="P",IF(Účetní_závěrka!G62&lt;&gt;"",Účetní_závěrka!G62,""),"")</f>
        <v/>
      </c>
      <c r="Y228">
        <v>51</v>
      </c>
      <c r="AB228">
        <f t="shared" si="8"/>
        <v>1</v>
      </c>
      <c r="AC228" s="682" t="str">
        <f t="shared" si="6"/>
        <v/>
      </c>
      <c r="AD228" s="683" t="str">
        <f>IF($B$38="P",IF(Účetní_závěrka!E142&lt;&gt;"",Účetní_závěrka!E142,""),"")</f>
        <v/>
      </c>
      <c r="AE228" s="683" t="str">
        <f>IF($B$38="P",IF(Účetní_závěrka!D142&lt;&gt;"",Účetní_závěrka!D142,""),"")</f>
        <v/>
      </c>
      <c r="AF228" s="541"/>
      <c r="AG228">
        <v>51</v>
      </c>
      <c r="AQ228">
        <f t="shared" si="9"/>
        <v>1</v>
      </c>
      <c r="AR228" s="682">
        <f t="shared" si="5"/>
        <v>51</v>
      </c>
      <c r="AS228" s="683" t="str">
        <f>IF($B$38="P",IF(Účetní_závěrka!L62&lt;&gt;"",Účetní_závěrka!L62,""),"")</f>
        <v/>
      </c>
      <c r="AT228" s="683" t="str">
        <f>IF($B$38="P",IF(Účetní_závěrka!K62&lt;&gt;"",Účetní_závěrka!K62,""),"")</f>
        <v/>
      </c>
      <c r="AV228">
        <v>51</v>
      </c>
      <c r="AW228" s="541"/>
    </row>
    <row r="229" spans="18:49" ht="12.75">
      <c r="R229">
        <f t="shared" si="7"/>
        <v>1</v>
      </c>
      <c r="S229" s="682">
        <f t="shared" si="2"/>
        <v>52</v>
      </c>
      <c r="T229" s="683" t="str">
        <f>IF($B$38="P",IF(Účetní_závěrka!D63&lt;&gt;"",Účetní_závěrka!D63,""),"")</f>
        <v/>
      </c>
      <c r="U229" s="683" t="str">
        <f>IF($B$38="P",IF(Účetní_závěrka!E63&lt;&gt;"",ABS(Účetní_závěrka!E63),""),"")</f>
        <v/>
      </c>
      <c r="V229" s="683" t="str">
        <f>IF($B$38="P",IF(Účetní_závěrka!F63&lt;&gt;"",Účetní_závěrka!F63,""),"")</f>
        <v/>
      </c>
      <c r="W229" s="683" t="str">
        <f>IF($B$38="P",IF(Účetní_závěrka!G63&lt;&gt;"",Účetní_závěrka!G63,""),"")</f>
        <v/>
      </c>
      <c r="Y229">
        <v>52</v>
      </c>
      <c r="AB229">
        <f t="shared" si="8"/>
        <v>1</v>
      </c>
      <c r="AC229" s="682" t="str">
        <f t="shared" si="6"/>
        <v/>
      </c>
      <c r="AD229" s="683" t="str">
        <f>IF($B$38="P",IF(Účetní_závěrka!E143&lt;&gt;"",Účetní_závěrka!E143,""),"")</f>
        <v/>
      </c>
      <c r="AE229" s="683" t="str">
        <f>IF($B$38="P",IF(Účetní_závěrka!D143&lt;&gt;"",Účetní_závěrka!D143,""),"")</f>
        <v/>
      </c>
      <c r="AF229" s="541"/>
      <c r="AG229">
        <v>52</v>
      </c>
      <c r="AQ229">
        <f t="shared" si="9"/>
        <v>1</v>
      </c>
      <c r="AR229" s="682">
        <f t="shared" si="5"/>
        <v>52</v>
      </c>
      <c r="AS229" s="683" t="str">
        <f>IF($B$38="P",IF(Účetní_závěrka!L63&lt;&gt;"",Účetní_závěrka!L63,""),"")</f>
        <v/>
      </c>
      <c r="AT229" s="683" t="str">
        <f>IF($B$38="P",IF(Účetní_závěrka!K63&lt;&gt;"",Účetní_závěrka!K63,""),"")</f>
        <v/>
      </c>
      <c r="AV229">
        <v>52</v>
      </c>
      <c r="AW229" s="541"/>
    </row>
    <row r="230" spans="18:49" ht="12.75">
      <c r="R230">
        <f t="shared" si="7"/>
        <v>1</v>
      </c>
      <c r="S230" s="682">
        <f t="shared" si="2"/>
        <v>53</v>
      </c>
      <c r="T230" s="683" t="str">
        <f>IF($B$38="P",IF(Účetní_závěrka!D64&lt;&gt;"",Účetní_závěrka!D64,""),"")</f>
        <v/>
      </c>
      <c r="U230" s="683" t="str">
        <f>IF($B$38="P",IF(Účetní_závěrka!E64&lt;&gt;"",ABS(Účetní_závěrka!E64),""),"")</f>
        <v/>
      </c>
      <c r="V230" s="683" t="str">
        <f>IF($B$38="P",IF(Účetní_závěrka!F64&lt;&gt;"",Účetní_závěrka!F64,""),"")</f>
        <v/>
      </c>
      <c r="W230" s="683" t="str">
        <f>IF($B$38="P",IF(Účetní_závěrka!G64&lt;&gt;"",Účetní_závěrka!G64,""),"")</f>
        <v/>
      </c>
      <c r="Y230">
        <v>53</v>
      </c>
      <c r="AB230">
        <f t="shared" si="8"/>
        <v>1</v>
      </c>
      <c r="AC230" s="682" t="str">
        <f t="shared" si="6"/>
        <v/>
      </c>
      <c r="AD230" s="683" t="str">
        <f>IF($B$38="P",IF(Účetní_závěrka!E144&lt;&gt;"",Účetní_závěrka!E144,""),"")</f>
        <v/>
      </c>
      <c r="AE230" s="683" t="str">
        <f>IF($B$38="P",IF(Účetní_závěrka!D144&lt;&gt;"",Účetní_závěrka!D144,""),"")</f>
        <v/>
      </c>
      <c r="AF230" s="541"/>
      <c r="AG230">
        <v>53</v>
      </c>
      <c r="AQ230">
        <f t="shared" si="9"/>
        <v>1</v>
      </c>
      <c r="AR230" s="682">
        <f t="shared" si="5"/>
        <v>53</v>
      </c>
      <c r="AS230" s="683" t="str">
        <f>IF($B$38="P",IF(Účetní_závěrka!L64&lt;&gt;"",Účetní_závěrka!L64,""),"")</f>
        <v/>
      </c>
      <c r="AT230" s="683" t="str">
        <f>IF($B$38="P",IF(Účetní_závěrka!K64&lt;&gt;"",Účetní_závěrka!K64,""),"")</f>
        <v/>
      </c>
      <c r="AV230">
        <v>53</v>
      </c>
      <c r="AW230" s="541"/>
    </row>
    <row r="231" spans="18:49" ht="12.75">
      <c r="R231">
        <f t="shared" si="7"/>
        <v>1</v>
      </c>
      <c r="S231" s="682">
        <f t="shared" si="2"/>
        <v>54</v>
      </c>
      <c r="T231" s="683" t="str">
        <f>IF($B$38="P",IF(Účetní_závěrka!D65&lt;&gt;"",Účetní_závěrka!D65,""),"")</f>
        <v/>
      </c>
      <c r="U231" s="683" t="str">
        <f>IF($B$38="P",IF(Účetní_závěrka!E65&lt;&gt;"",ABS(Účetní_závěrka!E65),""),"")</f>
        <v/>
      </c>
      <c r="V231" s="683" t="str">
        <f>IF($B$38="P",IF(Účetní_závěrka!F65&lt;&gt;"",Účetní_závěrka!F65,""),"")</f>
        <v/>
      </c>
      <c r="W231" s="683" t="str">
        <f>IF($B$38="P",IF(Účetní_závěrka!G65&lt;&gt;"",Účetní_závěrka!G65,""),"")</f>
        <v/>
      </c>
      <c r="Y231">
        <v>54</v>
      </c>
      <c r="AB231">
        <f t="shared" si="8"/>
        <v>1</v>
      </c>
      <c r="AC231" s="682" t="str">
        <f t="shared" si="6"/>
        <v/>
      </c>
      <c r="AD231" s="683" t="str">
        <f>IF($B$38="P",IF(Účetní_závěrka!E145&lt;&gt;"",Účetní_závěrka!E145,""),"")</f>
        <v/>
      </c>
      <c r="AE231" s="683" t="str">
        <f>IF($B$38="P",IF(Účetní_závěrka!D145&lt;&gt;"",Účetní_závěrka!D145,""),"")</f>
        <v/>
      </c>
      <c r="AF231" s="541"/>
      <c r="AG231">
        <v>54</v>
      </c>
      <c r="AQ231">
        <f t="shared" si="9"/>
        <v>1</v>
      </c>
      <c r="AR231" s="682">
        <f t="shared" si="5"/>
        <v>54</v>
      </c>
      <c r="AS231" s="683" t="str">
        <f>IF($B$38="P",IF(Účetní_závěrka!L65&lt;&gt;"",Účetní_závěrka!L65,""),"")</f>
        <v/>
      </c>
      <c r="AT231" s="683" t="str">
        <f>IF($B$38="P",IF(Účetní_závěrka!K65&lt;&gt;"",Účetní_závěrka!K65,""),"")</f>
        <v/>
      </c>
      <c r="AV231">
        <v>54</v>
      </c>
      <c r="AW231" s="541"/>
    </row>
    <row r="232" spans="18:49" ht="12.75">
      <c r="R232">
        <f t="shared" si="7"/>
        <v>1</v>
      </c>
      <c r="S232" s="682">
        <f t="shared" si="2"/>
        <v>55</v>
      </c>
      <c r="T232" s="683" t="str">
        <f>IF($B$38="P",IF(Účetní_závěrka!D66&lt;&gt;"",Účetní_závěrka!D66,""),"")</f>
        <v/>
      </c>
      <c r="U232" s="683" t="str">
        <f>IF($B$38="P",IF(Účetní_závěrka!E66&lt;&gt;"",ABS(Účetní_závěrka!E66),""),"")</f>
        <v/>
      </c>
      <c r="V232" s="683" t="str">
        <f>IF($B$38="P",IF(Účetní_závěrka!F66&lt;&gt;"",Účetní_závěrka!F66,""),"")</f>
        <v/>
      </c>
      <c r="W232" s="683" t="str">
        <f>IF($B$38="P",IF(Účetní_závěrka!G66&lt;&gt;"",Účetní_závěrka!G66,""),"")</f>
        <v/>
      </c>
      <c r="Y232">
        <v>55</v>
      </c>
      <c r="AB232">
        <f t="shared" si="8"/>
        <v>1</v>
      </c>
      <c r="AC232" s="682" t="str">
        <f t="shared" si="6"/>
        <v/>
      </c>
      <c r="AD232" s="683" t="str">
        <f>IF($B$38="P",IF(Účetní_závěrka!E146&lt;&gt;"",Účetní_závěrka!E146,""),"")</f>
        <v/>
      </c>
      <c r="AE232" s="683" t="str">
        <f>IF($B$38="P",IF(Účetní_závěrka!D146&lt;&gt;"",Účetní_závěrka!D146,""),"")</f>
        <v/>
      </c>
      <c r="AF232" s="541"/>
      <c r="AG232">
        <v>55</v>
      </c>
      <c r="AQ232">
        <f t="shared" si="9"/>
        <v>1</v>
      </c>
      <c r="AR232" s="682">
        <f t="shared" si="5"/>
        <v>55</v>
      </c>
      <c r="AS232" s="683" t="str">
        <f>IF($B$38="P",IF(Účetní_závěrka!L66&lt;&gt;"",Účetní_závěrka!L66,""),"")</f>
        <v/>
      </c>
      <c r="AT232" s="683" t="str">
        <f>IF($B$38="P",IF(Účetní_závěrka!K66&lt;&gt;"",Účetní_závěrka!K66,""),"")</f>
        <v/>
      </c>
      <c r="AV232">
        <v>55</v>
      </c>
      <c r="AW232" s="541"/>
    </row>
    <row r="233" spans="18:49" ht="12.75">
      <c r="R233">
        <f t="shared" si="7"/>
        <v>1</v>
      </c>
      <c r="S233" s="682">
        <f t="shared" si="2"/>
        <v>56</v>
      </c>
      <c r="T233" s="683" t="str">
        <f>IF($B$38="P",IF(Účetní_závěrka!D67&lt;&gt;"",Účetní_závěrka!D67,""),"")</f>
        <v/>
      </c>
      <c r="U233" s="683" t="str">
        <f>IF($B$38="P",IF(Účetní_závěrka!E67&lt;&gt;"",ABS(Účetní_závěrka!E67),""),"")</f>
        <v/>
      </c>
      <c r="V233" s="683" t="str">
        <f>IF($B$38="P",IF(Účetní_závěrka!F67&lt;&gt;"",Účetní_závěrka!F67,""),"")</f>
        <v/>
      </c>
      <c r="W233" s="683" t="str">
        <f>IF($B$38="P",IF(Účetní_závěrka!G67&lt;&gt;"",Účetní_závěrka!G67,""),"")</f>
        <v/>
      </c>
      <c r="Y233">
        <v>56</v>
      </c>
      <c r="AB233">
        <f t="shared" si="8"/>
        <v>1</v>
      </c>
      <c r="AC233" s="682" t="str">
        <f t="shared" si="6"/>
        <v/>
      </c>
      <c r="AD233" s="683" t="str">
        <f>IF($B$38="P",IF(Účetní_závěrka!E147&lt;&gt;"",Účetní_závěrka!E147,""),"")</f>
        <v/>
      </c>
      <c r="AE233" s="683" t="str">
        <f>IF($B$38="P",IF(Účetní_závěrka!D147&lt;&gt;"",Účetní_závěrka!D147,""),"")</f>
        <v/>
      </c>
      <c r="AF233" s="541"/>
      <c r="AG233">
        <v>56</v>
      </c>
      <c r="AQ233">
        <f t="shared" si="9"/>
        <v>1</v>
      </c>
      <c r="AR233" s="682">
        <f t="shared" si="5"/>
        <v>56</v>
      </c>
      <c r="AS233" s="683" t="str">
        <f>IF($B$38="P",IF(Účetní_závěrka!L67&lt;&gt;"",Účetní_závěrka!L67,""),"")</f>
        <v/>
      </c>
      <c r="AT233" s="683" t="str">
        <f>IF($B$38="P",IF(Účetní_závěrka!K67&lt;&gt;"",Účetní_závěrka!K67,""),"")</f>
        <v/>
      </c>
      <c r="AV233">
        <v>56</v>
      </c>
      <c r="AW233" s="541"/>
    </row>
    <row r="234" spans="18:49" ht="12.75">
      <c r="R234">
        <f t="shared" si="7"/>
        <v>1</v>
      </c>
      <c r="S234" s="682">
        <f t="shared" si="2"/>
        <v>57</v>
      </c>
      <c r="T234" s="683" t="str">
        <f>IF($B$38="P",IF(Účetní_závěrka!D68&lt;&gt;"",Účetní_závěrka!D68,""),"")</f>
        <v/>
      </c>
      <c r="U234" s="683" t="str">
        <f>IF($B$38="P",IF(Účetní_závěrka!E68&lt;&gt;"",ABS(Účetní_závěrka!E68),""),"")</f>
        <v/>
      </c>
      <c r="V234" s="683" t="str">
        <f>IF($B$38="P",IF(Účetní_závěrka!F68&lt;&gt;"",Účetní_závěrka!F68,""),"")</f>
        <v/>
      </c>
      <c r="W234" s="683" t="str">
        <f>IF($B$38="P",IF(Účetní_závěrka!G68&lt;&gt;"",Účetní_závěrka!G68,""),"")</f>
        <v/>
      </c>
      <c r="Y234">
        <v>57</v>
      </c>
      <c r="AD234" s="451"/>
      <c r="AE234" s="451"/>
      <c r="AF234" s="541"/>
      <c r="AG234" s="541"/>
      <c r="AH234" s="541"/>
      <c r="AQ234">
        <f t="shared" si="9"/>
        <v>1</v>
      </c>
      <c r="AR234" s="682">
        <f t="shared" si="5"/>
        <v>57</v>
      </c>
      <c r="AS234" s="683" t="str">
        <f>IF($B$38="P",IF(Účetní_závěrka!L68&lt;&gt;"",Účetní_závěrka!L68,""),"")</f>
        <v/>
      </c>
      <c r="AT234" s="683" t="str">
        <f>IF($B$38="P",IF(Účetní_závěrka!K68&lt;&gt;"",Účetní_závěrka!K68,""),"")</f>
        <v/>
      </c>
      <c r="AV234">
        <v>57</v>
      </c>
      <c r="AW234" s="541"/>
    </row>
    <row r="235" spans="18:49" ht="12.75">
      <c r="R235">
        <f t="shared" si="7"/>
        <v>1</v>
      </c>
      <c r="S235" s="682">
        <f t="shared" si="2"/>
        <v>58</v>
      </c>
      <c r="T235" s="683" t="str">
        <f>IF($B$38="P",IF(Účetní_závěrka!D69&lt;&gt;"",Účetní_závěrka!D69,""),"")</f>
        <v/>
      </c>
      <c r="U235" s="683" t="str">
        <f>IF($B$38="P",IF(Účetní_závěrka!E69&lt;&gt;"",ABS(Účetní_závěrka!E69),""),"")</f>
        <v/>
      </c>
      <c r="V235" s="683" t="str">
        <f>IF($B$38="P",IF(Účetní_závěrka!F69&lt;&gt;"",Účetní_závěrka!F69,""),"")</f>
        <v/>
      </c>
      <c r="W235" s="683" t="str">
        <f>IF($B$38="P",IF(Účetní_závěrka!G69&lt;&gt;"",Účetní_závěrka!G69,""),"")</f>
        <v/>
      </c>
      <c r="Y235">
        <v>58</v>
      </c>
      <c r="AD235" s="451"/>
      <c r="AE235" s="451"/>
      <c r="AF235" s="541"/>
      <c r="AG235" s="541"/>
      <c r="AH235" s="541"/>
      <c r="AQ235">
        <f t="shared" si="9"/>
        <v>1</v>
      </c>
      <c r="AR235" s="682">
        <f t="shared" si="5"/>
        <v>58</v>
      </c>
      <c r="AS235" s="683" t="str">
        <f>IF($B$38="P",IF(Účetní_závěrka!L69&lt;&gt;"",Účetní_závěrka!L69,""),"")</f>
        <v/>
      </c>
      <c r="AT235" s="683" t="str">
        <f>IF($B$38="P",IF(Účetní_závěrka!K69&lt;&gt;"",Účetní_závěrka!K69,""),"")</f>
        <v/>
      </c>
      <c r="AV235">
        <v>58</v>
      </c>
      <c r="AW235" s="541"/>
    </row>
    <row r="236" spans="18:49" ht="12.75">
      <c r="R236">
        <f t="shared" si="7"/>
        <v>1</v>
      </c>
      <c r="S236" s="682">
        <f t="shared" si="2"/>
        <v>59</v>
      </c>
      <c r="T236" s="683" t="str">
        <f>IF($B$38="P",IF(Účetní_závěrka!D70&lt;&gt;"",Účetní_závěrka!D70,""),"")</f>
        <v/>
      </c>
      <c r="U236" s="683" t="str">
        <f>IF($B$38="P",IF(Účetní_závěrka!E70&lt;&gt;"",ABS(Účetní_závěrka!E70),""),"")</f>
        <v/>
      </c>
      <c r="V236" s="683" t="str">
        <f>IF($B$38="P",IF(Účetní_závěrka!F70&lt;&gt;"",Účetní_závěrka!F70,""),"")</f>
        <v/>
      </c>
      <c r="W236" s="683" t="str">
        <f>IF($B$38="P",IF(Účetní_závěrka!G70&lt;&gt;"",Účetní_závěrka!G70,""),"")</f>
        <v/>
      </c>
      <c r="Y236">
        <v>59</v>
      </c>
      <c r="AD236" s="451"/>
      <c r="AE236" s="451"/>
      <c r="AF236" s="541"/>
      <c r="AG236" s="541"/>
      <c r="AH236" s="541"/>
      <c r="AQ236" s="451">
        <f t="shared" si="10" ref="AQ236:AQ243">$AP$178</f>
        <v>1</v>
      </c>
      <c r="AR236" s="682">
        <f t="shared" si="5"/>
        <v>59</v>
      </c>
      <c r="AS236" s="683" t="str">
        <f>IF($B$38="P",IF(Účetní_závěrka!L70&lt;&gt;"",Účetní_závěrka!L70,""),"")</f>
        <v/>
      </c>
      <c r="AT236" s="683" t="str">
        <f>IF($B$38="P",IF(Účetní_závěrka!K70&lt;&gt;"",Účetní_závěrka!K70,""),"")</f>
        <v/>
      </c>
      <c r="AV236">
        <v>59</v>
      </c>
      <c r="AW236" s="541"/>
    </row>
    <row r="237" spans="18:49" ht="12.75">
      <c r="R237">
        <f t="shared" si="7"/>
        <v>1</v>
      </c>
      <c r="S237" s="682">
        <f t="shared" si="2"/>
        <v>60</v>
      </c>
      <c r="T237" s="683" t="str">
        <f>IF($B$38="P",IF(Účetní_závěrka!D71&lt;&gt;"",Účetní_závěrka!D71,""),"")</f>
        <v/>
      </c>
      <c r="U237" s="683" t="str">
        <f>IF($B$38="P",IF(Účetní_závěrka!E71&lt;&gt;"",ABS(Účetní_závěrka!E71),""),"")</f>
        <v/>
      </c>
      <c r="V237" s="683" t="str">
        <f>IF($B$38="P",IF(Účetní_závěrka!F71&lt;&gt;"",Účetní_závěrka!F71,""),"")</f>
        <v/>
      </c>
      <c r="W237" s="683" t="str">
        <f>IF($B$38="P",IF(Účetní_závěrka!G71&lt;&gt;"",Účetní_závěrka!G71,""),"")</f>
        <v/>
      </c>
      <c r="Y237">
        <v>60</v>
      </c>
      <c r="AD237" s="451"/>
      <c r="AE237" s="451"/>
      <c r="AF237" s="541"/>
      <c r="AG237" s="541"/>
      <c r="AH237" s="541"/>
      <c r="AQ237" s="451">
        <f t="shared" si="10"/>
        <v>1</v>
      </c>
      <c r="AR237" s="682">
        <f t="shared" si="5"/>
        <v>60</v>
      </c>
      <c r="AS237" s="683" t="str">
        <f>IF($B$38="P",IF(Účetní_závěrka!L71&lt;&gt;"",Účetní_závěrka!L71,""),"")</f>
        <v/>
      </c>
      <c r="AT237" s="683" t="str">
        <f>IF($B$38="P",IF(Účetní_závěrka!K71&lt;&gt;"",Účetní_závěrka!K71,""),"")</f>
        <v/>
      </c>
      <c r="AV237">
        <v>60</v>
      </c>
      <c r="AW237" s="541"/>
    </row>
    <row r="238" spans="18:49" ht="12.75">
      <c r="R238">
        <f t="shared" si="7"/>
        <v>1</v>
      </c>
      <c r="S238" s="682">
        <f t="shared" si="2"/>
        <v>61</v>
      </c>
      <c r="T238" s="683" t="str">
        <f>IF($B$38="P",IF(Účetní_závěrka!D72&lt;&gt;"",Účetní_závěrka!D72,""),"")</f>
        <v/>
      </c>
      <c r="U238" s="683" t="str">
        <f>IF($B$38="P",IF(Účetní_závěrka!E72&lt;&gt;"",ABS(Účetní_závěrka!E72),""),"")</f>
        <v/>
      </c>
      <c r="V238" s="683" t="str">
        <f>IF($B$38="P",IF(Účetní_závěrka!F72&lt;&gt;"",Účetní_závěrka!F72,""),"")</f>
        <v/>
      </c>
      <c r="W238" s="683" t="str">
        <f>IF($B$38="P",IF(Účetní_závěrka!G72&lt;&gt;"",Účetní_závěrka!G72,""),"")</f>
        <v/>
      </c>
      <c r="Y238">
        <v>61</v>
      </c>
      <c r="AD238" s="451"/>
      <c r="AE238" s="451"/>
      <c r="AF238" s="541"/>
      <c r="AG238" s="541"/>
      <c r="AH238" s="541"/>
      <c r="AQ238" s="451">
        <f t="shared" si="10"/>
        <v>1</v>
      </c>
      <c r="AR238" s="682">
        <f t="shared" si="5"/>
        <v>61</v>
      </c>
      <c r="AS238" s="683" t="str">
        <f>IF($B$38="P",IF(Účetní_závěrka!L72&lt;&gt;"",Účetní_závěrka!L72,""),"")</f>
        <v/>
      </c>
      <c r="AT238" s="683" t="str">
        <f>IF($B$38="P",IF(Účetní_závěrka!K72&lt;&gt;"",Účetní_závěrka!K72,""),"")</f>
        <v/>
      </c>
      <c r="AV238">
        <v>61</v>
      </c>
      <c r="AW238" s="541"/>
    </row>
    <row r="239" spans="18:49" ht="12.75">
      <c r="R239">
        <f t="shared" si="7"/>
        <v>1</v>
      </c>
      <c r="S239" s="682">
        <f t="shared" si="2"/>
        <v>62</v>
      </c>
      <c r="T239" s="683" t="str">
        <f>IF($B$38="P",IF(Účetní_závěrka!D73&lt;&gt;"",Účetní_závěrka!D73,""),"")</f>
        <v/>
      </c>
      <c r="U239" s="683" t="str">
        <f>IF($B$38="P",IF(Účetní_závěrka!E73&lt;&gt;"",ABS(Účetní_závěrka!E73),""),"")</f>
        <v/>
      </c>
      <c r="V239" s="683" t="str">
        <f>IF($B$38="P",IF(Účetní_závěrka!F73&lt;&gt;"",Účetní_závěrka!F73,""),"")</f>
        <v/>
      </c>
      <c r="W239" s="683" t="str">
        <f>IF($B$38="P",IF(Účetní_závěrka!G73&lt;&gt;"",Účetní_závěrka!G73,""),"")</f>
        <v/>
      </c>
      <c r="Y239">
        <v>62</v>
      </c>
      <c r="AQ239" s="451">
        <f t="shared" si="10"/>
        <v>1</v>
      </c>
      <c r="AR239" s="682">
        <f t="shared" si="5"/>
        <v>62</v>
      </c>
      <c r="AS239" s="683" t="str">
        <f>IF($B$38="P",IF(Účetní_závěrka!L73&lt;&gt;"",Účetní_závěrka!L73,""),"")</f>
        <v/>
      </c>
      <c r="AT239" s="683" t="str">
        <f>IF($B$38="P",IF(Účetní_závěrka!K73&lt;&gt;"",Účetní_závěrka!K73,""),"")</f>
        <v/>
      </c>
      <c r="AV239">
        <v>62</v>
      </c>
      <c r="AW239" s="541"/>
    </row>
    <row r="240" spans="18:49" ht="12.75">
      <c r="R240">
        <f t="shared" si="7"/>
        <v>1</v>
      </c>
      <c r="S240" s="682">
        <f t="shared" si="2"/>
        <v>63</v>
      </c>
      <c r="T240" s="683" t="str">
        <f>IF($B$38="P",IF(Účetní_závěrka!D74&lt;&gt;"",Účetní_závěrka!D74,""),"")</f>
        <v/>
      </c>
      <c r="U240" s="683" t="str">
        <f>IF($B$38="P",IF(Účetní_závěrka!E74&lt;&gt;"",ABS(Účetní_závěrka!E74),""),"")</f>
        <v/>
      </c>
      <c r="V240" s="683" t="str">
        <f>IF($B$38="P",IF(Účetní_závěrka!F74&lt;&gt;"",Účetní_závěrka!F74,""),"")</f>
        <v/>
      </c>
      <c r="W240" s="683" t="str">
        <f>IF($B$38="P",IF(Účetní_závěrka!G74&lt;&gt;"",Účetní_závěrka!G74,""),"")</f>
        <v/>
      </c>
      <c r="Y240">
        <v>63</v>
      </c>
      <c r="AQ240" s="451">
        <f t="shared" si="10"/>
        <v>1</v>
      </c>
      <c r="AR240" s="682">
        <f t="shared" si="5"/>
        <v>63</v>
      </c>
      <c r="AS240" s="683" t="str">
        <f>IF($B$38="P",IF(Účetní_závěrka!L74&lt;&gt;"",Účetní_závěrka!L74,""),"")</f>
        <v/>
      </c>
      <c r="AT240" s="683" t="str">
        <f>IF($B$38="P",IF(Účetní_závěrka!K74&lt;&gt;"",Účetní_závěrka!K74,""),"")</f>
        <v/>
      </c>
      <c r="AV240">
        <v>63</v>
      </c>
      <c r="AW240" s="541"/>
    </row>
    <row r="241" spans="18:49" ht="12.75">
      <c r="R241">
        <f t="shared" si="7"/>
        <v>1</v>
      </c>
      <c r="S241" s="682">
        <f t="shared" si="2"/>
        <v>64</v>
      </c>
      <c r="T241" s="683" t="str">
        <f>IF($B$38="P",IF(Účetní_závěrka!D75&lt;&gt;"",Účetní_závěrka!D75,""),"")</f>
        <v/>
      </c>
      <c r="U241" s="683" t="str">
        <f>IF($B$38="P",IF(Účetní_závěrka!E75&lt;&gt;"",ABS(Účetní_závěrka!E75),""),"")</f>
        <v/>
      </c>
      <c r="V241" s="683" t="str">
        <f>IF($B$38="P",IF(Účetní_závěrka!F75&lt;&gt;"",Účetní_závěrka!F75,""),"")</f>
        <v/>
      </c>
      <c r="W241" s="683" t="str">
        <f>IF($B$38="P",IF(Účetní_závěrka!G75&lt;&gt;"",Účetní_závěrka!G75,""),"")</f>
        <v/>
      </c>
      <c r="Y241">
        <v>64</v>
      </c>
      <c r="AQ241" s="451">
        <f t="shared" si="10"/>
        <v>1</v>
      </c>
      <c r="AR241" s="682">
        <f t="shared" si="5"/>
        <v>64</v>
      </c>
      <c r="AS241" s="683" t="str">
        <f>IF($B$38="P",IF(Účetní_závěrka!L75&lt;&gt;"",Účetní_závěrka!L75,""),"")</f>
        <v/>
      </c>
      <c r="AT241" s="683" t="str">
        <f>IF($B$38="P",IF(Účetní_závěrka!K75&lt;&gt;"",Účetní_závěrka!K75,""),"")</f>
        <v/>
      </c>
      <c r="AV241">
        <v>64</v>
      </c>
      <c r="AW241" s="541"/>
    </row>
    <row r="242" spans="18:49" ht="12.75">
      <c r="R242">
        <f t="shared" si="7"/>
        <v>1</v>
      </c>
      <c r="S242" s="682">
        <f t="shared" si="11" ref="S242:S254">IF($B$38="P",Y242,IF($B$38="Z",IF(Z242&lt;&gt;"",Z242,""),IF($B$38="M",IF(AA242&lt;&gt;"",AA242,""),Y242)))</f>
        <v>65</v>
      </c>
      <c r="T242" s="683" t="str">
        <f>IF($B$38="P",IF(Účetní_závěrka!D76&lt;&gt;"",Účetní_závěrka!D76,""),"")</f>
        <v/>
      </c>
      <c r="U242" s="683" t="str">
        <f>IF($B$38="P",IF(Účetní_závěrka!E76&lt;&gt;"",ABS(Účetní_závěrka!E76),""),"")</f>
        <v/>
      </c>
      <c r="V242" s="683" t="str">
        <f>IF($B$38="P",IF(Účetní_závěrka!F76&lt;&gt;"",Účetní_závěrka!F76,""),"")</f>
        <v/>
      </c>
      <c r="W242" s="683" t="str">
        <f>IF($B$38="P",IF(Účetní_závěrka!G76&lt;&gt;"",Účetní_závěrka!G76,""),"")</f>
        <v/>
      </c>
      <c r="Y242">
        <v>65</v>
      </c>
      <c r="AQ242" s="451">
        <f t="shared" si="10"/>
        <v>1</v>
      </c>
      <c r="AR242" s="682">
        <f t="shared" si="12" ref="AR242:AR243">IF($B$38="P",AV242,IF($B$38="Z",IF(AW242&lt;&gt;"",AW242,""),IF($B$38="M",IF(AX242&lt;&gt;"",AX242,""),AV242)))</f>
        <v>65</v>
      </c>
      <c r="AS242" s="683" t="str">
        <f>IF($B$38="P",IF(Účetní_závěrka!L76&lt;&gt;"",Účetní_závěrka!L76,""),"")</f>
        <v/>
      </c>
      <c r="AT242" s="683" t="str">
        <f>IF($B$38="P",IF(Účetní_závěrka!K76&lt;&gt;"",Účetní_závěrka!K76,""),"")</f>
        <v/>
      </c>
      <c r="AV242">
        <v>65</v>
      </c>
      <c r="AW242" s="541"/>
    </row>
    <row r="243" spans="18:49" ht="12.75">
      <c r="R243">
        <f t="shared" si="7"/>
        <v>1</v>
      </c>
      <c r="S243" s="682">
        <f t="shared" si="11"/>
        <v>66</v>
      </c>
      <c r="T243" s="683" t="str">
        <f>IF($B$38="P",IF(Účetní_závěrka!D77&lt;&gt;"",Účetní_závěrka!D77,""),"")</f>
        <v/>
      </c>
      <c r="U243" s="683" t="str">
        <f>IF($B$38="P",IF(Účetní_závěrka!E77&lt;&gt;"",ABS(Účetní_závěrka!E77),""),"")</f>
        <v/>
      </c>
      <c r="V243" s="683" t="str">
        <f>IF($B$38="P",IF(Účetní_závěrka!F77&lt;&gt;"",Účetní_závěrka!F77,""),"")</f>
        <v/>
      </c>
      <c r="W243" s="683" t="str">
        <f>IF($B$38="P",IF(Účetní_závěrka!G77&lt;&gt;"",Účetní_závěrka!G77,""),"")</f>
        <v/>
      </c>
      <c r="Y243">
        <v>66</v>
      </c>
      <c r="AQ243" s="451">
        <f t="shared" si="10"/>
        <v>1</v>
      </c>
      <c r="AR243" s="682">
        <f t="shared" si="12"/>
        <v>66</v>
      </c>
      <c r="AS243" s="683" t="str">
        <f>IF($B$38="P",IF(Účetní_závěrka!L77&lt;&gt;"",Účetní_závěrka!L77,""),"")</f>
        <v/>
      </c>
      <c r="AT243" s="683" t="str">
        <f>IF($B$38="P",IF(Účetní_závěrka!K77&lt;&gt;"",Účetní_závěrka!K77,""),"")</f>
        <v/>
      </c>
      <c r="AV243">
        <v>66</v>
      </c>
      <c r="AW243" s="541"/>
    </row>
    <row r="244" spans="18:25" ht="12.75">
      <c r="R244" s="455">
        <f t="shared" si="13" ref="R244:R254">$Q$178</f>
        <v>1</v>
      </c>
      <c r="S244" s="682">
        <f t="shared" si="11"/>
        <v>67</v>
      </c>
      <c r="T244" s="683" t="str">
        <f>IF($B$38="P",IF(Účetní_závěrka!D78&lt;&gt;"",Účetní_závěrka!D78,""),"")</f>
        <v/>
      </c>
      <c r="U244" s="683" t="str">
        <f>IF($B$38="P",IF(Účetní_závěrka!E78&lt;&gt;"",ABS(Účetní_závěrka!E78),""),"")</f>
        <v/>
      </c>
      <c r="V244" s="683" t="str">
        <f>IF($B$38="P",IF(Účetní_závěrka!F78&lt;&gt;"",Účetní_závěrka!F78,""),"")</f>
        <v/>
      </c>
      <c r="W244" s="683" t="str">
        <f>IF($B$38="P",IF(Účetní_závěrka!G78&lt;&gt;"",Účetní_závěrka!G78,""),"")</f>
        <v/>
      </c>
      <c r="Y244">
        <v>67</v>
      </c>
    </row>
    <row r="245" spans="18:25" ht="12.75">
      <c r="R245" s="455">
        <f t="shared" si="13"/>
        <v>1</v>
      </c>
      <c r="S245" s="682">
        <f t="shared" si="11"/>
        <v>68</v>
      </c>
      <c r="T245" s="683" t="str">
        <f>IF($B$38="P",IF(Účetní_závěrka!D79&lt;&gt;"",Účetní_závěrka!D79,""),"")</f>
        <v/>
      </c>
      <c r="U245" s="683" t="str">
        <f>IF($B$38="P",IF(Účetní_závěrka!E79&lt;&gt;"",ABS(Účetní_závěrka!E79),""),"")</f>
        <v/>
      </c>
      <c r="V245" s="683" t="str">
        <f>IF($B$38="P",IF(Účetní_závěrka!F79&lt;&gt;"",Účetní_závěrka!F79,""),"")</f>
        <v/>
      </c>
      <c r="W245" s="683" t="str">
        <f>IF($B$38="P",IF(Účetní_závěrka!G79&lt;&gt;"",Účetní_závěrka!G79,""),"")</f>
        <v/>
      </c>
      <c r="Y245">
        <v>68</v>
      </c>
    </row>
    <row r="246" spans="18:25" ht="12.75">
      <c r="R246" s="455">
        <f t="shared" si="13"/>
        <v>1</v>
      </c>
      <c r="S246" s="682">
        <f t="shared" si="11"/>
        <v>69</v>
      </c>
      <c r="T246" s="683" t="str">
        <f>IF($B$38="P",IF(Účetní_závěrka!D80&lt;&gt;"",Účetní_závěrka!D80,""),"")</f>
        <v/>
      </c>
      <c r="U246" s="683" t="str">
        <f>IF($B$38="P",IF(Účetní_závěrka!E80&lt;&gt;"",ABS(Účetní_závěrka!E80),""),"")</f>
        <v/>
      </c>
      <c r="V246" s="683" t="str">
        <f>IF($B$38="P",IF(Účetní_závěrka!F80&lt;&gt;"",Účetní_závěrka!F80,""),"")</f>
        <v/>
      </c>
      <c r="W246" s="683" t="str">
        <f>IF($B$38="P",IF(Účetní_závěrka!G80&lt;&gt;"",Účetní_závěrka!G80,""),"")</f>
        <v/>
      </c>
      <c r="Y246">
        <v>69</v>
      </c>
    </row>
    <row r="247" spans="18:25" ht="12.75">
      <c r="R247" s="455">
        <f t="shared" si="13"/>
        <v>1</v>
      </c>
      <c r="S247" s="682">
        <f t="shared" si="11"/>
        <v>70</v>
      </c>
      <c r="T247" s="683" t="str">
        <f>IF($B$38="P",IF(Účetní_závěrka!D81&lt;&gt;"",Účetní_závěrka!D81,""),"")</f>
        <v/>
      </c>
      <c r="U247" s="683" t="str">
        <f>IF($B$38="P",IF(Účetní_závěrka!E81&lt;&gt;"",ABS(Účetní_závěrka!E81),""),"")</f>
        <v/>
      </c>
      <c r="V247" s="683" t="str">
        <f>IF($B$38="P",IF(Účetní_závěrka!F81&lt;&gt;"",Účetní_závěrka!F81,""),"")</f>
        <v/>
      </c>
      <c r="W247" s="683" t="str">
        <f>IF($B$38="P",IF(Účetní_závěrka!G81&lt;&gt;"",Účetní_závěrka!G81,""),"")</f>
        <v/>
      </c>
      <c r="Y247">
        <v>70</v>
      </c>
    </row>
    <row r="248" spans="18:25" ht="12.75">
      <c r="R248" s="455">
        <f t="shared" si="13"/>
        <v>1</v>
      </c>
      <c r="S248" s="682">
        <f t="shared" si="11"/>
        <v>71</v>
      </c>
      <c r="T248" s="683" t="str">
        <f>IF($B$38="P",IF(Účetní_závěrka!D82&lt;&gt;"",Účetní_závěrka!D82,""),"")</f>
        <v/>
      </c>
      <c r="U248" s="683" t="str">
        <f>IF($B$38="P",IF(Účetní_závěrka!E82&lt;&gt;"",ABS(Účetní_závěrka!E82),""),"")</f>
        <v/>
      </c>
      <c r="V248" s="683" t="str">
        <f>IF($B$38="P",IF(Účetní_závěrka!F82&lt;&gt;"",Účetní_závěrka!F82,""),"")</f>
        <v/>
      </c>
      <c r="W248" s="683" t="str">
        <f>IF($B$38="P",IF(Účetní_závěrka!G82&lt;&gt;"",Účetní_závěrka!G82,""),"")</f>
        <v/>
      </c>
      <c r="Y248">
        <v>71</v>
      </c>
    </row>
    <row r="249" spans="18:25" ht="12.75">
      <c r="R249" s="455">
        <f t="shared" si="13"/>
        <v>1</v>
      </c>
      <c r="S249" s="682">
        <f t="shared" si="11"/>
        <v>72</v>
      </c>
      <c r="T249" s="683" t="str">
        <f>IF($B$38="P",IF(Účetní_závěrka!D83&lt;&gt;"",Účetní_závěrka!D83,""),"")</f>
        <v/>
      </c>
      <c r="U249" s="683" t="str">
        <f>IF($B$38="P",IF(Účetní_závěrka!E83&lt;&gt;"",ABS(Účetní_závěrka!E83),""),"")</f>
        <v/>
      </c>
      <c r="V249" s="683" t="str">
        <f>IF($B$38="P",IF(Účetní_závěrka!F83&lt;&gt;"",Účetní_závěrka!F83,""),"")</f>
        <v/>
      </c>
      <c r="W249" s="683" t="str">
        <f>IF($B$38="P",IF(Účetní_závěrka!G83&lt;&gt;"",Účetní_závěrka!G83,""),"")</f>
        <v/>
      </c>
      <c r="Y249">
        <v>72</v>
      </c>
    </row>
    <row r="250" spans="18:25" ht="12.75">
      <c r="R250" s="455">
        <f t="shared" si="13"/>
        <v>1</v>
      </c>
      <c r="S250" s="682">
        <f t="shared" si="11"/>
        <v>73</v>
      </c>
      <c r="T250" s="683" t="str">
        <f>IF($B$38="P",IF(Účetní_závěrka!D84&lt;&gt;"",Účetní_závěrka!D84,""),"")</f>
        <v/>
      </c>
      <c r="U250" s="683" t="str">
        <f>IF($B$38="P",IF(Účetní_závěrka!E84&lt;&gt;"",ABS(Účetní_závěrka!E84),""),"")</f>
        <v/>
      </c>
      <c r="V250" s="683" t="str">
        <f>IF($B$38="P",IF(Účetní_závěrka!F84&lt;&gt;"",Účetní_závěrka!F84,""),"")</f>
        <v/>
      </c>
      <c r="W250" s="683" t="str">
        <f>IF($B$38="P",IF(Účetní_závěrka!G84&lt;&gt;"",Účetní_závěrka!G84,""),"")</f>
        <v/>
      </c>
      <c r="Y250">
        <v>73</v>
      </c>
    </row>
    <row r="251" spans="18:25" ht="12.75">
      <c r="R251" s="455">
        <f t="shared" si="13"/>
        <v>1</v>
      </c>
      <c r="S251" s="682">
        <f t="shared" si="11"/>
        <v>74</v>
      </c>
      <c r="T251" s="683" t="str">
        <f>IF($B$38="P",IF(Účetní_závěrka!D85&lt;&gt;"",Účetní_závěrka!D85,""),"")</f>
        <v/>
      </c>
      <c r="U251" s="683" t="str">
        <f>IF($B$38="P",IF(Účetní_závěrka!E85&lt;&gt;"",ABS(Účetní_závěrka!E85),""),"")</f>
        <v/>
      </c>
      <c r="V251" s="683" t="str">
        <f>IF($B$38="P",IF(Účetní_závěrka!F85&lt;&gt;"",Účetní_závěrka!F85,""),"")</f>
        <v/>
      </c>
      <c r="W251" s="683" t="str">
        <f>IF($B$38="P",IF(Účetní_závěrka!G85&lt;&gt;"",Účetní_závěrka!G85,""),"")</f>
        <v/>
      </c>
      <c r="Y251">
        <v>74</v>
      </c>
    </row>
    <row r="252" spans="18:25" ht="12.75">
      <c r="R252" s="455">
        <f t="shared" si="13"/>
        <v>1</v>
      </c>
      <c r="S252" s="682">
        <f t="shared" si="11"/>
        <v>75</v>
      </c>
      <c r="T252" s="683" t="str">
        <f>IF($B$38="P",IF(Účetní_závěrka!D86&lt;&gt;"",Účetní_závěrka!D86,""),"")</f>
        <v/>
      </c>
      <c r="U252" s="683" t="str">
        <f>IF($B$38="P",IF(Účetní_závěrka!E86&lt;&gt;"",ABS(Účetní_závěrka!E86),""),"")</f>
        <v/>
      </c>
      <c r="V252" s="683" t="str">
        <f>IF($B$38="P",IF(Účetní_závěrka!F86&lt;&gt;"",Účetní_závěrka!F86,""),"")</f>
        <v/>
      </c>
      <c r="W252" s="683" t="str">
        <f>IF($B$38="P",IF(Účetní_závěrka!G86&lt;&gt;"",Účetní_závěrka!G86,""),"")</f>
        <v/>
      </c>
      <c r="Y252">
        <v>75</v>
      </c>
    </row>
    <row r="253" spans="18:25" ht="12.75">
      <c r="R253" s="455">
        <f t="shared" si="13"/>
        <v>1</v>
      </c>
      <c r="S253" s="682">
        <f t="shared" si="11"/>
        <v>76</v>
      </c>
      <c r="T253" s="683" t="str">
        <f>IF($B$38="P",IF(Účetní_závěrka!D87&lt;&gt;"",Účetní_závěrka!D87,""),"")</f>
        <v/>
      </c>
      <c r="U253" s="683" t="str">
        <f>IF($B$38="P",IF(Účetní_závěrka!E87&lt;&gt;"",ABS(Účetní_závěrka!E87),""),"")</f>
        <v/>
      </c>
      <c r="V253" s="683" t="str">
        <f>IF($B$38="P",IF(Účetní_závěrka!F87&lt;&gt;"",Účetní_závěrka!F87,""),"")</f>
        <v/>
      </c>
      <c r="W253" s="683" t="str">
        <f>IF($B$38="P",IF(Účetní_závěrka!G87&lt;&gt;"",Účetní_závěrka!G87,""),"")</f>
        <v/>
      </c>
      <c r="Y253">
        <v>76</v>
      </c>
    </row>
    <row r="254" spans="18:25" ht="12.75">
      <c r="R254" s="455">
        <f t="shared" si="13"/>
        <v>1</v>
      </c>
      <c r="S254" s="682">
        <f t="shared" si="11"/>
        <v>77</v>
      </c>
      <c r="T254" s="683" t="str">
        <f>IF($B$38="P",IF(Účetní_závěrka!D88&lt;&gt;"",Účetní_závěrka!D88,""),"")</f>
        <v/>
      </c>
      <c r="U254" s="683" t="str">
        <f>IF($B$38="P",IF(Účetní_závěrka!E88&lt;&gt;"",ABS(Účetní_závěrka!E88),""),"")</f>
        <v/>
      </c>
      <c r="V254" s="683" t="str">
        <f>IF($B$38="P",IF(Účetní_závěrka!F88&lt;&gt;"",Účetní_závěrka!F88,""),"")</f>
        <v/>
      </c>
      <c r="W254" s="683" t="str">
        <f>IF($B$38="P",IF(Účetní_závěrka!G88&lt;&gt;"",Účetní_závěrka!G88,""),"")</f>
        <v/>
      </c>
      <c r="Y254">
        <v>77</v>
      </c>
    </row>
    <row r="271" spans="17:24" ht="14.25">
      <c r="Q271" t="s">
        <v>809</v>
      </c>
      <c r="R271" s="390" t="s">
        <v>799</v>
      </c>
      <c r="S271" s="393" t="s">
        <v>800</v>
      </c>
      <c r="T271" s="393" t="s">
        <v>801</v>
      </c>
      <c r="U271" s="393" t="s">
        <v>802</v>
      </c>
      <c r="V271" s="393" t="s">
        <v>803</v>
      </c>
      <c r="W271" s="393" t="s">
        <v>804</v>
      </c>
      <c r="X271" s="393" t="s">
        <v>811</v>
      </c>
    </row>
    <row r="272" spans="24:24" ht="12.75">
      <c r="X272" s="391"/>
    </row>
    <row r="281" spans="17:22" ht="14.25">
      <c r="Q281" t="s">
        <v>810</v>
      </c>
      <c r="R281" s="390" t="s">
        <v>799</v>
      </c>
      <c r="S281" s="393" t="s">
        <v>800</v>
      </c>
      <c r="T281" s="393" t="s">
        <v>805</v>
      </c>
      <c r="U281" s="393" t="s">
        <v>806</v>
      </c>
      <c r="V281" s="393" t="s">
        <v>811</v>
      </c>
    </row>
    <row r="282" spans="22:22" ht="12.75">
      <c r="V282" s="391"/>
    </row>
    <row r="291" spans="17:21" ht="14.25">
      <c r="Q291" t="s">
        <v>816</v>
      </c>
      <c r="R291" s="390" t="s">
        <v>812</v>
      </c>
      <c r="S291" s="393" t="s">
        <v>813</v>
      </c>
      <c r="T291" s="393" t="s">
        <v>814</v>
      </c>
      <c r="U291" s="393" t="s">
        <v>815</v>
      </c>
    </row>
    <row r="292" spans="18:21" ht="12.75">
      <c r="R292" t="str">
        <f>IF('2Př'!C32&lt;&gt;"",MID('2Př'!C32,FIND("-",'2Př'!C32,1)+1,FIND("/",'2Př'!C32,1)-FIND("-",'2Př'!C32,1)-1),"")</f>
        <v/>
      </c>
      <c r="S292" t="str">
        <f>IF('2Př'!C32&lt;&gt;"",MID('2Př'!C32,FIND("-",'2Př'!C32,3)+1,LEN('2Př'!C32)-FIND("-",'2Př'!C32,3)),"")</f>
        <v/>
      </c>
      <c r="T292" t="str">
        <f>IF('2Př'!C32&lt;&gt;"",MID('2Př'!C32,FIND("/",'2Př'!C32,1)+1,4),"")</f>
        <v/>
      </c>
      <c r="U292" s="448" t="str">
        <f>IF('2Př'!C32&lt;&gt;"",LEFT('2Př'!C32,1),"")</f>
        <v/>
      </c>
    </row>
    <row r="294" spans="18:21" ht="12.75">
      <c r="R294" s="397" t="s">
        <v>3516</v>
      </c>
      <c r="S294" s="397" t="s">
        <v>3516</v>
      </c>
      <c r="T294" s="397" t="s">
        <v>3516</v>
      </c>
      <c r="U294" s="397" t="s">
        <v>3516</v>
      </c>
    </row>
    <row r="301" spans="17:21" ht="14.25">
      <c r="Q301" t="s">
        <v>817</v>
      </c>
      <c r="R301" s="392" t="s">
        <v>818</v>
      </c>
      <c r="S301" s="394" t="s">
        <v>819</v>
      </c>
      <c r="T301" s="394" t="s">
        <v>820</v>
      </c>
      <c r="U301" s="394" t="s">
        <v>821</v>
      </c>
    </row>
    <row r="302" spans="19:21" ht="12.75">
      <c r="S302" s="391"/>
      <c r="T302" s="391"/>
      <c r="U302" s="391"/>
    </row>
    <row r="311" spans="17:22" ht="12.75">
      <c r="Q311" t="s">
        <v>822</v>
      </c>
      <c r="R311" t="s">
        <v>818</v>
      </c>
      <c r="S311" t="s">
        <v>819</v>
      </c>
      <c r="T311" t="s">
        <v>820</v>
      </c>
      <c r="U311" t="s">
        <v>821</v>
      </c>
      <c r="V311" t="s">
        <v>823</v>
      </c>
    </row>
    <row r="312" spans="19:22" ht="12.75">
      <c r="S312" s="391"/>
      <c r="T312" s="391"/>
      <c r="U312" s="391"/>
      <c r="V312" s="391"/>
    </row>
  </sheetData>
  <pageMargins left="0.7" right="0.7" top="0.787401575" bottom="0.787401575" header="0.3" footer="0.3"/>
  <pageSetup orientation="portrait" paperSize="9" r:id="rId26"/>
  <tableParts>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K53"/>
  <sheetViews>
    <sheetView workbookViewId="0" topLeftCell="A1">
      <selection pane="topLeft" activeCell="D16" sqref="D16"/>
    </sheetView>
  </sheetViews>
  <sheetFormatPr defaultRowHeight="12.75"/>
  <cols>
    <col min="1" max="1" width="28.1428571428571" style="84" customWidth="1"/>
    <col min="2" max="2" width="65.7142857142857" style="84" customWidth="1"/>
    <col min="3" max="3" width="3" style="84" customWidth="1"/>
    <col min="4" max="4" width="65.7142857142857" style="84" customWidth="1"/>
    <col min="5" max="5" width="28.2857142857143" style="84" customWidth="1"/>
    <col min="6" max="37" width="9.14285714285714" style="29"/>
  </cols>
  <sheetData>
    <row r="1" spans="1:37" s="157" customFormat="1" ht="18">
      <c r="A1" s="752" t="s">
        <v>403</v>
      </c>
      <c r="B1" s="753"/>
      <c r="C1" s="753"/>
      <c r="D1" s="753"/>
      <c r="E1" s="753"/>
      <c r="F1" s="122"/>
      <c r="G1" s="122"/>
      <c r="H1" s="122"/>
      <c r="I1" s="122"/>
      <c r="J1" s="122"/>
      <c r="K1" s="122"/>
      <c r="L1" s="122"/>
      <c r="M1" s="122"/>
      <c r="N1" s="122"/>
      <c r="O1" s="122"/>
      <c r="P1" s="122"/>
      <c r="Q1" s="122"/>
      <c r="R1" s="122"/>
      <c r="S1" s="122"/>
      <c r="T1" s="122"/>
      <c r="U1" s="122"/>
      <c r="V1" s="122"/>
      <c r="W1" s="122"/>
      <c r="X1" s="122"/>
      <c r="Y1" s="122"/>
      <c r="Z1" s="122"/>
      <c r="AA1" s="122"/>
      <c r="AB1" s="122"/>
      <c r="AC1" s="122"/>
      <c r="AD1" s="122"/>
      <c r="AE1" s="122"/>
      <c r="AF1" s="122"/>
      <c r="AG1" s="122"/>
      <c r="AH1" s="122"/>
      <c r="AI1" s="122"/>
      <c r="AJ1" s="122"/>
      <c r="AK1" s="122"/>
    </row>
    <row r="2" spans="1:37" s="157" customFormat="1" ht="18">
      <c r="A2" s="286"/>
      <c r="B2" s="543" t="s">
        <v>3684</v>
      </c>
      <c r="C2" s="287"/>
      <c r="D2" s="302" t="s">
        <v>220</v>
      </c>
      <c r="E2" s="288"/>
      <c r="F2" s="122"/>
      <c r="G2" s="122"/>
      <c r="H2" s="122"/>
      <c r="I2" s="122"/>
      <c r="J2" s="122"/>
      <c r="K2" s="122"/>
      <c r="L2" s="122"/>
      <c r="M2" s="122"/>
      <c r="N2" s="122"/>
      <c r="O2" s="122"/>
      <c r="P2" s="122"/>
      <c r="Q2" s="122"/>
      <c r="R2" s="122"/>
      <c r="S2" s="122"/>
      <c r="T2" s="122"/>
      <c r="U2" s="122"/>
      <c r="V2" s="122"/>
      <c r="W2" s="122"/>
      <c r="X2" s="122"/>
      <c r="Y2" s="122"/>
      <c r="Z2" s="122"/>
      <c r="AA2" s="122"/>
      <c r="AB2" s="122"/>
      <c r="AC2" s="122"/>
      <c r="AD2" s="122"/>
      <c r="AE2" s="122"/>
      <c r="AF2" s="122"/>
      <c r="AG2" s="122"/>
      <c r="AH2" s="122"/>
      <c r="AI2" s="122"/>
      <c r="AJ2" s="122"/>
      <c r="AK2" s="122"/>
    </row>
    <row r="3" spans="1:37" s="157" customFormat="1" ht="15.95" customHeight="1">
      <c r="A3" s="204"/>
      <c r="B3" s="205" t="s">
        <v>404</v>
      </c>
      <c r="C3" s="158"/>
      <c r="D3" s="205" t="s">
        <v>405</v>
      </c>
      <c r="E3" s="201"/>
      <c r="F3" s="122"/>
      <c r="G3" s="122"/>
      <c r="H3" s="122"/>
      <c r="I3" s="122"/>
      <c r="J3" s="122"/>
      <c r="K3" s="122"/>
      <c r="L3" s="122"/>
      <c r="M3" s="122"/>
      <c r="N3" s="122"/>
      <c r="O3" s="122"/>
      <c r="P3" s="122"/>
      <c r="Q3" s="122"/>
      <c r="R3" s="122"/>
      <c r="S3" s="122"/>
      <c r="T3" s="122"/>
      <c r="U3" s="122"/>
      <c r="V3" s="122"/>
      <c r="W3" s="122"/>
      <c r="X3" s="122"/>
      <c r="Y3" s="122"/>
      <c r="Z3" s="122"/>
      <c r="AA3" s="122"/>
      <c r="AB3" s="122"/>
      <c r="AC3" s="122"/>
      <c r="AD3" s="122"/>
      <c r="AE3" s="122"/>
      <c r="AF3" s="122"/>
      <c r="AG3" s="122"/>
      <c r="AH3" s="122"/>
      <c r="AI3" s="122"/>
      <c r="AJ3" s="122"/>
      <c r="AK3" s="122"/>
    </row>
    <row r="4" spans="1:37" s="157" customFormat="1" ht="15.95" customHeight="1">
      <c r="A4" s="620" t="s">
        <v>3784</v>
      </c>
      <c r="B4" s="218"/>
      <c r="C4" s="207"/>
      <c r="D4" s="756"/>
      <c r="E4" s="619" t="s">
        <v>3781</v>
      </c>
      <c r="F4" s="122"/>
      <c r="G4" s="122"/>
      <c r="H4" s="122"/>
      <c r="I4" s="122"/>
      <c r="J4" s="122"/>
      <c r="K4" s="122"/>
      <c r="L4" s="122"/>
      <c r="M4" s="122"/>
      <c r="N4" s="122"/>
      <c r="O4" s="122"/>
      <c r="P4" s="122"/>
      <c r="Q4" s="122"/>
      <c r="R4" s="122"/>
      <c r="S4" s="122"/>
      <c r="T4" s="122"/>
      <c r="U4" s="122"/>
      <c r="V4" s="122"/>
      <c r="W4" s="122"/>
      <c r="X4" s="122"/>
      <c r="Y4" s="122"/>
      <c r="Z4" s="122"/>
      <c r="AA4" s="122"/>
      <c r="AB4" s="122"/>
      <c r="AC4" s="122"/>
      <c r="AD4" s="122"/>
      <c r="AE4" s="122"/>
      <c r="AF4" s="122"/>
      <c r="AG4" s="122"/>
      <c r="AH4" s="122"/>
      <c r="AI4" s="122"/>
      <c r="AJ4" s="122"/>
      <c r="AK4" s="122"/>
    </row>
    <row r="5" spans="1:37" s="157" customFormat="1" ht="15.95" customHeight="1">
      <c r="A5" s="620" t="s">
        <v>3785</v>
      </c>
      <c r="B5" s="219"/>
      <c r="C5" s="208"/>
      <c r="D5" s="757"/>
      <c r="E5" s="158"/>
      <c r="F5" s="122"/>
      <c r="G5" s="122"/>
      <c r="H5" s="122"/>
      <c r="I5" s="122"/>
      <c r="J5" s="122"/>
      <c r="K5" s="122"/>
      <c r="L5" s="122"/>
      <c r="M5" s="122"/>
      <c r="N5" s="122"/>
      <c r="O5" s="122"/>
      <c r="P5" s="122"/>
      <c r="Q5" s="122"/>
      <c r="R5" s="122"/>
      <c r="S5" s="122"/>
      <c r="T5" s="122"/>
      <c r="U5" s="122"/>
      <c r="V5" s="122"/>
      <c r="W5" s="122"/>
      <c r="X5" s="122"/>
      <c r="Y5" s="122"/>
      <c r="Z5" s="122"/>
      <c r="AA5" s="122"/>
      <c r="AB5" s="122"/>
      <c r="AC5" s="122"/>
      <c r="AD5" s="122"/>
      <c r="AE5" s="122"/>
      <c r="AF5" s="122"/>
      <c r="AG5" s="122"/>
      <c r="AH5" s="122"/>
      <c r="AI5" s="122"/>
      <c r="AJ5" s="122"/>
      <c r="AK5" s="122"/>
    </row>
    <row r="6" spans="1:37" s="157" customFormat="1" ht="15.95" customHeight="1">
      <c r="A6" s="620" t="s">
        <v>3795</v>
      </c>
      <c r="B6" s="219"/>
      <c r="C6" s="208"/>
      <c r="D6" s="757"/>
      <c r="E6" s="158"/>
      <c r="F6" s="122"/>
      <c r="G6" s="122"/>
      <c r="H6" s="122"/>
      <c r="I6" s="122"/>
      <c r="J6" s="122"/>
      <c r="K6" s="122"/>
      <c r="L6" s="122"/>
      <c r="M6" s="122"/>
      <c r="N6" s="122"/>
      <c r="O6" s="122"/>
      <c r="P6" s="122"/>
      <c r="Q6" s="122"/>
      <c r="R6" s="122"/>
      <c r="S6" s="122"/>
      <c r="T6" s="122"/>
      <c r="U6" s="122"/>
      <c r="V6" s="122"/>
      <c r="W6" s="122"/>
      <c r="X6" s="122"/>
      <c r="Y6" s="122"/>
      <c r="Z6" s="122"/>
      <c r="AA6" s="122"/>
      <c r="AB6" s="122"/>
      <c r="AC6" s="122"/>
      <c r="AD6" s="122"/>
      <c r="AE6" s="122"/>
      <c r="AF6" s="122"/>
      <c r="AG6" s="122"/>
      <c r="AH6" s="122"/>
      <c r="AI6" s="122"/>
      <c r="AJ6" s="122"/>
      <c r="AK6" s="122"/>
    </row>
    <row r="7" spans="1:37" s="157" customFormat="1" ht="15.95" customHeight="1">
      <c r="A7" s="620" t="s">
        <v>3786</v>
      </c>
      <c r="B7" s="219"/>
      <c r="C7" s="208"/>
      <c r="D7" s="220"/>
      <c r="E7" s="619" t="s">
        <v>3782</v>
      </c>
      <c r="F7" s="122"/>
      <c r="G7" s="122"/>
      <c r="H7" s="122"/>
      <c r="I7" s="122"/>
      <c r="J7" s="122"/>
      <c r="K7" s="122"/>
      <c r="L7" s="122"/>
      <c r="M7" s="122"/>
      <c r="N7" s="122"/>
      <c r="O7" s="122"/>
      <c r="P7" s="122"/>
      <c r="Q7" s="122"/>
      <c r="R7" s="122"/>
      <c r="S7" s="122"/>
      <c r="T7" s="122"/>
      <c r="U7" s="122"/>
      <c r="V7" s="122"/>
      <c r="W7" s="122"/>
      <c r="X7" s="122"/>
      <c r="Y7" s="122"/>
      <c r="Z7" s="122"/>
      <c r="AA7" s="122"/>
      <c r="AB7" s="122"/>
      <c r="AC7" s="122"/>
      <c r="AD7" s="122"/>
      <c r="AE7" s="122"/>
      <c r="AF7" s="122"/>
      <c r="AG7" s="122"/>
      <c r="AH7" s="122"/>
      <c r="AI7" s="122"/>
      <c r="AJ7" s="122"/>
      <c r="AK7" s="122"/>
    </row>
    <row r="8" spans="1:37" s="157" customFormat="1" ht="15.95" customHeight="1">
      <c r="A8" s="620" t="s">
        <v>3796</v>
      </c>
      <c r="B8" s="221"/>
      <c r="C8" s="208"/>
      <c r="D8" s="220"/>
      <c r="E8" s="158"/>
      <c r="F8" s="122"/>
      <c r="G8" s="122"/>
      <c r="H8" s="122"/>
      <c r="I8" s="122"/>
      <c r="J8" s="122"/>
      <c r="K8" s="122"/>
      <c r="L8" s="122"/>
      <c r="M8" s="122"/>
      <c r="N8" s="122"/>
      <c r="O8" s="122"/>
      <c r="P8" s="122"/>
      <c r="Q8" s="122"/>
      <c r="R8" s="122"/>
      <c r="S8" s="122"/>
      <c r="T8" s="122"/>
      <c r="U8" s="122"/>
      <c r="V8" s="122"/>
      <c r="W8" s="122"/>
      <c r="X8" s="122"/>
      <c r="Y8" s="122"/>
      <c r="Z8" s="122"/>
      <c r="AA8" s="122"/>
      <c r="AB8" s="122"/>
      <c r="AC8" s="122"/>
      <c r="AD8" s="122"/>
      <c r="AE8" s="122"/>
      <c r="AF8" s="122"/>
      <c r="AG8" s="122"/>
      <c r="AH8" s="122"/>
      <c r="AI8" s="122"/>
      <c r="AJ8" s="122"/>
      <c r="AK8" s="122"/>
    </row>
    <row r="9" spans="1:37" s="157" customFormat="1" ht="15.95" customHeight="1">
      <c r="A9" s="620" t="s">
        <v>42</v>
      </c>
      <c r="B9" s="222"/>
      <c r="C9" s="208"/>
      <c r="D9" s="220"/>
      <c r="E9" s="158"/>
      <c r="F9" s="122"/>
      <c r="G9" s="122"/>
      <c r="H9" s="122"/>
      <c r="I9" s="122"/>
      <c r="J9" s="122"/>
      <c r="K9" s="122"/>
      <c r="L9" s="122"/>
      <c r="M9" s="122"/>
      <c r="N9" s="122"/>
      <c r="O9" s="122"/>
      <c r="P9" s="122"/>
      <c r="Q9" s="122"/>
      <c r="R9" s="122"/>
      <c r="S9" s="122"/>
      <c r="T9" s="122"/>
      <c r="U9" s="122"/>
      <c r="V9" s="122"/>
      <c r="W9" s="122"/>
      <c r="X9" s="122"/>
      <c r="Y9" s="122"/>
      <c r="Z9" s="122"/>
      <c r="AA9" s="122"/>
      <c r="AB9" s="122"/>
      <c r="AC9" s="122"/>
      <c r="AD9" s="122"/>
      <c r="AE9" s="122"/>
      <c r="AF9" s="122"/>
      <c r="AG9" s="122"/>
      <c r="AH9" s="122"/>
      <c r="AI9" s="122"/>
      <c r="AJ9" s="122"/>
      <c r="AK9" s="122"/>
    </row>
    <row r="10" spans="1:37" s="157" customFormat="1" ht="15.95" customHeight="1">
      <c r="A10" s="620" t="s">
        <v>3783</v>
      </c>
      <c r="B10" s="222"/>
      <c r="C10" s="208"/>
      <c r="D10" s="223"/>
      <c r="E10" s="619" t="s">
        <v>3783</v>
      </c>
      <c r="F10" s="122"/>
      <c r="G10" s="122"/>
      <c r="H10" s="122"/>
      <c r="I10" s="122"/>
      <c r="J10" s="122"/>
      <c r="K10" s="122"/>
      <c r="L10" s="122"/>
      <c r="M10" s="122"/>
      <c r="N10" s="122"/>
      <c r="O10" s="122"/>
      <c r="P10" s="122"/>
      <c r="Q10" s="122"/>
      <c r="R10" s="122"/>
      <c r="S10" s="122"/>
      <c r="T10" s="122"/>
      <c r="U10" s="122"/>
      <c r="V10" s="122"/>
      <c r="W10" s="122"/>
      <c r="X10" s="122"/>
      <c r="Y10" s="122"/>
      <c r="Z10" s="122"/>
      <c r="AA10" s="122"/>
      <c r="AB10" s="122"/>
      <c r="AC10" s="122"/>
      <c r="AD10" s="122"/>
      <c r="AE10" s="122"/>
      <c r="AF10" s="122"/>
      <c r="AG10" s="122"/>
      <c r="AH10" s="122"/>
      <c r="AI10" s="122"/>
      <c r="AJ10" s="122"/>
      <c r="AK10" s="122"/>
    </row>
    <row r="11" spans="1:37" s="157" customFormat="1" ht="15.95" customHeight="1">
      <c r="A11" s="620" t="s">
        <v>3797</v>
      </c>
      <c r="B11" s="222"/>
      <c r="C11" s="208"/>
      <c r="D11" s="220"/>
      <c r="E11" s="158"/>
      <c r="F11" s="122"/>
      <c r="G11" s="122"/>
      <c r="H11" s="122"/>
      <c r="I11" s="122"/>
      <c r="J11" s="122"/>
      <c r="K11" s="122"/>
      <c r="L11" s="122"/>
      <c r="M11" s="122"/>
      <c r="N11" s="122"/>
      <c r="O11" s="122"/>
      <c r="P11" s="122"/>
      <c r="Q11" s="122"/>
      <c r="R11" s="122"/>
      <c r="S11" s="122"/>
      <c r="T11" s="122"/>
      <c r="U11" s="122"/>
      <c r="V11" s="122"/>
      <c r="W11" s="122"/>
      <c r="X11" s="122"/>
      <c r="Y11" s="122"/>
      <c r="Z11" s="122"/>
      <c r="AA11" s="122"/>
      <c r="AB11" s="122"/>
      <c r="AC11" s="122"/>
      <c r="AD11" s="122"/>
      <c r="AE11" s="122"/>
      <c r="AF11" s="122"/>
      <c r="AG11" s="122"/>
      <c r="AH11" s="122"/>
      <c r="AI11" s="122"/>
      <c r="AJ11" s="122"/>
      <c r="AK11" s="122"/>
    </row>
    <row r="12" spans="1:37" s="157" customFormat="1" ht="15.95" customHeight="1">
      <c r="A12" s="206"/>
      <c r="B12" s="749"/>
      <c r="C12" s="750"/>
      <c r="D12" s="751"/>
      <c r="E12" s="158"/>
      <c r="F12" s="122"/>
      <c r="G12" s="122"/>
      <c r="H12" s="122"/>
      <c r="I12" s="122"/>
      <c r="J12" s="122"/>
      <c r="K12" s="122"/>
      <c r="L12" s="122"/>
      <c r="M12" s="122"/>
      <c r="N12" s="122"/>
      <c r="O12" s="122"/>
      <c r="P12" s="122"/>
      <c r="Q12" s="122"/>
      <c r="R12" s="122"/>
      <c r="S12" s="122"/>
      <c r="T12" s="122"/>
      <c r="U12" s="122"/>
      <c r="V12" s="122"/>
      <c r="W12" s="122"/>
      <c r="X12" s="122"/>
      <c r="Y12" s="122"/>
      <c r="Z12" s="122"/>
      <c r="AA12" s="122"/>
      <c r="AB12" s="122"/>
      <c r="AC12" s="122"/>
      <c r="AD12" s="122"/>
      <c r="AE12" s="122"/>
      <c r="AF12" s="122"/>
      <c r="AG12" s="122"/>
      <c r="AH12" s="122"/>
      <c r="AI12" s="122"/>
      <c r="AJ12" s="122"/>
      <c r="AK12" s="122"/>
    </row>
    <row r="13" spans="1:37" s="157" customFormat="1" ht="15.95" customHeight="1">
      <c r="A13" s="621" t="s">
        <v>3798</v>
      </c>
      <c r="B13" s="224"/>
      <c r="C13" s="209"/>
      <c r="D13" s="225"/>
      <c r="E13" s="210" t="s">
        <v>408</v>
      </c>
      <c r="F13" s="122"/>
      <c r="G13" s="122"/>
      <c r="H13" s="122"/>
      <c r="I13" s="122"/>
      <c r="J13" s="122"/>
      <c r="K13" s="122"/>
      <c r="L13" s="122"/>
      <c r="M13" s="122"/>
      <c r="N13" s="122"/>
      <c r="O13" s="122"/>
      <c r="P13" s="122"/>
      <c r="Q13" s="122"/>
      <c r="R13" s="122"/>
      <c r="S13" s="122"/>
      <c r="T13" s="122"/>
      <c r="U13" s="122"/>
      <c r="V13" s="122"/>
      <c r="W13" s="122"/>
      <c r="X13" s="122"/>
      <c r="Y13" s="122"/>
      <c r="Z13" s="122"/>
      <c r="AA13" s="122"/>
      <c r="AB13" s="122"/>
      <c r="AC13" s="122"/>
      <c r="AD13" s="122"/>
      <c r="AE13" s="122"/>
      <c r="AF13" s="122"/>
      <c r="AG13" s="122"/>
      <c r="AH13" s="122"/>
      <c r="AI13" s="122"/>
      <c r="AJ13" s="122"/>
      <c r="AK13" s="122"/>
    </row>
    <row r="14" spans="1:37" s="157" customFormat="1" ht="15.95" customHeight="1">
      <c r="A14" s="621" t="s">
        <v>3799</v>
      </c>
      <c r="B14" s="224"/>
      <c r="C14" s="208"/>
      <c r="D14" s="225"/>
      <c r="E14" s="619" t="s">
        <v>3784</v>
      </c>
      <c r="F14" s="122"/>
      <c r="G14" s="122"/>
      <c r="H14" s="122"/>
      <c r="I14" s="122"/>
      <c r="J14" s="122"/>
      <c r="K14" s="122"/>
      <c r="L14" s="122"/>
      <c r="M14" s="122"/>
      <c r="N14" s="122"/>
      <c r="O14" s="122"/>
      <c r="P14" s="122"/>
      <c r="Q14" s="122"/>
      <c r="R14" s="122"/>
      <c r="S14" s="122"/>
      <c r="T14" s="122"/>
      <c r="U14" s="122"/>
      <c r="V14" s="122"/>
      <c r="W14" s="122"/>
      <c r="X14" s="122"/>
      <c r="Y14" s="122"/>
      <c r="Z14" s="122"/>
      <c r="AA14" s="122"/>
      <c r="AB14" s="122"/>
      <c r="AC14" s="122"/>
      <c r="AD14" s="122"/>
      <c r="AE14" s="122"/>
      <c r="AF14" s="122"/>
      <c r="AG14" s="122"/>
      <c r="AH14" s="122"/>
      <c r="AI14" s="122"/>
      <c r="AJ14" s="122"/>
      <c r="AK14" s="122"/>
    </row>
    <row r="15" spans="1:37" s="157" customFormat="1" ht="15.95" customHeight="1">
      <c r="A15" s="211" t="s">
        <v>410</v>
      </c>
      <c r="B15" s="224"/>
      <c r="C15" s="208"/>
      <c r="D15" s="225"/>
      <c r="E15" s="619" t="s">
        <v>3785</v>
      </c>
      <c r="F15" s="122"/>
      <c r="G15" s="122"/>
      <c r="H15" s="122"/>
      <c r="I15" s="122"/>
      <c r="J15" s="122"/>
      <c r="K15" s="122"/>
      <c r="L15" s="122"/>
      <c r="M15" s="122"/>
      <c r="N15" s="122"/>
      <c r="O15" s="122"/>
      <c r="P15" s="122"/>
      <c r="Q15" s="122"/>
      <c r="R15" s="122"/>
      <c r="S15" s="122"/>
      <c r="T15" s="122"/>
      <c r="U15" s="122"/>
      <c r="V15" s="122"/>
      <c r="W15" s="122"/>
      <c r="X15" s="122"/>
      <c r="Y15" s="122"/>
      <c r="Z15" s="122"/>
      <c r="AA15" s="122"/>
      <c r="AB15" s="122"/>
      <c r="AC15" s="122"/>
      <c r="AD15" s="122"/>
      <c r="AE15" s="122"/>
      <c r="AF15" s="122"/>
      <c r="AG15" s="122"/>
      <c r="AH15" s="122"/>
      <c r="AI15" s="122"/>
      <c r="AJ15" s="122"/>
      <c r="AK15" s="122"/>
    </row>
    <row r="16" spans="1:37" s="157" customFormat="1" ht="15.95" customHeight="1">
      <c r="A16" s="620" t="s">
        <v>3800</v>
      </c>
      <c r="B16" s="224"/>
      <c r="C16" s="208"/>
      <c r="D16" s="225"/>
      <c r="E16" s="619" t="s">
        <v>3786</v>
      </c>
      <c r="F16" s="122"/>
      <c r="G16" s="122"/>
      <c r="H16" s="122"/>
      <c r="I16" s="122"/>
      <c r="J16" s="122"/>
      <c r="K16" s="122"/>
      <c r="L16" s="122"/>
      <c r="M16" s="122"/>
      <c r="N16" s="122"/>
      <c r="O16" s="122"/>
      <c r="P16" s="122"/>
      <c r="Q16" s="122"/>
      <c r="R16" s="122"/>
      <c r="S16" s="122"/>
      <c r="T16" s="122"/>
      <c r="U16" s="122"/>
      <c r="V16" s="122"/>
      <c r="W16" s="122"/>
      <c r="X16" s="122"/>
      <c r="Y16" s="122"/>
      <c r="Z16" s="122"/>
      <c r="AA16" s="122"/>
      <c r="AB16" s="122"/>
      <c r="AC16" s="122"/>
      <c r="AD16" s="122"/>
      <c r="AE16" s="122"/>
      <c r="AF16" s="122"/>
      <c r="AG16" s="122"/>
      <c r="AH16" s="122"/>
      <c r="AI16" s="122"/>
      <c r="AJ16" s="122"/>
      <c r="AK16" s="122"/>
    </row>
    <row r="17" spans="1:37" s="157" customFormat="1" ht="15.95" customHeight="1">
      <c r="A17" s="620" t="s">
        <v>3790</v>
      </c>
      <c r="B17" s="387"/>
      <c r="C17" s="208"/>
      <c r="D17" s="225"/>
      <c r="E17" s="619" t="s">
        <v>3787</v>
      </c>
      <c r="F17" s="122"/>
      <c r="G17" s="122"/>
      <c r="H17" s="122"/>
      <c r="I17" s="122"/>
      <c r="J17" s="122"/>
      <c r="K17" s="122"/>
      <c r="L17" s="122"/>
      <c r="M17" s="122"/>
      <c r="N17" s="122"/>
      <c r="O17" s="122"/>
      <c r="P17" s="122"/>
      <c r="Q17" s="122"/>
      <c r="R17" s="122"/>
      <c r="S17" s="122"/>
      <c r="T17" s="122"/>
      <c r="U17" s="122"/>
      <c r="V17" s="122"/>
      <c r="W17" s="122"/>
      <c r="X17" s="122"/>
      <c r="Y17" s="122"/>
      <c r="Z17" s="122"/>
      <c r="AA17" s="122"/>
      <c r="AB17" s="122"/>
      <c r="AC17" s="122"/>
      <c r="AD17" s="122"/>
      <c r="AE17" s="122"/>
      <c r="AF17" s="122"/>
      <c r="AG17" s="122"/>
      <c r="AH17" s="122"/>
      <c r="AI17" s="122"/>
      <c r="AJ17" s="122"/>
      <c r="AK17" s="122"/>
    </row>
    <row r="18" spans="1:37" s="157" customFormat="1" ht="15.95" customHeight="1">
      <c r="A18" s="620" t="s">
        <v>3791</v>
      </c>
      <c r="B18" s="224"/>
      <c r="C18" s="208"/>
      <c r="D18" s="225"/>
      <c r="E18" s="158"/>
      <c r="F18" s="122"/>
      <c r="G18" s="122"/>
      <c r="H18" s="122"/>
      <c r="I18" s="122"/>
      <c r="J18" s="122"/>
      <c r="K18" s="122"/>
      <c r="L18" s="122"/>
      <c r="M18" s="122"/>
      <c r="N18" s="122"/>
      <c r="O18" s="122"/>
      <c r="P18" s="122"/>
      <c r="Q18" s="122"/>
      <c r="R18" s="122"/>
      <c r="S18" s="122"/>
      <c r="T18" s="122"/>
      <c r="U18" s="122"/>
      <c r="V18" s="122"/>
      <c r="W18" s="122"/>
      <c r="X18" s="122"/>
      <c r="Y18" s="122"/>
      <c r="Z18" s="122"/>
      <c r="AA18" s="122"/>
      <c r="AB18" s="122"/>
      <c r="AC18" s="122"/>
      <c r="AD18" s="122"/>
      <c r="AE18" s="122"/>
      <c r="AF18" s="122"/>
      <c r="AG18" s="122"/>
      <c r="AH18" s="122"/>
      <c r="AI18" s="122"/>
      <c r="AJ18" s="122"/>
      <c r="AK18" s="122"/>
    </row>
    <row r="19" spans="1:37" s="157" customFormat="1" ht="15.95" customHeight="1">
      <c r="A19" s="620" t="s">
        <v>3792</v>
      </c>
      <c r="B19" s="226"/>
      <c r="C19" s="209"/>
      <c r="D19" s="225"/>
      <c r="E19" s="210" t="s">
        <v>407</v>
      </c>
      <c r="F19" s="122"/>
      <c r="G19" s="122"/>
      <c r="H19" s="122"/>
      <c r="I19" s="122"/>
      <c r="J19" s="122"/>
      <c r="K19" s="122"/>
      <c r="L19" s="122"/>
      <c r="M19" s="122"/>
      <c r="N19" s="122"/>
      <c r="O19" s="122"/>
      <c r="P19" s="122"/>
      <c r="Q19" s="122"/>
      <c r="R19" s="122"/>
      <c r="S19" s="122"/>
      <c r="T19" s="122"/>
      <c r="U19" s="122"/>
      <c r="V19" s="122"/>
      <c r="W19" s="122"/>
      <c r="X19" s="122"/>
      <c r="Y19" s="122"/>
      <c r="Z19" s="122"/>
      <c r="AA19" s="122"/>
      <c r="AB19" s="122"/>
      <c r="AC19" s="122"/>
      <c r="AD19" s="122"/>
      <c r="AE19" s="122"/>
      <c r="AF19" s="122"/>
      <c r="AG19" s="122"/>
      <c r="AH19" s="122"/>
      <c r="AI19" s="122"/>
      <c r="AJ19" s="122"/>
      <c r="AK19" s="122"/>
    </row>
    <row r="20" spans="1:37" s="157" customFormat="1" ht="15.95" customHeight="1">
      <c r="A20" s="621" t="s">
        <v>3801</v>
      </c>
      <c r="B20" s="224"/>
      <c r="C20" s="208"/>
      <c r="D20" s="225"/>
      <c r="E20" s="619" t="s">
        <v>3784</v>
      </c>
      <c r="F20" s="122"/>
      <c r="G20" s="122"/>
      <c r="H20" s="122"/>
      <c r="I20" s="122"/>
      <c r="J20" s="122"/>
      <c r="K20" s="122"/>
      <c r="L20" s="122"/>
      <c r="M20" s="122"/>
      <c r="N20" s="122"/>
      <c r="O20" s="122"/>
      <c r="P20" s="122"/>
      <c r="Q20" s="122"/>
      <c r="R20" s="122"/>
      <c r="S20" s="122"/>
      <c r="T20" s="122"/>
      <c r="U20" s="122"/>
      <c r="V20" s="122"/>
      <c r="W20" s="122"/>
      <c r="X20" s="122"/>
      <c r="Y20" s="122"/>
      <c r="Z20" s="122"/>
      <c r="AA20" s="122"/>
      <c r="AB20" s="122"/>
      <c r="AC20" s="122"/>
      <c r="AD20" s="122"/>
      <c r="AE20" s="122"/>
      <c r="AF20" s="122"/>
      <c r="AG20" s="122"/>
      <c r="AH20" s="122"/>
      <c r="AI20" s="122"/>
      <c r="AJ20" s="122"/>
      <c r="AK20" s="122"/>
    </row>
    <row r="21" spans="1:37" s="157" customFormat="1" ht="15.95" customHeight="1">
      <c r="A21" s="620" t="s">
        <v>3802</v>
      </c>
      <c r="B21" s="224"/>
      <c r="C21" s="208"/>
      <c r="D21" s="225"/>
      <c r="E21" s="619" t="s">
        <v>3785</v>
      </c>
      <c r="F21" s="122"/>
      <c r="G21" s="122"/>
      <c r="H21" s="122"/>
      <c r="I21" s="122"/>
      <c r="J21" s="122"/>
      <c r="K21" s="122"/>
      <c r="L21" s="122"/>
      <c r="M21" s="122"/>
      <c r="N21" s="122"/>
      <c r="O21" s="122"/>
      <c r="P21" s="122"/>
      <c r="Q21" s="122"/>
      <c r="R21" s="122"/>
      <c r="S21" s="122"/>
      <c r="T21" s="122"/>
      <c r="U21" s="122"/>
      <c r="V21" s="122"/>
      <c r="W21" s="122"/>
      <c r="X21" s="122"/>
      <c r="Y21" s="122"/>
      <c r="Z21" s="122"/>
      <c r="AA21" s="122"/>
      <c r="AB21" s="122"/>
      <c r="AC21" s="122"/>
      <c r="AD21" s="122"/>
      <c r="AE21" s="122"/>
      <c r="AF21" s="122"/>
      <c r="AG21" s="122"/>
      <c r="AH21" s="122"/>
      <c r="AI21" s="122"/>
      <c r="AJ21" s="122"/>
      <c r="AK21" s="122"/>
    </row>
    <row r="22" spans="1:37" s="157" customFormat="1" ht="15.95" customHeight="1">
      <c r="A22" s="206"/>
      <c r="B22" s="224"/>
      <c r="C22" s="208"/>
      <c r="D22" s="225"/>
      <c r="E22" s="619" t="s">
        <v>3786</v>
      </c>
      <c r="F22" s="122"/>
      <c r="G22" s="122"/>
      <c r="H22" s="122"/>
      <c r="I22" s="122"/>
      <c r="J22" s="122"/>
      <c r="K22" s="122"/>
      <c r="L22" s="122"/>
      <c r="M22" s="122"/>
      <c r="N22" s="122"/>
      <c r="O22" s="122"/>
      <c r="P22" s="122"/>
      <c r="Q22" s="122"/>
      <c r="R22" s="122"/>
      <c r="S22" s="122"/>
      <c r="T22" s="122"/>
      <c r="U22" s="122"/>
      <c r="V22" s="122"/>
      <c r="W22" s="122"/>
      <c r="X22" s="122"/>
      <c r="Y22" s="122"/>
      <c r="Z22" s="122"/>
      <c r="AA22" s="122"/>
      <c r="AB22" s="122"/>
      <c r="AC22" s="122"/>
      <c r="AD22" s="122"/>
      <c r="AE22" s="122"/>
      <c r="AF22" s="122"/>
      <c r="AG22" s="122"/>
      <c r="AH22" s="122"/>
      <c r="AI22" s="122"/>
      <c r="AJ22" s="122"/>
      <c r="AK22" s="122"/>
    </row>
    <row r="23" spans="1:37" s="157" customFormat="1" ht="15.95" customHeight="1">
      <c r="A23" s="211" t="s">
        <v>3803</v>
      </c>
      <c r="B23" s="224"/>
      <c r="C23" s="208"/>
      <c r="D23" s="227"/>
      <c r="E23" s="619" t="s">
        <v>3788</v>
      </c>
      <c r="F23" s="122"/>
      <c r="G23" s="122"/>
      <c r="H23" s="122"/>
      <c r="I23" s="122"/>
      <c r="J23" s="122"/>
      <c r="K23" s="122"/>
      <c r="L23" s="122"/>
      <c r="M23" s="122"/>
      <c r="N23" s="122"/>
      <c r="O23" s="122"/>
      <c r="P23" s="122"/>
      <c r="Q23" s="122"/>
      <c r="R23" s="122"/>
      <c r="S23" s="122"/>
      <c r="T23" s="122"/>
      <c r="U23" s="122"/>
      <c r="V23" s="122"/>
      <c r="W23" s="122"/>
      <c r="X23" s="122"/>
      <c r="Y23" s="122"/>
      <c r="Z23" s="122"/>
      <c r="AA23" s="122"/>
      <c r="AB23" s="122"/>
      <c r="AC23" s="122"/>
      <c r="AD23" s="122"/>
      <c r="AE23" s="122"/>
      <c r="AF23" s="122"/>
      <c r="AG23" s="122"/>
      <c r="AH23" s="122"/>
      <c r="AI23" s="122"/>
      <c r="AJ23" s="122"/>
      <c r="AK23" s="122"/>
    </row>
    <row r="24" spans="1:37" s="157" customFormat="1" ht="15.95" customHeight="1">
      <c r="A24" s="206"/>
      <c r="B24" s="224"/>
      <c r="C24" s="208"/>
      <c r="D24" s="225"/>
      <c r="E24" s="619" t="s">
        <v>3789</v>
      </c>
      <c r="F24" s="122"/>
      <c r="G24" s="122"/>
      <c r="H24" s="122"/>
      <c r="I24" s="122"/>
      <c r="J24" s="122"/>
      <c r="K24" s="122"/>
      <c r="L24" s="122"/>
      <c r="M24" s="122"/>
      <c r="N24" s="122"/>
      <c r="O24" s="122"/>
      <c r="P24" s="122"/>
      <c r="Q24" s="122"/>
      <c r="R24" s="122"/>
      <c r="S24" s="122"/>
      <c r="T24" s="122"/>
      <c r="U24" s="122"/>
      <c r="V24" s="122"/>
      <c r="W24" s="122"/>
      <c r="X24" s="122"/>
      <c r="Y24" s="122"/>
      <c r="Z24" s="122"/>
      <c r="AA24" s="122"/>
      <c r="AB24" s="122"/>
      <c r="AC24" s="122"/>
      <c r="AD24" s="122"/>
      <c r="AE24" s="122"/>
      <c r="AF24" s="122"/>
      <c r="AG24" s="122"/>
      <c r="AH24" s="122"/>
      <c r="AI24" s="122"/>
      <c r="AJ24" s="122"/>
      <c r="AK24" s="122"/>
    </row>
    <row r="25" spans="1:37" s="157" customFormat="1" ht="15.95" customHeight="1">
      <c r="A25" s="620" t="s">
        <v>3788</v>
      </c>
      <c r="B25" s="228"/>
      <c r="C25" s="208"/>
      <c r="D25" s="229"/>
      <c r="E25" s="619" t="s">
        <v>3790</v>
      </c>
      <c r="F25" s="122"/>
      <c r="G25" s="122"/>
      <c r="H25" s="122"/>
      <c r="I25" s="122"/>
      <c r="J25" s="122"/>
      <c r="K25" s="122"/>
      <c r="L25" s="122"/>
      <c r="M25" s="122"/>
      <c r="N25" s="122"/>
      <c r="O25" s="122"/>
      <c r="P25" s="122"/>
      <c r="Q25" s="122"/>
      <c r="R25" s="122"/>
      <c r="S25" s="122"/>
      <c r="T25" s="122"/>
      <c r="U25" s="122"/>
      <c r="V25" s="122"/>
      <c r="W25" s="122"/>
      <c r="X25" s="122"/>
      <c r="Y25" s="122"/>
      <c r="Z25" s="122"/>
      <c r="AA25" s="122"/>
      <c r="AB25" s="122"/>
      <c r="AC25" s="122"/>
      <c r="AD25" s="122"/>
      <c r="AE25" s="122"/>
      <c r="AF25" s="122"/>
      <c r="AG25" s="122"/>
      <c r="AH25" s="122"/>
      <c r="AI25" s="122"/>
      <c r="AJ25" s="122"/>
      <c r="AK25" s="122"/>
    </row>
    <row r="26" spans="1:37" s="157" customFormat="1" ht="15.95" customHeight="1">
      <c r="A26" s="620" t="s">
        <v>3804</v>
      </c>
      <c r="B26" s="228"/>
      <c r="C26" s="208"/>
      <c r="D26" s="225"/>
      <c r="E26" s="619" t="s">
        <v>3791</v>
      </c>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22"/>
    </row>
    <row r="27" spans="1:37" s="157" customFormat="1" ht="15.95" customHeight="1">
      <c r="A27" s="620" t="s">
        <v>3794</v>
      </c>
      <c r="B27" s="681"/>
      <c r="C27" s="208"/>
      <c r="D27" s="230"/>
      <c r="E27" s="619" t="s">
        <v>3792</v>
      </c>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22"/>
    </row>
    <row r="28" spans="1:37" s="157" customFormat="1" ht="15.95" customHeight="1">
      <c r="A28" s="620" t="s">
        <v>3805</v>
      </c>
      <c r="B28" s="224"/>
      <c r="C28" s="208"/>
      <c r="D28" s="225"/>
      <c r="E28" s="158"/>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22"/>
    </row>
    <row r="29" spans="1:37" s="157" customFormat="1" ht="15.95" customHeight="1">
      <c r="A29" s="621" t="s">
        <v>3806</v>
      </c>
      <c r="B29" s="755"/>
      <c r="C29" s="209"/>
      <c r="D29" s="225"/>
      <c r="E29" s="210" t="s">
        <v>409</v>
      </c>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22"/>
    </row>
    <row r="30" spans="1:37" s="157" customFormat="1" ht="15.95" customHeight="1">
      <c r="A30" s="459"/>
      <c r="B30" s="755"/>
      <c r="C30" s="208"/>
      <c r="D30" s="225"/>
      <c r="E30" s="619" t="s">
        <v>3784</v>
      </c>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22"/>
    </row>
    <row r="31" spans="1:37" s="157" customFormat="1" ht="15.95" customHeight="1">
      <c r="A31" s="211" t="s">
        <v>406</v>
      </c>
      <c r="B31" s="224"/>
      <c r="C31" s="208"/>
      <c r="D31" s="225"/>
      <c r="E31" s="619" t="s">
        <v>3785</v>
      </c>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22"/>
    </row>
    <row r="32" spans="1:37" s="157" customFormat="1" ht="15.95" customHeight="1">
      <c r="A32" s="620" t="s">
        <v>3807</v>
      </c>
      <c r="B32" s="226"/>
      <c r="C32" s="208"/>
      <c r="D32" s="225"/>
      <c r="E32" s="619" t="s">
        <v>3786</v>
      </c>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22"/>
    </row>
    <row r="33" spans="1:37" s="157" customFormat="1" ht="15.95" customHeight="1">
      <c r="A33" s="620" t="s">
        <v>3808</v>
      </c>
      <c r="B33" s="226"/>
      <c r="C33" s="208"/>
      <c r="D33" s="227"/>
      <c r="E33" s="619" t="s">
        <v>3788</v>
      </c>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22"/>
    </row>
    <row r="34" spans="1:37" s="157" customFormat="1" ht="15.95" customHeight="1">
      <c r="A34" s="620" t="s">
        <v>3809</v>
      </c>
      <c r="B34" s="224"/>
      <c r="C34" s="208"/>
      <c r="D34" s="227"/>
      <c r="E34" s="619" t="s">
        <v>3793</v>
      </c>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c r="AI34" s="122"/>
      <c r="AJ34" s="122"/>
      <c r="AK34" s="122"/>
    </row>
    <row r="35" spans="1:37" s="157" customFormat="1" ht="15.95" customHeight="1">
      <c r="A35" s="206"/>
      <c r="B35" s="224"/>
      <c r="C35" s="208"/>
      <c r="D35" s="388"/>
      <c r="E35" s="619" t="s">
        <v>3794</v>
      </c>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c r="AI35" s="122"/>
      <c r="AJ35" s="122"/>
      <c r="AK35" s="122"/>
    </row>
    <row r="36" spans="1:37" s="157" customFormat="1" ht="15.95" customHeight="1">
      <c r="A36" s="206"/>
      <c r="B36" s="231"/>
      <c r="C36" s="212"/>
      <c r="D36" s="232"/>
      <c r="E36" s="158"/>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row>
    <row r="37" spans="1:37" s="157" customFormat="1" ht="12.75">
      <c r="A37" s="754" t="s">
        <v>3735</v>
      </c>
      <c r="B37" s="753"/>
      <c r="C37" s="753"/>
      <c r="D37" s="753"/>
      <c r="E37" s="753"/>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row>
    <row r="38" spans="1:37" s="157" customFormat="1" ht="12.75">
      <c r="A38" s="213"/>
      <c r="B38" s="214" t="s">
        <v>412</v>
      </c>
      <c r="C38" s="158"/>
      <c r="D38" s="747" t="s">
        <v>414</v>
      </c>
      <c r="E38" s="748"/>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c r="AI38" s="122"/>
      <c r="AJ38" s="122"/>
      <c r="AK38" s="122"/>
    </row>
    <row r="39" spans="1:37" s="157" customFormat="1" ht="12.75">
      <c r="A39" s="215"/>
      <c r="B39" s="216" t="s">
        <v>411</v>
      </c>
      <c r="C39" s="158"/>
      <c r="D39" s="217" t="s">
        <v>1</v>
      </c>
      <c r="E39" s="158"/>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c r="AI39" s="122"/>
      <c r="AJ39" s="122"/>
      <c r="AK39" s="122"/>
    </row>
    <row r="40" spans="1:37" s="157" customFormat="1" ht="12.75">
      <c r="A40" s="233"/>
      <c r="B40" s="234" t="s">
        <v>413</v>
      </c>
      <c r="C40" s="158"/>
      <c r="D40" s="158"/>
      <c r="E40" s="158"/>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c r="AI40" s="122"/>
      <c r="AJ40" s="122"/>
      <c r="AK40" s="122"/>
    </row>
    <row r="41" spans="1:37" s="157" customFormat="1" ht="12.75">
      <c r="A41" s="746" t="s">
        <v>305</v>
      </c>
      <c r="B41" s="746"/>
      <c r="C41" s="746"/>
      <c r="D41" s="746"/>
      <c r="E41" s="20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c r="AI41" s="122"/>
      <c r="AJ41" s="122"/>
      <c r="AK41" s="122"/>
    </row>
    <row r="43" spans="1:1" s="29" customFormat="1" ht="12.75">
      <c r="A43" s="203"/>
    </row>
    <row r="44" spans="1:5" s="29" customFormat="1" ht="12.75">
      <c r="A44" s="744"/>
      <c r="B44" s="745"/>
      <c r="C44" s="745"/>
      <c r="D44" s="745"/>
      <c r="E44" s="745"/>
    </row>
    <row r="45" s="29" customFormat="1" ht="12.75"/>
    <row r="46" s="29" customFormat="1" ht="12.75"/>
    <row r="47" s="29" customFormat="1" ht="12.75"/>
    <row r="48" s="29" customFormat="1" ht="12.75"/>
    <row r="49" s="29" customFormat="1" ht="12.75"/>
    <row r="50" s="29" customFormat="1" ht="12.75"/>
    <row r="51" s="29" customFormat="1" ht="12.75"/>
    <row r="52" s="29" customFormat="1" ht="12.75"/>
    <row r="53" spans="1:1" s="29" customFormat="1" ht="12.75">
      <c r="A53" s="203"/>
    </row>
    <row r="54" s="29" customFormat="1" ht="12.75"/>
    <row r="55" s="29" customFormat="1" ht="12.75"/>
    <row r="56" s="29" customFormat="1" ht="12.75"/>
    <row r="57" s="29" customFormat="1" ht="12.75"/>
    <row r="58" s="29" customFormat="1" ht="12.75"/>
    <row r="59" s="29" customFormat="1" ht="12.75"/>
    <row r="60" s="29" customFormat="1" ht="12.75"/>
    <row r="61" s="29" customFormat="1" ht="12.75"/>
    <row r="62" s="29" customFormat="1" ht="12.75"/>
    <row r="63" s="29" customFormat="1" ht="12.75"/>
    <row r="64" s="29" customFormat="1" ht="12.75"/>
    <row r="65" s="29" customFormat="1" ht="12.75"/>
    <row r="66" s="29" customFormat="1" ht="12.75"/>
    <row r="67" s="29" customFormat="1" ht="12.75"/>
    <row r="68" s="29" customFormat="1" ht="12.75"/>
    <row r="69" s="29" customFormat="1" ht="12.75"/>
    <row r="70" s="29" customFormat="1" ht="12.75"/>
    <row r="71" s="29" customFormat="1" ht="12.75"/>
    <row r="72" s="29" customFormat="1" ht="12.75"/>
    <row r="73" s="29" customFormat="1" ht="12.75"/>
    <row r="74" s="29" customFormat="1" ht="12.75"/>
    <row r="75" s="29" customFormat="1" ht="12.75"/>
    <row r="76" s="29" customFormat="1" ht="12.75"/>
    <row r="77" s="29" customFormat="1" ht="12.75"/>
    <row r="78" s="29" customFormat="1" ht="12.75"/>
    <row r="79" s="29" customFormat="1" ht="12.75"/>
    <row r="80" s="29" customFormat="1" ht="12.75"/>
    <row r="81" s="29" customFormat="1" ht="12.75"/>
    <row r="82" s="29" customFormat="1" ht="12.75"/>
    <row r="83" s="29" customFormat="1" ht="12.75"/>
    <row r="84" s="29" customFormat="1" ht="12.75"/>
    <row r="85" s="29" customFormat="1" ht="12.75"/>
    <row r="86" s="29" customFormat="1" ht="12.75"/>
    <row r="87" s="29" customFormat="1" ht="12.75"/>
    <row r="88" s="29" customFormat="1" ht="12.75"/>
    <row r="89" s="29" customFormat="1" ht="12.75"/>
    <row r="90" s="29" customFormat="1" ht="12.75"/>
    <row r="91" s="29" customFormat="1" ht="12.75"/>
    <row r="92" s="29" customFormat="1" ht="12.75"/>
    <row r="93" s="29" customFormat="1" ht="12.75"/>
    <row r="94" s="29" customFormat="1" ht="12.75"/>
    <row r="95" s="29" customFormat="1" ht="12.75"/>
    <row r="96" s="29" customFormat="1" ht="12.75"/>
    <row r="97" s="29" customFormat="1" ht="12.75"/>
    <row r="98" s="29" customFormat="1" ht="12.75"/>
    <row r="99" s="29" customFormat="1" ht="12.75"/>
    <row r="100" s="29" customFormat="1" ht="12.75"/>
    <row r="101" s="29" customFormat="1" ht="12.75"/>
    <row r="102" s="29" customFormat="1" ht="12.75"/>
    <row r="103" s="29" customFormat="1" ht="12.75"/>
    <row r="104" s="29" customFormat="1" ht="12.75"/>
    <row r="105" s="29" customFormat="1" ht="12.75"/>
    <row r="106" s="29" customFormat="1" ht="12.75"/>
    <row r="107" s="29" customFormat="1" ht="12.75"/>
    <row r="108" s="29" customFormat="1" ht="12.75"/>
    <row r="109" s="29" customFormat="1" ht="12.75"/>
    <row r="110" s="29" customFormat="1" ht="12.75"/>
    <row r="111" s="29" customFormat="1" ht="12.75"/>
    <row r="112" s="29" customFormat="1" ht="12.75"/>
    <row r="113" s="29" customFormat="1" ht="12.75"/>
    <row r="114" s="29" customFormat="1" ht="12.75"/>
    <row r="115" s="29" customFormat="1" ht="12.75"/>
    <row r="116" s="29" customFormat="1" ht="12.75"/>
    <row r="117" s="29" customFormat="1" ht="12.75"/>
    <row r="118" s="29" customFormat="1" ht="12.75"/>
    <row r="119" s="29" customFormat="1" ht="12.75"/>
    <row r="120" s="29" customFormat="1" ht="12.75"/>
    <row r="121" s="29" customFormat="1" ht="12.75"/>
    <row r="122" s="29" customFormat="1" ht="12.75"/>
    <row r="123" s="29" customFormat="1" ht="12.75"/>
    <row r="124" s="29" customFormat="1" ht="12.75"/>
    <row r="125" s="29" customFormat="1" ht="12.75"/>
    <row r="126" s="29" customFormat="1" ht="12.75"/>
    <row r="127" s="29" customFormat="1" ht="12.75"/>
    <row r="128" s="29" customFormat="1" ht="12.75"/>
    <row r="129" s="29" customFormat="1" ht="12.75"/>
    <row r="130" s="29" customFormat="1" ht="12.75"/>
    <row r="131" s="29" customFormat="1" ht="12.75"/>
    <row r="132" s="29" customFormat="1" ht="12.75"/>
    <row r="133" s="29" customFormat="1" ht="12.75"/>
    <row r="134" s="29" customFormat="1" ht="12.75"/>
    <row r="135" s="29" customFormat="1" ht="12.75"/>
    <row r="136" s="29" customFormat="1" ht="12.75"/>
    <row r="137" s="29" customFormat="1" ht="12.75"/>
    <row r="138" s="29" customFormat="1" ht="12.75"/>
    <row r="139" s="29" customFormat="1" ht="12.75"/>
    <row r="140" s="29" customFormat="1" ht="12.75"/>
    <row r="141" s="29" customFormat="1" ht="12.75"/>
    <row r="142" s="29" customFormat="1" ht="12.75"/>
    <row r="143" s="29" customFormat="1" ht="12.75"/>
    <row r="144" s="29" customFormat="1" ht="12.75"/>
    <row r="145" s="29" customFormat="1" ht="12.75"/>
    <row r="146" s="29" customFormat="1" ht="12.75"/>
    <row r="147" s="29" customFormat="1" ht="12.75"/>
    <row r="148" s="29" customFormat="1" ht="12.75"/>
    <row r="149" s="29" customFormat="1" ht="12.75"/>
    <row r="150" s="29" customFormat="1" ht="12.75"/>
    <row r="151" s="29" customFormat="1" ht="12.75"/>
    <row r="152" s="29" customFormat="1" ht="12.75"/>
    <row r="153" s="29" customFormat="1" ht="12.75"/>
    <row r="154" s="29" customFormat="1" ht="12.75"/>
    <row r="155" s="29" customFormat="1" ht="12.75"/>
    <row r="156" s="29" customFormat="1" ht="12.75"/>
    <row r="157" s="29" customFormat="1" ht="12.75"/>
    <row r="158" s="29" customFormat="1" ht="12.75"/>
    <row r="159" s="29" customFormat="1" ht="12.75"/>
    <row r="160" s="29" customFormat="1" ht="12.75"/>
    <row r="161" s="29" customFormat="1" ht="12.75"/>
    <row r="162" s="29" customFormat="1" ht="12.75"/>
    <row r="163" s="29" customFormat="1" ht="12.75"/>
    <row r="164" s="29" customFormat="1" ht="12.75"/>
    <row r="165" s="29" customFormat="1" ht="12.75"/>
    <row r="166" s="29" customFormat="1" ht="12.75"/>
    <row r="167" s="29" customFormat="1" ht="12.75"/>
    <row r="168" s="29" customFormat="1" ht="12.75"/>
    <row r="169" s="29" customFormat="1" ht="12.75"/>
    <row r="170" s="29" customFormat="1" ht="12.75"/>
    <row r="171" s="29" customFormat="1" ht="12.75"/>
    <row r="172" s="29" customFormat="1" ht="12.75"/>
    <row r="173" s="29" customFormat="1" ht="12.75"/>
    <row r="174" s="29" customFormat="1" ht="12.75"/>
    <row r="175" s="29" customFormat="1" ht="12.75"/>
    <row r="176" s="29" customFormat="1" ht="12.75"/>
    <row r="177" s="29" customFormat="1" ht="12.75"/>
    <row r="178" s="29" customFormat="1" ht="12.75"/>
    <row r="179" s="29" customFormat="1" ht="12.75"/>
    <row r="180" s="29" customFormat="1" ht="12.75"/>
    <row r="181" s="29" customFormat="1" ht="12.75"/>
    <row r="182" s="29" customFormat="1" ht="12.75"/>
    <row r="183" s="29" customFormat="1" ht="12.75"/>
    <row r="184" s="29" customFormat="1" ht="12.75"/>
    <row r="185" s="29" customFormat="1" ht="12.75"/>
    <row r="186" s="29" customFormat="1" ht="12.75"/>
    <row r="187" s="29" customFormat="1" ht="12.75"/>
    <row r="188" s="29" customFormat="1" ht="12.75"/>
    <row r="189" s="29" customFormat="1" ht="12.75"/>
    <row r="190" s="29" customFormat="1" ht="12.75"/>
    <row r="191" s="29" customFormat="1" ht="12.75"/>
    <row r="192" s="29" customFormat="1" ht="12.75"/>
    <row r="193" s="29" customFormat="1" ht="12.75"/>
    <row r="194" s="29" customFormat="1" ht="12.75"/>
    <row r="195" s="29" customFormat="1" ht="12.75"/>
    <row r="196" s="29" customFormat="1" ht="12.75"/>
    <row r="197" s="29" customFormat="1" ht="12.75"/>
    <row r="198" s="29" customFormat="1" ht="12.75"/>
    <row r="199" s="29" customFormat="1" ht="12.75"/>
    <row r="200" s="29" customFormat="1" ht="12.75"/>
    <row r="201" s="29" customFormat="1" ht="12.75"/>
    <row r="202" s="29" customFormat="1" ht="12.75"/>
    <row r="203" s="29" customFormat="1" ht="12.75"/>
    <row r="204" s="29" customFormat="1" ht="12.75"/>
    <row r="205" s="29" customFormat="1" ht="12.75"/>
    <row r="206" s="29" customFormat="1" ht="12.75"/>
    <row r="207" s="29" customFormat="1" ht="12.75"/>
    <row r="208" s="29" customFormat="1" ht="12.75"/>
    <row r="209" s="29" customFormat="1" ht="12.75"/>
    <row r="210" s="29" customFormat="1" ht="12.75"/>
    <row r="211" s="29" customFormat="1" ht="12.75"/>
    <row r="212" s="29" customFormat="1" ht="12.75"/>
    <row r="213" s="29" customFormat="1" ht="12.75"/>
    <row r="214" s="29" customFormat="1" ht="12.75"/>
    <row r="215" s="29" customFormat="1" ht="12.75"/>
    <row r="216" s="29" customFormat="1" ht="12.75"/>
    <row r="217" s="29" customFormat="1" ht="12.75"/>
  </sheetData>
  <sheetProtection algorithmName="SHA-512" hashValue="a7fLA7PynW9XnHn7soFh9TJXYJCNmxDI3ypdpIRazDnHPOuplfw3HLgu6u9Smzpf0OEO1ur8DpPJe79uiQ46NQ==" saltValue="TJ1pj+jVhnRPh/eyJGQ1FQ==" spinCount="100000" sheet="1" objects="1" scenarios="1"/>
  <mergeCells count="8">
    <mergeCell ref="A44:E44"/>
    <mergeCell ref="A41:D41"/>
    <mergeCell ref="D38:E38"/>
    <mergeCell ref="B12:D12"/>
    <mergeCell ref="A1:E1"/>
    <mergeCell ref="A37:E37"/>
    <mergeCell ref="B29:B30"/>
    <mergeCell ref="D4:D6"/>
  </mergeCells>
  <dataValidations count="4">
    <dataValidation type="list" allowBlank="1" showInputMessage="1" showErrorMessage="1" errorTitle="Neexistující úřad" error="Vyberte Finanční úřad ze seznamu" sqref="B13">
      <formula1>fin_ur</formula1>
    </dataValidation>
    <dataValidation errorStyle="warning" type="list" allowBlank="1" showInputMessage="1" sqref="B14">
      <formula1>validation_list2</formula1>
    </dataValidation>
    <dataValidation type="list" allowBlank="1" showInputMessage="1" sqref="B29:B30">
      <formula1>vl_cinnosti</formula1>
    </dataValidation>
    <dataValidation type="list" allowBlank="1" showInputMessage="1" showErrorMessage="1" errorTitle="Stát není v seznamu" sqref="B20">
      <formula1>staty</formula1>
    </dataValidation>
  </dataValidations>
  <printOptions horizontalCentered="1" verticalCentered="1"/>
  <pageMargins left="0.196850393700787" right="0.196850393700787" top="0.393700787401575" bottom="0.196850393700787" header="0.511811023622047" footer="0.511811023622047"/>
  <pageSetup orientation="landscape" paperSize="9" scale="76" r:id="rId3"/>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28"/>
  <sheetViews>
    <sheetView workbookViewId="0" topLeftCell="A1">
      <selection pane="topLeft" activeCell="A1" sqref="A1:B1"/>
    </sheetView>
  </sheetViews>
  <sheetFormatPr defaultColWidth="9.14428571428571" defaultRowHeight="12.75"/>
  <cols>
    <col min="1" max="1" width="4" style="395" customWidth="1"/>
    <col min="2" max="2" width="100.714285714286" style="395" customWidth="1"/>
    <col min="3" max="42" width="9.14285714285714" style="460"/>
    <col min="43" max="16384" width="9.14285714285714" style="395"/>
  </cols>
  <sheetData>
    <row r="1" spans="1:2" ht="18">
      <c r="A1" s="758" t="s">
        <v>3673</v>
      </c>
      <c r="B1" s="759"/>
    </row>
    <row r="2" spans="1:2" ht="12.75">
      <c r="A2" s="556"/>
      <c r="B2" s="556"/>
    </row>
    <row r="3" spans="1:2" ht="30">
      <c r="A3" s="557" t="s">
        <v>173</v>
      </c>
      <c r="B3" s="558" t="s">
        <v>3674</v>
      </c>
    </row>
    <row r="4" spans="1:2" ht="29.25">
      <c r="A4" s="557" t="s">
        <v>174</v>
      </c>
      <c r="B4" s="559" t="s">
        <v>3529</v>
      </c>
    </row>
    <row r="5" spans="1:2" ht="29.25">
      <c r="A5" s="557" t="s">
        <v>175</v>
      </c>
      <c r="B5" s="559" t="s">
        <v>3671</v>
      </c>
    </row>
    <row r="6" spans="1:2" ht="15">
      <c r="A6" s="557"/>
      <c r="B6" s="560" t="s">
        <v>3672</v>
      </c>
    </row>
    <row r="7" spans="1:2" s="460" customFormat="1" ht="15">
      <c r="A7" s="557"/>
      <c r="B7" s="560" t="s">
        <v>3675</v>
      </c>
    </row>
    <row r="8" spans="1:2" s="460" customFormat="1" ht="15">
      <c r="A8" s="557"/>
      <c r="B8" s="559" t="s">
        <v>3676</v>
      </c>
    </row>
    <row r="9" spans="1:2" s="460" customFormat="1" ht="29.25">
      <c r="A9" s="557"/>
      <c r="B9" s="559" t="s">
        <v>3677</v>
      </c>
    </row>
    <row r="10" spans="1:2" s="460" customFormat="1" ht="86.25">
      <c r="A10" s="557"/>
      <c r="B10" s="559" t="s">
        <v>3678</v>
      </c>
    </row>
    <row r="11" spans="1:2" s="460" customFormat="1" ht="74.25" customHeight="1">
      <c r="A11" s="557" t="s">
        <v>3530</v>
      </c>
      <c r="B11" s="559" t="s">
        <v>3890</v>
      </c>
    </row>
    <row r="12" spans="1:2" s="460" customFormat="1" ht="18" customHeight="1">
      <c r="A12" s="557"/>
      <c r="B12" s="561" t="s">
        <v>3531</v>
      </c>
    </row>
    <row r="13" spans="1:2" s="460" customFormat="1" ht="42.75">
      <c r="A13" s="557"/>
      <c r="B13" s="559" t="s">
        <v>3679</v>
      </c>
    </row>
    <row r="14" spans="1:2" s="460" customFormat="1" ht="29.25">
      <c r="A14" s="557" t="s">
        <v>133</v>
      </c>
      <c r="B14" s="562" t="s">
        <v>3680</v>
      </c>
    </row>
    <row r="15" spans="1:2" s="460" customFormat="1" ht="59.25">
      <c r="A15" s="557" t="s">
        <v>387</v>
      </c>
      <c r="B15" s="559" t="s">
        <v>3681</v>
      </c>
    </row>
    <row r="16" spans="1:2" s="460" customFormat="1" ht="15">
      <c r="A16" s="557" t="s">
        <v>386</v>
      </c>
      <c r="B16" s="559" t="s">
        <v>3719</v>
      </c>
    </row>
    <row r="17" spans="1:2" s="460" customFormat="1" ht="15">
      <c r="A17" s="557"/>
      <c r="B17" s="563" t="s">
        <v>3532</v>
      </c>
    </row>
    <row r="18" spans="1:2" s="460" customFormat="1" ht="42.75">
      <c r="A18" s="557"/>
      <c r="B18" s="564" t="s">
        <v>3533</v>
      </c>
    </row>
    <row r="19" spans="1:2" s="460" customFormat="1" ht="99.75">
      <c r="A19" s="557"/>
      <c r="B19" s="564" t="s">
        <v>3720</v>
      </c>
    </row>
    <row r="20" spans="1:2" s="460" customFormat="1" ht="45" customHeight="1">
      <c r="A20" s="557" t="s">
        <v>385</v>
      </c>
      <c r="B20" s="559" t="s">
        <v>3682</v>
      </c>
    </row>
    <row r="21" spans="1:2" s="460" customFormat="1" ht="15" customHeight="1">
      <c r="A21" s="557"/>
      <c r="B21" s="561" t="s">
        <v>3531</v>
      </c>
    </row>
    <row r="22" spans="1:2" s="460" customFormat="1" ht="14.25">
      <c r="A22" s="557" t="s">
        <v>384</v>
      </c>
      <c r="B22" s="564" t="s">
        <v>3683</v>
      </c>
    </row>
    <row r="23" spans="1:2" s="460" customFormat="1" ht="14.25">
      <c r="A23" s="557"/>
      <c r="B23" s="564" t="s">
        <v>3534</v>
      </c>
    </row>
    <row r="24" spans="1:2" s="460" customFormat="1" ht="28.5">
      <c r="A24" s="557"/>
      <c r="B24" s="564" t="s">
        <v>3543</v>
      </c>
    </row>
    <row r="25" spans="1:2" s="460" customFormat="1" ht="12.75">
      <c r="A25" s="556"/>
      <c r="B25" s="556"/>
    </row>
    <row r="26" spans="1:2" s="460" customFormat="1" ht="15.75">
      <c r="A26" s="556"/>
      <c r="B26" s="565" t="s">
        <v>3810</v>
      </c>
    </row>
    <row r="27" spans="1:2" s="460" customFormat="1" ht="14.25">
      <c r="A27" s="556"/>
      <c r="B27" s="566" t="s">
        <v>3535</v>
      </c>
    </row>
    <row r="28" spans="1:2" s="460" customFormat="1" ht="14.25">
      <c r="A28" s="556"/>
      <c r="B28" s="566" t="s">
        <v>3536</v>
      </c>
    </row>
    <row r="29" s="460" customFormat="1" ht="12.75"/>
    <row r="30" s="460" customFormat="1" ht="12.75"/>
    <row r="31" s="460" customFormat="1" ht="12.75"/>
    <row r="32" s="460" customFormat="1" ht="12.75"/>
    <row r="33" s="460" customFormat="1" ht="12.75"/>
    <row r="34" s="460" customFormat="1" ht="12.75"/>
    <row r="35" s="460" customFormat="1" ht="12.75"/>
    <row r="36" s="460" customFormat="1" ht="12.75"/>
    <row r="37" s="460" customFormat="1" ht="12.75"/>
    <row r="38" s="460" customFormat="1" ht="12.75"/>
    <row r="39" s="460" customFormat="1" ht="12.75"/>
    <row r="40" s="460" customFormat="1" ht="12.75"/>
    <row r="41" s="460" customFormat="1" ht="12.75"/>
    <row r="42" s="460" customFormat="1" ht="12.75"/>
    <row r="43" s="460" customFormat="1" ht="12.75"/>
    <row r="44" s="460" customFormat="1" ht="12.75"/>
    <row r="45" s="460" customFormat="1" ht="12.75"/>
    <row r="46" s="460" customFormat="1" ht="12.75"/>
    <row r="47" s="460" customFormat="1" ht="12.75"/>
    <row r="48" s="460" customFormat="1" ht="12.75"/>
    <row r="49" s="460" customFormat="1" ht="12.75"/>
    <row r="50" s="460" customFormat="1" ht="12.75"/>
    <row r="51" s="460" customFormat="1" ht="12.75"/>
    <row r="52" s="460" customFormat="1" ht="12.75"/>
    <row r="53" s="460" customFormat="1" ht="12.75"/>
    <row r="54" s="460" customFormat="1" ht="12.75"/>
    <row r="55" s="460" customFormat="1" ht="12.75"/>
    <row r="56" s="460" customFormat="1" ht="12.75"/>
    <row r="57" s="460" customFormat="1" ht="12.75"/>
    <row r="58" s="460" customFormat="1" ht="12.75"/>
    <row r="59" s="460" customFormat="1" ht="12.75"/>
    <row r="60" s="460" customFormat="1" ht="12.75"/>
    <row r="61" s="460" customFormat="1" ht="12.75"/>
    <row r="62" s="460" customFormat="1" ht="12.75"/>
    <row r="63" s="460" customFormat="1" ht="12.75"/>
    <row r="64" s="460" customFormat="1" ht="12.75"/>
    <row r="65" s="460" customFormat="1" ht="12.75"/>
    <row r="66" s="460" customFormat="1" ht="12.75"/>
    <row r="67" s="460" customFormat="1" ht="12.75"/>
    <row r="68" s="460" customFormat="1" ht="12.75"/>
    <row r="69" s="460" customFormat="1" ht="12.75"/>
    <row r="70" s="460" customFormat="1" ht="12.75"/>
    <row r="71" s="460" customFormat="1" ht="12.75"/>
    <row r="72" s="460" customFormat="1" ht="12.75"/>
    <row r="73" s="460" customFormat="1" ht="12.75"/>
    <row r="74" s="460" customFormat="1" ht="12.75"/>
    <row r="75" s="460" customFormat="1" ht="12.75"/>
    <row r="76" s="460" customFormat="1" ht="12.75"/>
    <row r="77" s="460" customFormat="1" ht="12.75"/>
    <row r="78" s="460" customFormat="1" ht="12.75"/>
    <row r="79" s="460" customFormat="1" ht="12.75"/>
    <row r="80" s="460" customFormat="1" ht="12.75"/>
    <row r="81" s="460" customFormat="1" ht="12.75"/>
    <row r="82" s="460" customFormat="1" ht="12.75"/>
    <row r="83" s="460" customFormat="1" ht="12.75"/>
    <row r="84" s="460" customFormat="1" ht="12.75"/>
    <row r="85" s="460" customFormat="1" ht="12.75"/>
    <row r="86" s="460" customFormat="1" ht="12.75"/>
    <row r="87" s="460" customFormat="1" ht="12.75"/>
    <row r="88" s="460" customFormat="1" ht="12.75"/>
    <row r="89" s="460" customFormat="1" ht="12.75"/>
    <row r="90" s="460" customFormat="1" ht="12.75"/>
    <row r="91" s="460" customFormat="1" ht="12.75"/>
    <row r="92" s="460" customFormat="1" ht="12.75"/>
    <row r="93" s="460" customFormat="1" ht="12.75"/>
    <row r="94" s="460" customFormat="1" ht="12.75"/>
    <row r="95" s="460" customFormat="1" ht="12.75"/>
    <row r="96" s="460" customFormat="1" ht="12.75"/>
    <row r="97" s="460" customFormat="1" ht="12.75"/>
    <row r="98" s="460" customFormat="1" ht="12.75"/>
    <row r="99" s="460" customFormat="1" ht="12.75"/>
    <row r="100" s="460" customFormat="1" ht="12.75"/>
    <row r="101" s="460" customFormat="1" ht="12.75"/>
    <row r="102" s="460" customFormat="1" ht="12.75"/>
    <row r="103" s="460" customFormat="1" ht="12.75"/>
    <row r="104" s="460" customFormat="1" ht="12.75"/>
    <row r="105" s="460" customFormat="1" ht="12.75"/>
    <row r="106" s="460" customFormat="1" ht="12.75"/>
    <row r="107" s="460" customFormat="1" ht="12.75"/>
    <row r="108" s="460" customFormat="1" ht="12.75"/>
    <row r="109" s="460" customFormat="1" ht="12.75"/>
    <row r="110" s="460" customFormat="1" ht="12.75"/>
    <row r="111" s="460" customFormat="1" ht="12.75"/>
    <row r="112" s="460" customFormat="1" ht="12.75"/>
    <row r="113" s="460" customFormat="1" ht="12.75"/>
    <row r="114" s="460" customFormat="1" ht="12.75"/>
    <row r="115" s="460" customFormat="1" ht="12.75"/>
    <row r="116" s="460" customFormat="1" ht="12.75"/>
    <row r="117" s="460" customFormat="1" ht="12.75"/>
    <row r="118" s="460" customFormat="1" ht="12.75"/>
    <row r="119" s="460" customFormat="1" ht="12.75"/>
    <row r="120" s="460" customFormat="1" ht="12.75"/>
    <row r="121" s="460" customFormat="1" ht="12.75"/>
    <row r="122" s="460" customFormat="1" ht="12.75"/>
    <row r="123" s="460" customFormat="1" ht="12.75"/>
    <row r="124" s="460" customFormat="1" ht="12.75"/>
    <row r="125" s="460" customFormat="1" ht="12.75"/>
    <row r="126" s="460" customFormat="1" ht="12.75"/>
    <row r="127" s="460" customFormat="1" ht="12.75"/>
    <row r="128" s="460" customFormat="1" ht="12.75"/>
    <row r="129" s="460" customFormat="1" ht="12.75"/>
    <row r="130" s="460" customFormat="1" ht="12.75"/>
    <row r="131" s="460" customFormat="1" ht="12.75"/>
    <row r="132" s="460" customFormat="1" ht="12.75"/>
    <row r="133" s="460" customFormat="1" ht="12.75"/>
    <row r="134" s="460" customFormat="1" ht="12.75"/>
    <row r="135" s="460" customFormat="1" ht="12.75"/>
    <row r="136" s="460" customFormat="1" ht="12.75"/>
    <row r="137" s="460" customFormat="1" ht="12.75"/>
    <row r="138" s="460" customFormat="1" ht="12.75"/>
    <row r="139" s="460" customFormat="1" ht="12.75"/>
    <row r="140" s="460" customFormat="1" ht="12.75"/>
    <row r="141" s="460" customFormat="1" ht="12.75"/>
    <row r="142" s="460" customFormat="1" ht="12.75"/>
    <row r="143" s="460" customFormat="1" ht="12.75"/>
    <row r="144" s="460" customFormat="1" ht="12.75"/>
    <row r="145" s="460" customFormat="1" ht="12.75"/>
    <row r="146" s="460" customFormat="1" ht="12.75"/>
    <row r="147" s="460" customFormat="1" ht="12.75"/>
    <row r="148" s="460" customFormat="1" ht="12.75"/>
    <row r="149" s="460" customFormat="1" ht="12.75"/>
    <row r="150" s="460" customFormat="1" ht="12.75"/>
    <row r="151" s="460" customFormat="1" ht="12.75"/>
    <row r="152" s="460" customFormat="1" ht="12.75"/>
    <row r="153" s="460" customFormat="1" ht="12.75"/>
    <row r="154" s="460" customFormat="1" ht="12.75"/>
    <row r="155" s="460" customFormat="1" ht="12.75"/>
    <row r="156" s="460" customFormat="1" ht="12.75"/>
    <row r="157" s="460" customFormat="1" ht="12.75"/>
    <row r="158" s="460" customFormat="1" ht="12.75"/>
    <row r="159" s="460" customFormat="1" ht="12.75"/>
    <row r="160" s="460" customFormat="1" ht="12.75"/>
    <row r="161" s="460" customFormat="1" ht="12.75"/>
    <row r="162" s="460" customFormat="1" ht="12.75"/>
    <row r="163" s="460" customFormat="1" ht="12.75"/>
    <row r="164" s="460" customFormat="1" ht="12.75"/>
    <row r="165" s="460" customFormat="1" ht="12.75"/>
    <row r="166" s="460" customFormat="1" ht="12.75"/>
    <row r="167" s="460" customFormat="1" ht="12.75"/>
    <row r="168" s="460" customFormat="1" ht="12.75"/>
    <row r="169" s="460" customFormat="1" ht="12.75"/>
    <row r="170" s="460" customFormat="1" ht="12.75"/>
    <row r="171" s="460" customFormat="1" ht="12.75"/>
    <row r="172" s="460" customFormat="1" ht="12.75"/>
    <row r="173" s="460" customFormat="1" ht="12.75"/>
    <row r="174" s="460" customFormat="1" ht="12.75"/>
    <row r="175" s="460" customFormat="1" ht="12.75"/>
    <row r="176" s="460" customFormat="1" ht="12.75"/>
    <row r="177" s="460" customFormat="1" ht="12.75"/>
    <row r="178" s="460" customFormat="1" ht="12.75"/>
    <row r="179" s="460" customFormat="1" ht="12.75"/>
    <row r="180" s="460" customFormat="1" ht="12.75"/>
    <row r="181" s="460" customFormat="1" ht="12.75"/>
    <row r="182" s="460" customFormat="1" ht="12.75"/>
    <row r="183" s="460" customFormat="1" ht="12.75"/>
    <row r="184" s="460" customFormat="1" ht="12.75"/>
    <row r="185" s="460" customFormat="1" ht="12.75"/>
    <row r="186" s="460" customFormat="1" ht="12.75"/>
    <row r="187" s="460" customFormat="1" ht="12.75"/>
    <row r="188" s="460" customFormat="1" ht="12.75"/>
    <row r="189" s="460" customFormat="1" ht="12.75"/>
    <row r="190" s="460" customFormat="1" ht="12.75"/>
    <row r="191" s="460" customFormat="1" ht="12.75"/>
    <row r="192" s="460" customFormat="1" ht="12.75"/>
    <row r="193" s="460" customFormat="1" ht="12.75"/>
    <row r="194" s="460" customFormat="1" ht="12.75"/>
    <row r="195" s="460" customFormat="1" ht="12.75"/>
    <row r="196" s="460" customFormat="1" ht="12.75"/>
    <row r="197" s="460" customFormat="1" ht="12.75"/>
    <row r="198" s="460" customFormat="1" ht="12.75"/>
    <row r="199" s="460" customFormat="1" ht="12.75"/>
    <row r="200" s="460" customFormat="1" ht="12.75"/>
    <row r="201" s="460" customFormat="1" ht="12.75"/>
    <row r="202" s="460" customFormat="1" ht="12.75"/>
    <row r="203" s="460" customFormat="1" ht="12.75"/>
    <row r="204" s="460" customFormat="1" ht="12.75"/>
    <row r="205" s="460" customFormat="1" ht="12.75"/>
    <row r="206" s="460" customFormat="1" ht="12.75"/>
    <row r="207" s="460" customFormat="1" ht="12.75"/>
    <row r="208" s="460" customFormat="1" ht="12.75"/>
    <row r="209" s="460" customFormat="1" ht="12.75"/>
    <row r="210" s="460" customFormat="1" ht="12.75"/>
    <row r="211" s="460" customFormat="1" ht="12.75"/>
    <row r="212" s="460" customFormat="1" ht="12.75"/>
    <row r="213" s="460" customFormat="1" ht="12.75"/>
    <row r="214" s="460" customFormat="1" ht="12.75"/>
    <row r="215" s="460" customFormat="1" ht="12.75"/>
    <row r="216" s="460" customFormat="1" ht="12.75"/>
    <row r="217" s="460" customFormat="1" ht="12.75"/>
    <row r="218" s="460" customFormat="1" ht="12.75"/>
    <row r="219" s="460" customFormat="1" ht="12.75"/>
    <row r="220" s="460" customFormat="1" ht="12.75"/>
    <row r="221" s="460" customFormat="1" ht="12.75"/>
    <row r="222" s="460" customFormat="1" ht="12.75"/>
    <row r="223" s="460" customFormat="1" ht="12.75"/>
    <row r="224" s="460" customFormat="1" ht="12.75"/>
    <row r="225" s="460" customFormat="1" ht="12.75"/>
    <row r="226" s="460" customFormat="1" ht="12.75"/>
    <row r="227" s="460" customFormat="1" ht="12.75"/>
    <row r="228" s="460" customFormat="1" ht="12.75"/>
    <row r="229" s="460" customFormat="1" ht="12.75"/>
    <row r="230" s="460" customFormat="1" ht="12.75"/>
    <row r="231" s="460" customFormat="1" ht="12.75"/>
    <row r="232" s="460" customFormat="1" ht="12.75"/>
    <row r="233" s="460" customFormat="1" ht="12.75"/>
    <row r="234" s="460" customFormat="1" ht="12.75"/>
    <row r="235" s="460" customFormat="1" ht="12.75"/>
    <row r="236" s="460" customFormat="1" ht="12.75"/>
    <row r="237" s="460" customFormat="1" ht="12.75"/>
    <row r="238" s="460" customFormat="1" ht="12.75"/>
    <row r="239" s="460" customFormat="1" ht="12.75"/>
    <row r="240" s="460" customFormat="1" ht="12.75"/>
    <row r="241" s="460" customFormat="1" ht="12.75"/>
    <row r="242" s="460" customFormat="1" ht="12.75"/>
    <row r="243" s="460" customFormat="1" ht="12.75"/>
    <row r="244" s="460" customFormat="1" ht="12.75"/>
    <row r="245" s="460" customFormat="1" ht="12.75"/>
  </sheetData>
  <sheetProtection password="EF65" sheet="1" objects="1" scenarios="1"/>
  <mergeCells count="1">
    <mergeCell ref="A1:B1"/>
  </mergeCells>
  <hyperlinks>
    <hyperlink ref="B21" r:id="rId1" display="http://business.center.cz/business/sablony/s110-ucetni-zaverka-v-plnem-rozsahu.aspx"/>
    <hyperlink ref="B12" r:id="rId2" display="http://business.center.cz/business/sablony/s110-ucetni-zaverka-v-plnem-rozsahu.aspx"/>
    <hyperlink ref="B17" r:id="rId3" display="https://adisepo.mfcr.cz/adistc/adis/idpr_epo/epo2/spol/soubor_vyber.faces"/>
  </hyperlinks>
  <pageMargins left="0.393700787401575" right="0.393700787401575" top="0.393700787401575" bottom="0.393700787401575" header="0.31496062992126" footer="0.31496062992126"/>
  <pageSetup orientation="portrait" paperSize="9" scale="92" r:id="rId4"/>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500-000000000000}">
  <sheetPr codeName="List1">
    <tabColor rgb="FFFFCCFF"/>
    <outlinePr summaryBelow="0" summaryRight="0"/>
    <pageSetUpPr fitToPage="1"/>
  </sheetPr>
  <dimension ref="A1:N204"/>
  <sheetViews>
    <sheetView showZeros="0" showOutlineSymbols="0" workbookViewId="0" topLeftCell="A1">
      <selection pane="topLeft" activeCell="A9" sqref="A9:E9"/>
    </sheetView>
  </sheetViews>
  <sheetFormatPr defaultColWidth="9.14428571428571" defaultRowHeight="12.75"/>
  <cols>
    <col min="1" max="1" width="8.28571428571429" style="5" customWidth="1"/>
    <col min="2" max="2" width="4.71428571428571" style="5" customWidth="1"/>
    <col min="3" max="3" width="8.28571428571429" style="5" customWidth="1"/>
    <col min="4" max="4" width="4.71428571428571" style="5" customWidth="1"/>
    <col min="5" max="5" width="8.28571428571429" style="4" customWidth="1"/>
    <col min="6" max="6" width="11" style="4" customWidth="1"/>
    <col min="7" max="7" width="7.14285714285714" style="4" customWidth="1"/>
    <col min="8" max="8" width="14.7142857142857" style="5" customWidth="1"/>
    <col min="9" max="9" width="7.28571428571429" style="5" customWidth="1"/>
    <col min="10" max="10" width="9.85714285714286" style="4" customWidth="1"/>
    <col min="11" max="11" width="4.42857142857143" style="5" customWidth="1"/>
    <col min="12" max="12" width="10.7142857142857" style="5" customWidth="1"/>
    <col min="13" max="16384" width="9.14285714285714" style="4"/>
  </cols>
  <sheetData>
    <row r="1" spans="1:12" ht="12.75">
      <c r="A1" s="769" t="s">
        <v>390</v>
      </c>
      <c r="B1" s="769"/>
      <c r="C1" s="770"/>
      <c r="D1" s="770"/>
      <c r="E1" s="770"/>
      <c r="F1" s="770"/>
      <c r="G1" s="770"/>
      <c r="H1" s="770"/>
      <c r="I1" s="770"/>
      <c r="J1" s="770"/>
      <c r="K1" s="770"/>
      <c r="L1" s="770"/>
    </row>
    <row r="2" spans="1:12" ht="12.75">
      <c r="A2" s="782" t="s">
        <v>196</v>
      </c>
      <c r="B2" s="782"/>
      <c r="C2" s="745"/>
      <c r="D2" s="745"/>
      <c r="E2" s="745"/>
      <c r="F2" s="745"/>
      <c r="G2" s="745"/>
      <c r="H2" s="745"/>
      <c r="I2" s="745"/>
      <c r="J2" s="745"/>
      <c r="K2" s="745"/>
      <c r="L2" s="745"/>
    </row>
    <row r="3" spans="1:12" ht="20.25" customHeight="1">
      <c r="A3" s="774">
        <f>+ZAKL_DATA!B13</f>
        <v>0</v>
      </c>
      <c r="B3" s="775"/>
      <c r="C3" s="776"/>
      <c r="D3" s="776"/>
      <c r="E3" s="776"/>
      <c r="F3" s="777"/>
      <c r="G3" s="783"/>
      <c r="H3" s="784"/>
      <c r="I3" s="784"/>
      <c r="J3" s="784"/>
      <c r="K3" s="784"/>
      <c r="L3" s="784"/>
    </row>
    <row r="4" spans="1:12" ht="12.75">
      <c r="A4" s="782" t="s">
        <v>197</v>
      </c>
      <c r="B4" s="782"/>
      <c r="C4" s="745"/>
      <c r="D4" s="745"/>
      <c r="E4" s="745"/>
      <c r="F4" s="745"/>
      <c r="G4" s="745"/>
      <c r="H4" s="745"/>
      <c r="I4" s="745"/>
      <c r="J4" s="745"/>
      <c r="K4" s="745"/>
      <c r="L4" s="745"/>
    </row>
    <row r="5" spans="1:12" ht="20.25" customHeight="1">
      <c r="A5" s="774">
        <f>+ZAKL_DATA!B14</f>
        <v>0</v>
      </c>
      <c r="B5" s="775"/>
      <c r="C5" s="776"/>
      <c r="D5" s="776"/>
      <c r="E5" s="776"/>
      <c r="F5" s="777"/>
      <c r="G5" s="771"/>
      <c r="H5" s="789" t="s">
        <v>304</v>
      </c>
      <c r="I5" s="790"/>
      <c r="J5" s="790"/>
      <c r="K5" s="790"/>
      <c r="L5" s="791"/>
    </row>
    <row r="6" spans="1:12" ht="12.75">
      <c r="A6" s="785" t="s">
        <v>191</v>
      </c>
      <c r="B6" s="785"/>
      <c r="C6" s="786"/>
      <c r="D6" s="786"/>
      <c r="E6" s="786"/>
      <c r="F6" s="786"/>
      <c r="G6" s="772"/>
      <c r="H6" s="792"/>
      <c r="I6" s="793"/>
      <c r="J6" s="793"/>
      <c r="K6" s="793"/>
      <c r="L6" s="772"/>
    </row>
    <row r="7" spans="1:12" ht="20.25" customHeight="1">
      <c r="A7" s="778" t="str">
        <f>IF(EXACT(LEFT(+ZAKL_DATA!D2,1),"C"),+ZAKL_DATA!D2," ")</f>
        <v>CZ</v>
      </c>
      <c r="B7" s="779"/>
      <c r="C7" s="780"/>
      <c r="D7" s="780"/>
      <c r="E7" s="780"/>
      <c r="F7" s="781"/>
      <c r="G7" s="772"/>
      <c r="H7" s="792"/>
      <c r="I7" s="793"/>
      <c r="J7" s="793"/>
      <c r="K7" s="793"/>
      <c r="L7" s="772"/>
    </row>
    <row r="8" spans="1:12" ht="12.75">
      <c r="A8" s="787" t="s">
        <v>192</v>
      </c>
      <c r="B8" s="787"/>
      <c r="C8" s="786"/>
      <c r="D8" s="786"/>
      <c r="E8" s="786"/>
      <c r="F8" s="773"/>
      <c r="G8" s="745"/>
      <c r="H8" s="792"/>
      <c r="I8" s="793"/>
      <c r="J8" s="793"/>
      <c r="K8" s="793"/>
      <c r="L8" s="772"/>
    </row>
    <row r="9" spans="1:12" ht="20.25" customHeight="1">
      <c r="A9" s="820" t="str">
        <f>IF(EXACT(LEFT(+ZAKL_DATA!D2,1),"C"),+MID(A7,3,20),+ZAKL_DATA!D2)</f>
        <v/>
      </c>
      <c r="B9" s="779"/>
      <c r="C9" s="779"/>
      <c r="D9" s="779"/>
      <c r="E9" s="821"/>
      <c r="F9" s="745"/>
      <c r="G9" s="745"/>
      <c r="H9" s="792"/>
      <c r="I9" s="793"/>
      <c r="J9" s="793"/>
      <c r="K9" s="793"/>
      <c r="L9" s="772"/>
    </row>
    <row r="10" spans="1:12" ht="12.75">
      <c r="A10" s="788"/>
      <c r="B10" s="788"/>
      <c r="C10" s="788"/>
      <c r="D10" s="788"/>
      <c r="E10" s="788"/>
      <c r="F10" s="745"/>
      <c r="G10" s="745"/>
      <c r="H10" s="794"/>
      <c r="I10" s="795"/>
      <c r="J10" s="795"/>
      <c r="K10" s="795"/>
      <c r="L10" s="796"/>
    </row>
    <row r="11" spans="1:12" ht="12.75">
      <c r="A11" s="788" t="s">
        <v>295</v>
      </c>
      <c r="B11" s="788"/>
      <c r="C11" s="793"/>
      <c r="D11" s="793"/>
      <c r="E11" s="793"/>
      <c r="F11" s="745"/>
      <c r="G11" s="745"/>
      <c r="H11" s="745"/>
      <c r="I11" s="745"/>
      <c r="J11" s="745"/>
      <c r="K11" s="745"/>
      <c r="L11" s="745"/>
    </row>
    <row r="12" spans="1:12" ht="11.25" customHeight="1">
      <c r="A12" s="79" t="s">
        <v>193</v>
      </c>
      <c r="B12" s="77"/>
      <c r="C12" s="79" t="s">
        <v>314</v>
      </c>
      <c r="D12" s="12"/>
      <c r="E12" s="79" t="s">
        <v>315</v>
      </c>
      <c r="F12" s="78"/>
      <c r="G12" s="845" t="s">
        <v>296</v>
      </c>
      <c r="H12" s="846"/>
      <c r="I12" s="846"/>
      <c r="J12" s="846"/>
      <c r="K12" s="13"/>
      <c r="L12" s="78"/>
    </row>
    <row r="13" spans="1:12" ht="24" customHeight="1">
      <c r="A13" s="80" t="s">
        <v>316</v>
      </c>
      <c r="B13" s="77"/>
      <c r="C13" s="80"/>
      <c r="D13" s="77"/>
      <c r="E13" s="80"/>
      <c r="F13" s="78"/>
      <c r="G13" s="846"/>
      <c r="H13" s="846"/>
      <c r="I13" s="846"/>
      <c r="J13" s="846"/>
      <c r="K13" s="843"/>
      <c r="L13" s="844"/>
    </row>
    <row r="14" spans="1:12" ht="12.75">
      <c r="A14" s="891" t="s">
        <v>283</v>
      </c>
      <c r="B14" s="745"/>
      <c r="C14" s="745"/>
      <c r="D14" s="745"/>
      <c r="E14" s="745"/>
      <c r="F14" s="829"/>
      <c r="G14" s="829"/>
      <c r="H14" s="829"/>
      <c r="I14" s="829"/>
      <c r="J14" s="829"/>
      <c r="K14" s="829"/>
      <c r="L14" s="829"/>
    </row>
    <row r="15" spans="1:12" ht="20.25" customHeight="1">
      <c r="A15" s="80"/>
      <c r="B15" s="887"/>
      <c r="C15" s="888"/>
      <c r="D15" s="888"/>
      <c r="E15" s="888"/>
      <c r="F15" s="892"/>
      <c r="G15" s="834"/>
      <c r="H15" s="834"/>
      <c r="I15" s="834"/>
      <c r="J15" s="142" t="s">
        <v>438</v>
      </c>
      <c r="K15" s="843"/>
      <c r="L15" s="844"/>
    </row>
    <row r="16" spans="1:12" ht="12.75">
      <c r="A16" s="895"/>
      <c r="B16" s="896"/>
      <c r="C16" s="896"/>
      <c r="D16" s="896"/>
      <c r="E16" s="896"/>
      <c r="F16" s="834"/>
      <c r="G16" s="834"/>
      <c r="H16" s="834"/>
      <c r="I16" s="834"/>
      <c r="J16" s="81"/>
      <c r="K16" s="83"/>
      <c r="L16" s="82"/>
    </row>
    <row r="17" spans="1:12" ht="24" customHeight="1">
      <c r="A17" s="840" t="s">
        <v>119</v>
      </c>
      <c r="B17" s="841"/>
      <c r="C17" s="841"/>
      <c r="D17" s="841"/>
      <c r="E17" s="841"/>
      <c r="F17" s="841"/>
      <c r="G17" s="841"/>
      <c r="H17" s="842"/>
      <c r="I17" s="135" t="s">
        <v>294</v>
      </c>
      <c r="J17" s="80"/>
      <c r="K17" s="133" t="s">
        <v>178</v>
      </c>
      <c r="L17" s="80" t="s">
        <v>316</v>
      </c>
    </row>
    <row r="18" spans="1:12" ht="9" customHeight="1">
      <c r="A18" s="819"/>
      <c r="B18" s="819"/>
      <c r="C18" s="829"/>
      <c r="D18" s="829"/>
      <c r="E18" s="829"/>
      <c r="F18" s="829"/>
      <c r="G18" s="829"/>
      <c r="H18" s="829"/>
      <c r="I18" s="829"/>
      <c r="J18" s="829"/>
      <c r="K18" s="829"/>
      <c r="L18" s="829"/>
    </row>
    <row r="19" spans="1:12" ht="24" customHeight="1">
      <c r="A19" s="893" t="s">
        <v>298</v>
      </c>
      <c r="B19" s="894"/>
      <c r="C19" s="894"/>
      <c r="D19" s="894"/>
      <c r="E19" s="894"/>
      <c r="F19" s="894"/>
      <c r="G19" s="894"/>
      <c r="H19" s="728"/>
      <c r="I19" s="135" t="s">
        <v>294</v>
      </c>
      <c r="J19" s="80"/>
      <c r="K19" s="133" t="s">
        <v>178</v>
      </c>
      <c r="L19" s="80" t="s">
        <v>316</v>
      </c>
    </row>
    <row r="20" spans="1:12" ht="20.1" customHeight="1">
      <c r="A20" s="819"/>
      <c r="B20" s="819"/>
      <c r="C20" s="819"/>
      <c r="D20" s="819"/>
      <c r="E20" s="819"/>
      <c r="F20" s="819"/>
      <c r="G20" s="819"/>
      <c r="H20" s="819"/>
      <c r="I20" s="819"/>
      <c r="J20" s="819"/>
      <c r="K20" s="819"/>
      <c r="L20" s="819"/>
    </row>
    <row r="21" spans="1:12" ht="27.95" customHeight="1">
      <c r="A21" s="832" t="s">
        <v>134</v>
      </c>
      <c r="B21" s="833"/>
      <c r="C21" s="833"/>
      <c r="D21" s="833"/>
      <c r="E21" s="833"/>
      <c r="F21" s="833"/>
      <c r="G21" s="833"/>
      <c r="H21" s="833"/>
      <c r="I21" s="833"/>
      <c r="J21" s="833"/>
      <c r="K21" s="833"/>
      <c r="L21" s="833"/>
    </row>
    <row r="22" spans="1:14" ht="18" customHeight="1">
      <c r="A22" s="741" t="s">
        <v>135</v>
      </c>
      <c r="B22" s="741"/>
      <c r="C22" s="834"/>
      <c r="D22" s="834"/>
      <c r="E22" s="834"/>
      <c r="F22" s="834"/>
      <c r="G22" s="834"/>
      <c r="H22" s="834"/>
      <c r="I22" s="834"/>
      <c r="J22" s="834"/>
      <c r="K22" s="745"/>
      <c r="L22" s="745"/>
      <c r="M22" s="25"/>
      <c r="N22" s="25"/>
    </row>
    <row r="23" spans="1:14" s="118" customFormat="1" ht="18" customHeight="1">
      <c r="A23" s="830" t="s">
        <v>3545</v>
      </c>
      <c r="B23" s="830"/>
      <c r="C23" s="831"/>
      <c r="D23" s="831"/>
      <c r="E23" s="831"/>
      <c r="F23" s="831"/>
      <c r="G23" s="831"/>
      <c r="H23" s="831"/>
      <c r="I23" s="831"/>
      <c r="J23" s="831"/>
      <c r="K23" s="831"/>
      <c r="L23" s="831"/>
      <c r="M23" s="124"/>
      <c r="N23" s="124"/>
    </row>
    <row r="24" spans="1:14" s="118" customFormat="1" ht="24" customHeight="1">
      <c r="A24" s="835" t="s">
        <v>318</v>
      </c>
      <c r="B24" s="836"/>
      <c r="C24" s="836"/>
      <c r="D24" s="836"/>
      <c r="E24" s="837"/>
      <c r="F24" s="889">
        <v>2017</v>
      </c>
      <c r="G24" s="890"/>
      <c r="H24" s="838" t="s">
        <v>236</v>
      </c>
      <c r="I24" s="839"/>
      <c r="J24" s="189"/>
      <c r="K24" s="188" t="s">
        <v>317</v>
      </c>
      <c r="L24" s="189"/>
      <c r="M24" s="124"/>
      <c r="N24" s="124"/>
    </row>
    <row r="25" spans="1:14" ht="18" customHeight="1">
      <c r="A25" s="819" t="s">
        <v>3546</v>
      </c>
      <c r="B25" s="819"/>
      <c r="C25" s="829"/>
      <c r="D25" s="829"/>
      <c r="E25" s="829"/>
      <c r="F25" s="829"/>
      <c r="G25" s="829"/>
      <c r="H25" s="829"/>
      <c r="I25" s="829"/>
      <c r="J25" s="829"/>
      <c r="K25" s="829"/>
      <c r="L25" s="829"/>
      <c r="M25" s="25"/>
      <c r="N25" s="25"/>
    </row>
    <row r="26" spans="1:14" ht="9.95" customHeight="1">
      <c r="A26" s="819"/>
      <c r="B26" s="819"/>
      <c r="C26" s="829"/>
      <c r="D26" s="829"/>
      <c r="E26" s="829"/>
      <c r="F26" s="829"/>
      <c r="G26" s="829"/>
      <c r="H26" s="829"/>
      <c r="I26" s="829"/>
      <c r="J26" s="829"/>
      <c r="K26" s="829"/>
      <c r="L26" s="829"/>
      <c r="M26" s="25"/>
      <c r="N26" s="25"/>
    </row>
    <row r="27" spans="1:14" ht="15" customHeight="1" thickBot="1">
      <c r="A27" s="851" t="s">
        <v>177</v>
      </c>
      <c r="B27" s="851"/>
      <c r="C27" s="852"/>
      <c r="D27" s="852"/>
      <c r="E27" s="852"/>
      <c r="F27" s="852"/>
      <c r="G27" s="852"/>
      <c r="H27" s="852"/>
      <c r="I27" s="852"/>
      <c r="J27" s="852"/>
      <c r="K27" s="852"/>
      <c r="L27" s="852"/>
      <c r="M27" s="25"/>
      <c r="N27" s="25"/>
    </row>
    <row r="28" spans="1:14" ht="24" customHeight="1">
      <c r="A28" s="265" t="s">
        <v>2</v>
      </c>
      <c r="B28" s="797">
        <f>+ZAKL_DATA!B5</f>
        <v>0</v>
      </c>
      <c r="C28" s="798"/>
      <c r="D28" s="798"/>
      <c r="E28" s="799"/>
      <c r="F28" s="266" t="s">
        <v>3</v>
      </c>
      <c r="G28" s="797">
        <f>+ZAKL_DATA!B6</f>
        <v>0</v>
      </c>
      <c r="H28" s="800"/>
      <c r="I28" s="267" t="s">
        <v>346</v>
      </c>
      <c r="J28" s="801">
        <f>+ZAKL_DATA!B4</f>
        <v>0</v>
      </c>
      <c r="K28" s="802"/>
      <c r="L28" s="803"/>
      <c r="M28" s="25"/>
      <c r="N28" s="25"/>
    </row>
    <row r="29" spans="1:14" ht="24" customHeight="1" thickBot="1">
      <c r="A29" s="268" t="s">
        <v>4</v>
      </c>
      <c r="B29" s="812">
        <f>+ZAKL_DATA!B7</f>
        <v>0</v>
      </c>
      <c r="C29" s="813"/>
      <c r="D29" s="813"/>
      <c r="E29" s="814"/>
      <c r="F29" s="859" t="s">
        <v>5</v>
      </c>
      <c r="G29" s="860"/>
      <c r="H29" s="573">
        <f>+ZAKL_DATA!B20</f>
        <v>0</v>
      </c>
      <c r="I29" s="269" t="s">
        <v>6</v>
      </c>
      <c r="J29" s="809"/>
      <c r="K29" s="810"/>
      <c r="L29" s="811"/>
      <c r="M29" s="25"/>
      <c r="N29" s="25"/>
    </row>
    <row r="30" spans="1:14" ht="15" customHeight="1" thickBot="1">
      <c r="A30" s="817" t="s">
        <v>256</v>
      </c>
      <c r="B30" s="817"/>
      <c r="C30" s="818"/>
      <c r="D30" s="818"/>
      <c r="E30" s="818"/>
      <c r="F30" s="818"/>
      <c r="G30" s="818"/>
      <c r="H30" s="818"/>
      <c r="I30" s="818"/>
      <c r="J30" s="818"/>
      <c r="K30" s="818"/>
      <c r="L30" s="818"/>
      <c r="M30" s="25"/>
      <c r="N30" s="25"/>
    </row>
    <row r="31" spans="1:14" ht="24" customHeight="1">
      <c r="A31" s="265" t="s">
        <v>7</v>
      </c>
      <c r="B31" s="806">
        <f>+ZAKL_DATA!B18</f>
        <v>0</v>
      </c>
      <c r="C31" s="815"/>
      <c r="D31" s="815"/>
      <c r="E31" s="816"/>
      <c r="F31" s="270" t="s">
        <v>3547</v>
      </c>
      <c r="G31" s="806">
        <f>+ZAKL_DATA!B16</f>
        <v>0</v>
      </c>
      <c r="H31" s="807"/>
      <c r="I31" s="808"/>
      <c r="J31" s="804" t="s">
        <v>8</v>
      </c>
      <c r="K31" s="805"/>
      <c r="L31" s="16">
        <f>+ZAKL_DATA!B17</f>
        <v>0</v>
      </c>
      <c r="M31" s="25"/>
      <c r="N31" s="25"/>
    </row>
    <row r="32" spans="1:14" ht="24" customHeight="1" thickBot="1">
      <c r="A32" s="268" t="s">
        <v>237</v>
      </c>
      <c r="B32" s="824">
        <f>+ZAKL_DATA!B19</f>
        <v>0</v>
      </c>
      <c r="C32" s="814"/>
      <c r="D32" s="872" t="s">
        <v>238</v>
      </c>
      <c r="E32" s="873"/>
      <c r="F32" s="279">
        <f>+ZAKL_DATA!B25</f>
        <v>0</v>
      </c>
      <c r="G32" s="271" t="s">
        <v>3740</v>
      </c>
      <c r="H32" s="881">
        <f>+ZAKL_DATA!B27</f>
        <v>0</v>
      </c>
      <c r="I32" s="882"/>
      <c r="J32" s="272" t="s">
        <v>239</v>
      </c>
      <c r="K32" s="897">
        <f>+ZAKL_DATA!B20</f>
        <v>0</v>
      </c>
      <c r="L32" s="898"/>
      <c r="M32" s="25"/>
      <c r="N32" s="25"/>
    </row>
    <row r="33" spans="1:14" ht="15" customHeight="1">
      <c r="A33" s="878" t="s">
        <v>3742</v>
      </c>
      <c r="B33" s="879"/>
      <c r="C33" s="879"/>
      <c r="D33" s="879"/>
      <c r="E33" s="879"/>
      <c r="F33" s="879"/>
      <c r="G33" s="879"/>
      <c r="H33" s="879"/>
      <c r="I33" s="879"/>
      <c r="J33" s="879"/>
      <c r="K33" s="880"/>
      <c r="L33" s="880"/>
      <c r="M33" s="25"/>
      <c r="N33" s="25"/>
    </row>
    <row r="34" spans="1:14" ht="15" customHeight="1" thickBot="1">
      <c r="A34" s="876" t="s">
        <v>140</v>
      </c>
      <c r="B34" s="877"/>
      <c r="C34" s="877"/>
      <c r="D34" s="877"/>
      <c r="E34" s="877"/>
      <c r="F34" s="877"/>
      <c r="G34" s="877"/>
      <c r="H34" s="877"/>
      <c r="I34" s="877"/>
      <c r="J34" s="877"/>
      <c r="K34" s="818"/>
      <c r="L34" s="818"/>
      <c r="M34" s="25"/>
      <c r="N34" s="25"/>
    </row>
    <row r="35" spans="1:14" ht="24" customHeight="1" thickBot="1">
      <c r="A35" s="273" t="s">
        <v>240</v>
      </c>
      <c r="B35" s="861"/>
      <c r="C35" s="862"/>
      <c r="D35" s="862"/>
      <c r="E35" s="863"/>
      <c r="F35" s="274" t="s">
        <v>139</v>
      </c>
      <c r="G35" s="885"/>
      <c r="H35" s="886"/>
      <c r="I35" s="275" t="s">
        <v>87</v>
      </c>
      <c r="J35" s="276"/>
      <c r="K35" s="277" t="s">
        <v>241</v>
      </c>
      <c r="L35" s="278"/>
      <c r="M35" s="143"/>
      <c r="N35" s="144"/>
    </row>
    <row r="36" spans="1:14" ht="15" customHeight="1">
      <c r="A36" s="867" t="s">
        <v>3763</v>
      </c>
      <c r="B36" s="868"/>
      <c r="C36" s="868"/>
      <c r="D36" s="868"/>
      <c r="E36" s="868"/>
      <c r="F36" s="868"/>
      <c r="G36" s="868"/>
      <c r="H36" s="868"/>
      <c r="I36" s="868"/>
      <c r="J36" s="868"/>
      <c r="K36" s="745"/>
      <c r="L36" s="745"/>
      <c r="M36" s="25"/>
      <c r="N36" s="25"/>
    </row>
    <row r="37" spans="1:14" ht="15" customHeight="1" thickBot="1">
      <c r="A37" s="869" t="s">
        <v>391</v>
      </c>
      <c r="B37" s="870"/>
      <c r="C37" s="870"/>
      <c r="D37" s="870"/>
      <c r="E37" s="870"/>
      <c r="F37" s="870"/>
      <c r="G37" s="870"/>
      <c r="H37" s="870"/>
      <c r="I37" s="870"/>
      <c r="J37" s="870"/>
      <c r="K37" s="871"/>
      <c r="L37" s="871"/>
      <c r="M37" s="25"/>
      <c r="N37" s="25"/>
    </row>
    <row r="38" spans="1:14" ht="24" customHeight="1">
      <c r="A38" s="14" t="s">
        <v>242</v>
      </c>
      <c r="B38" s="806"/>
      <c r="C38" s="883"/>
      <c r="D38" s="883"/>
      <c r="E38" s="884"/>
      <c r="F38" s="123" t="s">
        <v>3548</v>
      </c>
      <c r="G38" s="864"/>
      <c r="H38" s="865"/>
      <c r="I38" s="866"/>
      <c r="J38" s="874" t="s">
        <v>243</v>
      </c>
      <c r="K38" s="875"/>
      <c r="L38" s="16"/>
      <c r="M38" s="143"/>
      <c r="N38" s="144"/>
    </row>
    <row r="39" spans="1:14" ht="24" customHeight="1" thickBot="1">
      <c r="A39" s="15" t="s">
        <v>244</v>
      </c>
      <c r="B39" s="824"/>
      <c r="C39" s="825"/>
      <c r="D39" s="822" t="s">
        <v>290</v>
      </c>
      <c r="E39" s="823"/>
      <c r="F39" s="850"/>
      <c r="G39" s="825"/>
      <c r="H39" s="17" t="s">
        <v>3741</v>
      </c>
      <c r="I39" s="847"/>
      <c r="J39" s="848"/>
      <c r="K39" s="848"/>
      <c r="L39" s="849"/>
      <c r="M39" s="143"/>
      <c r="N39" s="144"/>
    </row>
    <row r="40" spans="1:14" ht="12" customHeight="1">
      <c r="A40" s="854"/>
      <c r="B40" s="855"/>
      <c r="C40" s="855"/>
      <c r="D40" s="855"/>
      <c r="E40" s="855"/>
      <c r="F40" s="855"/>
      <c r="G40" s="855"/>
      <c r="H40" s="855"/>
      <c r="I40" s="855"/>
      <c r="J40" s="855"/>
      <c r="K40" s="855"/>
      <c r="L40" s="855"/>
      <c r="M40" s="25"/>
      <c r="N40" s="25"/>
    </row>
    <row r="41" spans="1:14" ht="24" customHeight="1">
      <c r="A41" s="856" t="s">
        <v>141</v>
      </c>
      <c r="B41" s="857"/>
      <c r="C41" s="857"/>
      <c r="D41" s="857"/>
      <c r="E41" s="858"/>
      <c r="F41" s="125"/>
      <c r="G41" s="126"/>
      <c r="H41" s="766" t="s">
        <v>67</v>
      </c>
      <c r="I41" s="767"/>
      <c r="J41" s="768"/>
      <c r="K41" s="764"/>
      <c r="L41" s="765"/>
      <c r="M41" s="25"/>
      <c r="N41" s="25"/>
    </row>
    <row r="42" spans="1:14" ht="12" customHeight="1">
      <c r="A42" s="828"/>
      <c r="B42" s="745"/>
      <c r="C42" s="745"/>
      <c r="D42" s="745"/>
      <c r="E42" s="745"/>
      <c r="F42" s="745"/>
      <c r="G42" s="745"/>
      <c r="H42" s="745"/>
      <c r="I42" s="745"/>
      <c r="J42" s="745"/>
      <c r="K42" s="745"/>
      <c r="L42" s="745"/>
      <c r="M42" s="25"/>
      <c r="N42" s="25"/>
    </row>
    <row r="43" spans="1:14" ht="24" customHeight="1">
      <c r="A43" s="826" t="s">
        <v>3685</v>
      </c>
      <c r="B43" s="827"/>
      <c r="C43" s="827"/>
      <c r="D43" s="827"/>
      <c r="E43" s="133" t="s">
        <v>294</v>
      </c>
      <c r="F43" s="80"/>
      <c r="G43" s="133" t="s">
        <v>178</v>
      </c>
      <c r="H43" s="80" t="s">
        <v>316</v>
      </c>
      <c r="I43" s="853"/>
      <c r="J43" s="745"/>
      <c r="K43" s="745"/>
      <c r="L43" s="745"/>
      <c r="M43" s="25"/>
      <c r="N43" s="25"/>
    </row>
    <row r="44" spans="1:14" ht="9" customHeight="1">
      <c r="A44" s="762"/>
      <c r="B44" s="745"/>
      <c r="C44" s="745"/>
      <c r="D44" s="745"/>
      <c r="E44" s="745"/>
      <c r="F44" s="745"/>
      <c r="G44" s="745"/>
      <c r="H44" s="745"/>
      <c r="I44" s="745"/>
      <c r="J44" s="745"/>
      <c r="K44" s="745"/>
      <c r="L44" s="745"/>
      <c r="M44" s="25"/>
      <c r="N44" s="25"/>
    </row>
    <row r="45" spans="1:12" ht="9" customHeight="1">
      <c r="A45" s="763" t="s">
        <v>3891</v>
      </c>
      <c r="B45" s="763"/>
      <c r="C45" s="745"/>
      <c r="D45" s="745"/>
      <c r="E45" s="745"/>
      <c r="F45" s="745"/>
      <c r="G45" s="745"/>
      <c r="H45" s="745"/>
      <c r="I45" s="745"/>
      <c r="J45" s="745"/>
      <c r="K45" s="745"/>
      <c r="L45" s="745"/>
    </row>
    <row r="46" spans="1:12" ht="10.5" customHeight="1">
      <c r="A46" s="760" t="s">
        <v>305</v>
      </c>
      <c r="B46" s="761"/>
      <c r="C46" s="761"/>
      <c r="D46" s="761"/>
      <c r="E46" s="761"/>
      <c r="F46" s="761"/>
      <c r="G46" s="761"/>
      <c r="H46" s="761"/>
      <c r="I46" s="761"/>
      <c r="J46" s="761"/>
      <c r="K46" s="761"/>
      <c r="L46" s="761"/>
    </row>
    <row r="47" spans="1:12" ht="10.5" customHeight="1">
      <c r="A47" s="760">
        <f>+ZAKL_DATA!A44</f>
        <v>0</v>
      </c>
      <c r="B47" s="761"/>
      <c r="C47" s="761"/>
      <c r="D47" s="761"/>
      <c r="E47" s="761"/>
      <c r="F47" s="761"/>
      <c r="G47" s="761"/>
      <c r="H47" s="761"/>
      <c r="I47" s="761"/>
      <c r="J47" s="761"/>
      <c r="K47" s="761"/>
      <c r="L47" s="761"/>
    </row>
    <row r="48" spans="1:12" ht="10.5" customHeight="1">
      <c r="A48" s="819">
        <v>1</v>
      </c>
      <c r="B48" s="745"/>
      <c r="C48" s="745"/>
      <c r="D48" s="745"/>
      <c r="E48" s="745"/>
      <c r="F48" s="745"/>
      <c r="G48" s="745"/>
      <c r="H48" s="745"/>
      <c r="I48" s="745"/>
      <c r="J48" s="745"/>
      <c r="K48" s="745"/>
      <c r="L48" s="745"/>
    </row>
    <row r="49" spans="1:7" ht="11.25" customHeight="1">
      <c r="A49" s="6"/>
      <c r="B49" s="6"/>
      <c r="E49" s="5"/>
      <c r="F49" s="5"/>
      <c r="G49" s="5"/>
    </row>
    <row r="50" spans="1:12" ht="12.75">
      <c r="A50" s="4"/>
      <c r="B50" s="4"/>
      <c r="C50" s="4"/>
      <c r="D50" s="4"/>
      <c r="H50" s="7"/>
      <c r="I50" s="4"/>
      <c r="K50" s="4"/>
      <c r="L50" s="4"/>
    </row>
    <row r="51" spans="1:12" ht="12.95" customHeight="1">
      <c r="A51" s="4"/>
      <c r="B51" s="4"/>
      <c r="C51" s="4"/>
      <c r="D51" s="4"/>
      <c r="H51" s="4"/>
      <c r="I51" s="4"/>
      <c r="K51" s="4"/>
      <c r="L51" s="4"/>
    </row>
    <row r="52" spans="1:12" ht="12.95" customHeight="1">
      <c r="A52" s="4"/>
      <c r="B52" s="4"/>
      <c r="C52" s="4"/>
      <c r="D52" s="4"/>
      <c r="H52" s="4"/>
      <c r="I52" s="4"/>
      <c r="K52" s="4"/>
      <c r="L52" s="4"/>
    </row>
    <row r="53" spans="1:12" ht="12.95" customHeight="1">
      <c r="A53" s="4"/>
      <c r="B53" s="4"/>
      <c r="C53" s="4"/>
      <c r="D53" s="4"/>
      <c r="H53" s="4"/>
      <c r="I53" s="4"/>
      <c r="K53" s="4"/>
      <c r="L53" s="4"/>
    </row>
    <row r="54" spans="1:12" ht="12.95" customHeight="1">
      <c r="A54" s="4"/>
      <c r="B54" s="4"/>
      <c r="C54" s="4"/>
      <c r="D54" s="4"/>
      <c r="H54" s="4"/>
      <c r="I54" s="4"/>
      <c r="K54" s="4"/>
      <c r="L54" s="4"/>
    </row>
    <row r="55" spans="1:12" ht="12.95" customHeight="1" hidden="1">
      <c r="A55" s="4" t="s">
        <v>122</v>
      </c>
      <c r="B55" s="4"/>
      <c r="C55" s="4"/>
      <c r="D55" s="4"/>
      <c r="H55" s="4"/>
      <c r="I55" s="4"/>
      <c r="K55" s="4"/>
      <c r="L55" s="4"/>
    </row>
    <row r="56" spans="1:12" ht="12.95" customHeight="1" hidden="1">
      <c r="A56" s="4" t="s">
        <v>123</v>
      </c>
      <c r="B56" s="4"/>
      <c r="C56" s="4"/>
      <c r="D56" s="4"/>
      <c r="H56" s="4"/>
      <c r="I56" s="4"/>
      <c r="K56" s="4"/>
      <c r="L56" s="4"/>
    </row>
    <row r="57" spans="1:12" ht="12.95" customHeight="1">
      <c r="A57" s="4"/>
      <c r="B57" s="4"/>
      <c r="C57" s="4"/>
      <c r="D57" s="4"/>
      <c r="H57" s="4"/>
      <c r="I57" s="4"/>
      <c r="K57" s="4"/>
      <c r="L57" s="4"/>
    </row>
    <row r="58" spans="1:12" ht="12.95" customHeight="1">
      <c r="A58" s="4"/>
      <c r="B58" s="4"/>
      <c r="C58" s="4"/>
      <c r="D58" s="4"/>
      <c r="H58" s="4"/>
      <c r="I58" s="4"/>
      <c r="K58" s="4"/>
      <c r="L58" s="4"/>
    </row>
    <row r="59" spans="1:12" ht="12.95" customHeight="1">
      <c r="A59" s="4"/>
      <c r="B59" s="4"/>
      <c r="C59" s="4"/>
      <c r="D59" s="4"/>
      <c r="H59" s="4"/>
      <c r="I59" s="4"/>
      <c r="K59" s="4"/>
      <c r="L59" s="4"/>
    </row>
    <row r="60" spans="5:8" ht="12.95" customHeight="1">
      <c r="E60" s="5"/>
      <c r="F60" s="5"/>
      <c r="G60" s="6"/>
      <c r="H60" s="4"/>
    </row>
    <row r="61" spans="5:7" ht="12.75">
      <c r="E61" s="5"/>
      <c r="F61" s="5"/>
      <c r="G61" s="5"/>
    </row>
    <row r="62" spans="5:7" ht="12.75">
      <c r="E62" s="5"/>
      <c r="F62" s="5"/>
      <c r="G62" s="5"/>
    </row>
    <row r="63" spans="5:7" ht="12.75">
      <c r="E63" s="5"/>
      <c r="F63" s="5"/>
      <c r="G63" s="5"/>
    </row>
    <row r="64" spans="5:7" ht="12.75">
      <c r="E64" s="5"/>
      <c r="F64" s="5"/>
      <c r="G64" s="5"/>
    </row>
    <row r="65" spans="5:7" ht="12.75">
      <c r="E65" s="5"/>
      <c r="F65" s="5"/>
      <c r="G65" s="5"/>
    </row>
    <row r="66" spans="5:7" ht="12.75">
      <c r="E66" s="5"/>
      <c r="F66" s="5"/>
      <c r="G66" s="5"/>
    </row>
    <row r="67" spans="5:7" ht="12.75">
      <c r="E67" s="5"/>
      <c r="F67" s="5"/>
      <c r="G67" s="5"/>
    </row>
    <row r="68" spans="5:6" ht="12.75">
      <c r="E68" s="5"/>
      <c r="F68" s="5"/>
    </row>
    <row r="69" spans="5:6" ht="12.75">
      <c r="E69" s="5"/>
      <c r="F69" s="5"/>
    </row>
    <row r="70" spans="5:6" ht="12.75">
      <c r="E70" s="5"/>
      <c r="F70" s="5"/>
    </row>
    <row r="71" spans="5:6" ht="12.75">
      <c r="E71" s="5"/>
      <c r="F71" s="5"/>
    </row>
    <row r="72" spans="5:6" ht="12.75">
      <c r="E72" s="5"/>
      <c r="F72" s="5"/>
    </row>
    <row r="204" spans="1:1" ht="12.75">
      <c r="A204" s="112">
        <v>1</v>
      </c>
    </row>
  </sheetData>
  <sheetProtection password="EF65" sheet="1" objects="1" scenarios="1"/>
  <mergeCells count="75">
    <mergeCell ref="B38:E38"/>
    <mergeCell ref="B32:C32"/>
    <mergeCell ref="G35:H35"/>
    <mergeCell ref="A11:L11"/>
    <mergeCell ref="B15:E15"/>
    <mergeCell ref="F24:G24"/>
    <mergeCell ref="A14:E14"/>
    <mergeCell ref="F15:I16"/>
    <mergeCell ref="F14:L14"/>
    <mergeCell ref="K13:L13"/>
    <mergeCell ref="A20:L20"/>
    <mergeCell ref="A18:L18"/>
    <mergeCell ref="A19:H19"/>
    <mergeCell ref="A16:E16"/>
    <mergeCell ref="K32:L32"/>
    <mergeCell ref="A26:L26"/>
    <mergeCell ref="I39:L39"/>
    <mergeCell ref="F39:G39"/>
    <mergeCell ref="A27:L27"/>
    <mergeCell ref="I43:L44"/>
    <mergeCell ref="A40:L40"/>
    <mergeCell ref="A41:E41"/>
    <mergeCell ref="F29:G29"/>
    <mergeCell ref="B35:E35"/>
    <mergeCell ref="G38:I38"/>
    <mergeCell ref="A36:L36"/>
    <mergeCell ref="A37:L37"/>
    <mergeCell ref="D32:E32"/>
    <mergeCell ref="J38:K38"/>
    <mergeCell ref="A34:L34"/>
    <mergeCell ref="A33:L33"/>
    <mergeCell ref="H32:I32"/>
    <mergeCell ref="A48:L48"/>
    <mergeCell ref="A46:L46"/>
    <mergeCell ref="A9:E9"/>
    <mergeCell ref="D39:E39"/>
    <mergeCell ref="B39:C39"/>
    <mergeCell ref="A43:D43"/>
    <mergeCell ref="A42:L42"/>
    <mergeCell ref="A25:L25"/>
    <mergeCell ref="A23:L23"/>
    <mergeCell ref="A21:L21"/>
    <mergeCell ref="A22:L22"/>
    <mergeCell ref="A24:E24"/>
    <mergeCell ref="H24:I24"/>
    <mergeCell ref="A17:H17"/>
    <mergeCell ref="K15:L15"/>
    <mergeCell ref="G12:J13"/>
    <mergeCell ref="B28:E28"/>
    <mergeCell ref="G28:H28"/>
    <mergeCell ref="J28:L28"/>
    <mergeCell ref="J31:K31"/>
    <mergeCell ref="G31:I31"/>
    <mergeCell ref="J29:L29"/>
    <mergeCell ref="B29:E29"/>
    <mergeCell ref="B31:E31"/>
    <mergeCell ref="A30:L30"/>
    <mergeCell ref="A1:L1"/>
    <mergeCell ref="G5:G7"/>
    <mergeCell ref="F8:G10"/>
    <mergeCell ref="A5:F5"/>
    <mergeCell ref="A7:F7"/>
    <mergeCell ref="A2:L2"/>
    <mergeCell ref="A3:F3"/>
    <mergeCell ref="G3:L3"/>
    <mergeCell ref="A4:L4"/>
    <mergeCell ref="A6:F6"/>
    <mergeCell ref="A8:E8"/>
    <mergeCell ref="A10:E10"/>
    <mergeCell ref="H5:L10"/>
    <mergeCell ref="A47:L47"/>
    <mergeCell ref="A44:H44"/>
    <mergeCell ref="A45:L45"/>
    <mergeCell ref="K41:L41"/>
    <mergeCell ref="H41:J41"/>
  </mergeCells>
  <printOptions horizontalCentered="1" verticalCentered="1"/>
  <pageMargins left="0.393700787401575" right="0.393700787401575" top="0.393700787401575" bottom="0.393700787401575" header="0.31496062992126" footer="0.31496062992126"/>
  <pageSetup orientation="portrait" paperSize="9" scale="97"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600-000000000000}">
  <sheetPr codeName="List2">
    <tabColor rgb="FFFFCCFF"/>
    <pageSetUpPr fitToPage="1"/>
  </sheetPr>
  <dimension ref="A1:BI96"/>
  <sheetViews>
    <sheetView workbookViewId="0" topLeftCell="A1">
      <selection pane="topLeft" activeCell="E4" sqref="E4:G4"/>
    </sheetView>
  </sheetViews>
  <sheetFormatPr defaultRowHeight="12.75"/>
  <cols>
    <col min="1" max="1" width="5" customWidth="1"/>
    <col min="3" max="3" width="10.5714285714286" customWidth="1"/>
    <col min="4" max="4" width="23.2857142857143" customWidth="1"/>
    <col min="5" max="10" width="8.71428571428571" customWidth="1"/>
    <col min="11" max="11" width="9.14285714285714" style="84"/>
    <col min="12" max="12" width="41.7142857142857" style="84" customWidth="1"/>
    <col min="13" max="18" width="14.7142857142857" style="84" customWidth="1"/>
    <col min="19" max="58" width="9.14285714285714" style="84"/>
  </cols>
  <sheetData>
    <row r="1" spans="1:10" ht="12.75">
      <c r="A1" s="988" t="s">
        <v>251</v>
      </c>
      <c r="B1" s="989"/>
      <c r="C1" s="989"/>
      <c r="D1" s="989"/>
      <c r="E1" s="989"/>
      <c r="F1" s="989"/>
      <c r="G1" s="990"/>
      <c r="H1" s="990"/>
      <c r="I1" s="990"/>
      <c r="J1" s="990"/>
    </row>
    <row r="2" spans="1:10" ht="13.5" thickBot="1">
      <c r="A2" s="978" t="s">
        <v>3549</v>
      </c>
      <c r="B2" s="979"/>
      <c r="C2" s="979"/>
      <c r="D2" s="979"/>
      <c r="E2" s="979"/>
      <c r="F2" s="979"/>
      <c r="G2" s="980"/>
      <c r="H2" s="980"/>
      <c r="I2" s="980"/>
      <c r="J2" s="980"/>
    </row>
    <row r="3" spans="1:18" ht="12" customHeight="1">
      <c r="A3" s="995"/>
      <c r="B3" s="996"/>
      <c r="C3" s="996"/>
      <c r="D3" s="997"/>
      <c r="E3" s="998" t="s">
        <v>186</v>
      </c>
      <c r="F3" s="998"/>
      <c r="G3" s="998"/>
      <c r="H3" s="998" t="s">
        <v>194</v>
      </c>
      <c r="I3" s="998"/>
      <c r="J3" s="999"/>
      <c r="L3" s="688" t="s">
        <v>3875</v>
      </c>
      <c r="M3" s="689" t="s">
        <v>3876</v>
      </c>
      <c r="N3" s="690" t="s">
        <v>3877</v>
      </c>
      <c r="O3" s="691" t="s">
        <v>3878</v>
      </c>
      <c r="P3" s="691" t="s">
        <v>3879</v>
      </c>
      <c r="Q3" s="691" t="s">
        <v>3880</v>
      </c>
      <c r="R3" s="692" t="s">
        <v>3881</v>
      </c>
    </row>
    <row r="4" spans="1:18" ht="15.95" customHeight="1">
      <c r="A4" s="23">
        <v>31</v>
      </c>
      <c r="B4" s="939" t="s">
        <v>249</v>
      </c>
      <c r="C4" s="946"/>
      <c r="D4" s="947"/>
      <c r="E4" s="955">
        <f>+M4</f>
        <v>0</v>
      </c>
      <c r="F4" s="956"/>
      <c r="G4" s="936"/>
      <c r="H4" s="966"/>
      <c r="I4" s="967"/>
      <c r="J4" s="968"/>
      <c r="L4" s="693" t="s">
        <v>3882</v>
      </c>
      <c r="M4" s="694">
        <f>+ROUND(SUM(N4:R4)+0.49,0)</f>
        <v>0</v>
      </c>
      <c r="N4" s="695">
        <v>0</v>
      </c>
      <c r="O4" s="696">
        <v>0</v>
      </c>
      <c r="P4" s="696">
        <v>0</v>
      </c>
      <c r="Q4" s="696">
        <v>0</v>
      </c>
      <c r="R4" s="697">
        <v>0</v>
      </c>
    </row>
    <row r="5" spans="1:18" ht="15.95" customHeight="1">
      <c r="A5" s="23">
        <v>32</v>
      </c>
      <c r="B5" s="939" t="s">
        <v>88</v>
      </c>
      <c r="C5" s="946"/>
      <c r="D5" s="947"/>
      <c r="E5" s="955">
        <f>+M5</f>
        <v>0</v>
      </c>
      <c r="F5" s="956"/>
      <c r="G5" s="936"/>
      <c r="H5" s="966"/>
      <c r="I5" s="967"/>
      <c r="J5" s="968"/>
      <c r="L5" s="693" t="s">
        <v>88</v>
      </c>
      <c r="M5" s="694">
        <f>+ROUND(SUM(N5:R5)+0.49,0)</f>
        <v>0</v>
      </c>
      <c r="N5" s="695">
        <v>0</v>
      </c>
      <c r="O5" s="696">
        <v>0</v>
      </c>
      <c r="P5" s="696">
        <v>0</v>
      </c>
      <c r="Q5" s="696">
        <v>0</v>
      </c>
      <c r="R5" s="697">
        <v>0</v>
      </c>
    </row>
    <row r="6" spans="1:18" ht="15.95" customHeight="1">
      <c r="A6" s="23">
        <v>33</v>
      </c>
      <c r="B6" s="939" t="s">
        <v>89</v>
      </c>
      <c r="C6" s="940"/>
      <c r="D6" s="941"/>
      <c r="E6" s="955">
        <v>0</v>
      </c>
      <c r="F6" s="956"/>
      <c r="G6" s="936"/>
      <c r="H6" s="966"/>
      <c r="I6" s="967"/>
      <c r="J6" s="968"/>
      <c r="L6" s="693" t="s">
        <v>3883</v>
      </c>
      <c r="M6" s="694">
        <f>+M4+M5</f>
        <v>0</v>
      </c>
      <c r="N6" s="698">
        <f>+N4+N5</f>
        <v>0</v>
      </c>
      <c r="O6" s="699">
        <f t="shared" si="0" ref="O6:Q6">+O4+O5</f>
        <v>0</v>
      </c>
      <c r="P6" s="699">
        <f t="shared" si="0"/>
        <v>0</v>
      </c>
      <c r="Q6" s="699">
        <f t="shared" si="0"/>
        <v>0</v>
      </c>
      <c r="R6" s="700">
        <f>+R4+R5</f>
        <v>0</v>
      </c>
    </row>
    <row r="7" spans="1:18" ht="15.95" customHeight="1">
      <c r="A7" s="23">
        <v>34</v>
      </c>
      <c r="B7" s="939" t="s">
        <v>3550</v>
      </c>
      <c r="C7" s="946"/>
      <c r="D7" s="947"/>
      <c r="E7" s="957">
        <f>+E4+E5-E6</f>
        <v>0</v>
      </c>
      <c r="F7" s="958"/>
      <c r="G7" s="959"/>
      <c r="H7" s="966"/>
      <c r="I7" s="967"/>
      <c r="J7" s="968"/>
      <c r="L7" s="693" t="s">
        <v>3884</v>
      </c>
      <c r="M7" s="694">
        <f>+ROUND(SUM(N7:R7)+0.49,0)</f>
        <v>0</v>
      </c>
      <c r="N7" s="695">
        <v>0</v>
      </c>
      <c r="O7" s="696">
        <v>0</v>
      </c>
      <c r="P7" s="696">
        <v>0</v>
      </c>
      <c r="Q7" s="696">
        <v>0</v>
      </c>
      <c r="R7" s="697">
        <v>0</v>
      </c>
    </row>
    <row r="8" spans="1:18" ht="24" customHeight="1" thickBot="1">
      <c r="A8" s="24">
        <v>35</v>
      </c>
      <c r="B8" s="963" t="s">
        <v>90</v>
      </c>
      <c r="C8" s="964"/>
      <c r="D8" s="965"/>
      <c r="E8" s="985">
        <v>0</v>
      </c>
      <c r="F8" s="986"/>
      <c r="G8" s="938"/>
      <c r="H8" s="972"/>
      <c r="I8" s="973"/>
      <c r="J8" s="974"/>
      <c r="L8" s="693" t="s">
        <v>3885</v>
      </c>
      <c r="M8" s="694">
        <f>+ROUND(SUM(N8:R8)+0.49,0)</f>
        <v>0</v>
      </c>
      <c r="N8" s="695">
        <v>0</v>
      </c>
      <c r="O8" s="696">
        <v>0</v>
      </c>
      <c r="P8" s="696">
        <v>0</v>
      </c>
      <c r="Q8" s="696">
        <v>0</v>
      </c>
      <c r="R8" s="697">
        <v>0</v>
      </c>
    </row>
    <row r="9" spans="1:18" ht="12.75" customHeight="1" thickBot="1">
      <c r="A9" s="978" t="s">
        <v>68</v>
      </c>
      <c r="B9" s="979"/>
      <c r="C9" s="979"/>
      <c r="D9" s="979"/>
      <c r="E9" s="979"/>
      <c r="F9" s="979"/>
      <c r="G9" s="980"/>
      <c r="H9" s="980"/>
      <c r="I9" s="980"/>
      <c r="J9" s="980"/>
      <c r="L9" s="701" t="s">
        <v>3886</v>
      </c>
      <c r="M9" s="702">
        <f>+ROUND(SUM(N9:R9)+0.49,0)</f>
        <v>0</v>
      </c>
      <c r="N9" s="703">
        <v>0</v>
      </c>
      <c r="O9" s="704">
        <v>0</v>
      </c>
      <c r="P9" s="704">
        <v>0</v>
      </c>
      <c r="Q9" s="704">
        <v>0</v>
      </c>
      <c r="R9" s="705">
        <v>0</v>
      </c>
    </row>
    <row r="10" spans="1:10" ht="15.95" customHeight="1">
      <c r="A10" s="129">
        <v>36</v>
      </c>
      <c r="B10" s="992" t="s">
        <v>69</v>
      </c>
      <c r="C10" s="993"/>
      <c r="D10" s="994"/>
      <c r="E10" s="960">
        <f>+E7</f>
        <v>0</v>
      </c>
      <c r="F10" s="961"/>
      <c r="G10" s="962"/>
      <c r="H10" s="975"/>
      <c r="I10" s="976"/>
      <c r="J10" s="977"/>
    </row>
    <row r="11" spans="1:10" ht="36" customHeight="1">
      <c r="A11" s="23" t="s">
        <v>211</v>
      </c>
      <c r="B11" s="939" t="s">
        <v>3551</v>
      </c>
      <c r="C11" s="946"/>
      <c r="D11" s="947"/>
      <c r="E11" s="955">
        <f>+E10</f>
        <v>0</v>
      </c>
      <c r="F11" s="956"/>
      <c r="G11" s="936"/>
      <c r="H11" s="181"/>
      <c r="I11" s="156"/>
      <c r="J11" s="182"/>
    </row>
    <row r="12" spans="1:10" ht="24" customHeight="1">
      <c r="A12" s="23">
        <v>37</v>
      </c>
      <c r="B12" s="939" t="s">
        <v>3764</v>
      </c>
      <c r="C12" s="946"/>
      <c r="D12" s="947"/>
      <c r="E12" s="957">
        <f>+'1Př1'!F25</f>
        <v>0</v>
      </c>
      <c r="F12" s="958"/>
      <c r="G12" s="959"/>
      <c r="H12" s="966"/>
      <c r="I12" s="967"/>
      <c r="J12" s="968"/>
    </row>
    <row r="13" spans="1:10" ht="15.95" customHeight="1">
      <c r="A13" s="23">
        <v>38</v>
      </c>
      <c r="B13" s="939" t="s">
        <v>291</v>
      </c>
      <c r="C13" s="940"/>
      <c r="D13" s="941"/>
      <c r="E13" s="955">
        <f>+ZAV!C32</f>
        <v>0</v>
      </c>
      <c r="F13" s="956"/>
      <c r="G13" s="936"/>
      <c r="H13" s="966"/>
      <c r="I13" s="967"/>
      <c r="J13" s="968"/>
    </row>
    <row r="14" spans="1:10" ht="24" customHeight="1">
      <c r="A14" s="23">
        <v>39</v>
      </c>
      <c r="B14" s="939" t="s">
        <v>3552</v>
      </c>
      <c r="C14" s="946"/>
      <c r="D14" s="947"/>
      <c r="E14" s="957">
        <f>+'2Př'!G18</f>
        <v>0</v>
      </c>
      <c r="F14" s="958"/>
      <c r="G14" s="959"/>
      <c r="H14" s="966"/>
      <c r="I14" s="967"/>
      <c r="J14" s="968"/>
    </row>
    <row r="15" spans="1:10" ht="24" customHeight="1">
      <c r="A15" s="23">
        <v>40</v>
      </c>
      <c r="B15" s="939" t="s">
        <v>252</v>
      </c>
      <c r="C15" s="940"/>
      <c r="D15" s="941"/>
      <c r="E15" s="957">
        <f>+'2Př'!G37</f>
        <v>0</v>
      </c>
      <c r="F15" s="958"/>
      <c r="G15" s="959"/>
      <c r="H15" s="966"/>
      <c r="I15" s="967"/>
      <c r="J15" s="968"/>
    </row>
    <row r="16" spans="1:10" ht="15.95" customHeight="1">
      <c r="A16" s="23">
        <v>41</v>
      </c>
      <c r="B16" s="939" t="s">
        <v>152</v>
      </c>
      <c r="C16" s="946"/>
      <c r="D16" s="947"/>
      <c r="E16" s="957">
        <f>SUM(E12:E15)</f>
        <v>0</v>
      </c>
      <c r="F16" s="958"/>
      <c r="G16" s="959"/>
      <c r="H16" s="966"/>
      <c r="I16" s="967"/>
      <c r="J16" s="968"/>
    </row>
    <row r="17" spans="1:10" ht="36" customHeight="1">
      <c r="A17" s="23" t="s">
        <v>212</v>
      </c>
      <c r="B17" s="939" t="s">
        <v>3553</v>
      </c>
      <c r="C17" s="946"/>
      <c r="D17" s="947"/>
      <c r="E17" s="955">
        <f>+E16</f>
        <v>0</v>
      </c>
      <c r="F17" s="956"/>
      <c r="G17" s="936"/>
      <c r="H17" s="177"/>
      <c r="I17" s="178"/>
      <c r="J17" s="179"/>
    </row>
    <row r="18" spans="1:10" ht="15.95" customHeight="1">
      <c r="A18" s="23">
        <v>42</v>
      </c>
      <c r="B18" s="942" t="s">
        <v>37</v>
      </c>
      <c r="C18" s="786"/>
      <c r="D18" s="943"/>
      <c r="E18" s="957">
        <f>+IF(E16&gt;0,E17+E11,E11)</f>
        <v>0</v>
      </c>
      <c r="F18" s="958"/>
      <c r="G18" s="959"/>
      <c r="H18" s="966"/>
      <c r="I18" s="967"/>
      <c r="J18" s="968"/>
    </row>
    <row r="19" spans="1:10" ht="36" customHeight="1">
      <c r="A19" s="180">
        <v>43</v>
      </c>
      <c r="B19" s="1002" t="s">
        <v>3554</v>
      </c>
      <c r="C19" s="1003"/>
      <c r="D19" s="1004"/>
      <c r="E19" s="955">
        <f>+E4</f>
        <v>0</v>
      </c>
      <c r="F19" s="956"/>
      <c r="G19" s="936"/>
      <c r="H19" s="966"/>
      <c r="I19" s="967"/>
      <c r="J19" s="968"/>
    </row>
    <row r="20" spans="1:11" ht="24" customHeight="1">
      <c r="A20" s="23">
        <v>44</v>
      </c>
      <c r="B20" s="939" t="s">
        <v>214</v>
      </c>
      <c r="C20" s="940"/>
      <c r="D20" s="941"/>
      <c r="E20" s="955">
        <v>0</v>
      </c>
      <c r="F20" s="956"/>
      <c r="G20" s="936"/>
      <c r="H20" s="966"/>
      <c r="I20" s="967"/>
      <c r="J20" s="968"/>
      <c r="K20" s="724" t="str">
        <f>+IF(EXACT(E21,"LIMIT"),"Vaše hodnoty překračují limity této bezplatné šablony - viz list UVOD"," ")</f>
        <v xml:space="preserve"> </v>
      </c>
    </row>
    <row r="21" spans="1:11" ht="15.95" customHeight="1" thickBot="1">
      <c r="A21" s="24">
        <v>45</v>
      </c>
      <c r="B21" s="963" t="s">
        <v>3555</v>
      </c>
      <c r="C21" s="964"/>
      <c r="D21" s="965"/>
      <c r="E21" s="982">
        <f>IF(E18&gt;400000,T("LIMIT"),+E18-E20)</f>
        <v>0</v>
      </c>
      <c r="F21" s="983"/>
      <c r="G21" s="984"/>
      <c r="H21" s="972"/>
      <c r="I21" s="973"/>
      <c r="J21" s="974"/>
      <c r="K21" s="724" t="str">
        <f>+IF(EXACT(E21,"LIMIT"),"Neomezenou verzi této šablony zakoupíte zde:"," ")</f>
        <v xml:space="preserve"> </v>
      </c>
    </row>
    <row r="22" spans="1:11" ht="15" customHeight="1" thickBot="1">
      <c r="A22" s="991" t="s">
        <v>66</v>
      </c>
      <c r="B22" s="834"/>
      <c r="C22" s="834"/>
      <c r="D22" s="834"/>
      <c r="E22" s="834"/>
      <c r="F22" s="834"/>
      <c r="G22" s="834"/>
      <c r="H22" s="834"/>
      <c r="I22" s="834"/>
      <c r="J22" s="834"/>
      <c r="K22" s="725" t="str">
        <f>+IF(EXACT(E21,"LIMIT"),"http://business.center.cz/business/sablony/s3-priznani-k-dani-z-prijmu-fyzickych-osob.aspx"," ")</f>
        <v xml:space="preserve"> </v>
      </c>
    </row>
    <row r="23" spans="1:12" ht="22.5" customHeight="1">
      <c r="A23" s="931" t="s">
        <v>124</v>
      </c>
      <c r="B23" s="932"/>
      <c r="C23" s="932"/>
      <c r="D23" s="933"/>
      <c r="E23" s="130" t="s">
        <v>289</v>
      </c>
      <c r="F23" s="970"/>
      <c r="G23" s="907"/>
      <c r="H23" s="130" t="s">
        <v>289</v>
      </c>
      <c r="I23" s="970"/>
      <c r="J23" s="971"/>
      <c r="L23" s="723"/>
    </row>
    <row r="24" spans="1:12" ht="15.95" customHeight="1">
      <c r="A24" s="50">
        <v>46</v>
      </c>
      <c r="B24" s="934" t="s">
        <v>91</v>
      </c>
      <c r="C24" s="934"/>
      <c r="D24" s="934"/>
      <c r="E24" s="161"/>
      <c r="F24" s="928">
        <v>0</v>
      </c>
      <c r="G24" s="936"/>
      <c r="H24" s="146"/>
      <c r="I24" s="899"/>
      <c r="J24" s="981"/>
      <c r="L24" s="726" t="str">
        <f>+IF(OR(AND(AND(0&lt;F24,F24&lt;E18*0.02),AND(0&lt;F24,F24&lt;1000)),F24&gt;E18*0.15),"CHYBA"," ")</f>
        <v xml:space="preserve"> </v>
      </c>
    </row>
    <row r="25" spans="1:12" ht="15.95" customHeight="1">
      <c r="A25" s="50">
        <v>47</v>
      </c>
      <c r="B25" s="934" t="s">
        <v>332</v>
      </c>
      <c r="C25" s="934"/>
      <c r="D25" s="935"/>
      <c r="E25" s="102"/>
      <c r="F25" s="928">
        <v>0</v>
      </c>
      <c r="G25" s="936"/>
      <c r="H25" s="146"/>
      <c r="I25" s="899"/>
      <c r="J25" s="987"/>
      <c r="L25" s="723" t="str">
        <f>+IF(F25&gt;300000,"CHYBA"," ")</f>
        <v xml:space="preserve"> </v>
      </c>
    </row>
    <row r="26" spans="1:12" ht="24" customHeight="1">
      <c r="A26" s="50">
        <v>48</v>
      </c>
      <c r="B26" s="914" t="s">
        <v>3556</v>
      </c>
      <c r="C26" s="914"/>
      <c r="D26" s="915"/>
      <c r="E26" s="161"/>
      <c r="F26" s="928">
        <v>0</v>
      </c>
      <c r="G26" s="936"/>
      <c r="H26" s="146"/>
      <c r="I26" s="899"/>
      <c r="J26" s="987"/>
      <c r="L26" s="723" t="str">
        <f>+IF(F26&gt;24000,"CHYBA"," ")</f>
        <v xml:space="preserve"> </v>
      </c>
    </row>
    <row r="27" spans="1:12" ht="15.95" customHeight="1">
      <c r="A27" s="50">
        <v>49</v>
      </c>
      <c r="B27" s="934" t="s">
        <v>3743</v>
      </c>
      <c r="C27" s="934"/>
      <c r="D27" s="934"/>
      <c r="E27" s="161"/>
      <c r="F27" s="928">
        <v>0</v>
      </c>
      <c r="G27" s="936"/>
      <c r="H27" s="146"/>
      <c r="I27" s="899"/>
      <c r="J27" s="987"/>
      <c r="L27" s="723" t="str">
        <f>+IF(F27&gt;24000,"CHYBA"," ")</f>
        <v xml:space="preserve"> </v>
      </c>
    </row>
    <row r="28" spans="1:12" ht="15.95" customHeight="1">
      <c r="A28" s="50">
        <v>50</v>
      </c>
      <c r="B28" s="934" t="s">
        <v>65</v>
      </c>
      <c r="C28" s="934"/>
      <c r="D28" s="934"/>
      <c r="E28" s="161"/>
      <c r="F28" s="928">
        <v>0</v>
      </c>
      <c r="G28" s="936"/>
      <c r="H28" s="146"/>
      <c r="I28" s="899"/>
      <c r="J28" s="987"/>
      <c r="L28" s="723" t="str">
        <f>+IF(OR(F28&gt;3000,F28&gt;0.015*E4),"CHYBA"," ")</f>
        <v xml:space="preserve"> </v>
      </c>
    </row>
    <row r="29" spans="1:12" ht="24" customHeight="1">
      <c r="A29" s="50">
        <v>51</v>
      </c>
      <c r="B29" s="914" t="s">
        <v>3744</v>
      </c>
      <c r="C29" s="914"/>
      <c r="D29" s="914"/>
      <c r="E29" s="161"/>
      <c r="F29" s="928">
        <v>0</v>
      </c>
      <c r="G29" s="936"/>
      <c r="H29" s="146"/>
      <c r="I29" s="899"/>
      <c r="J29" s="987"/>
      <c r="L29" s="723" t="str">
        <f>+IF(F29&gt;10000,"CHYBA"," ")</f>
        <v xml:space="preserve"> </v>
      </c>
    </row>
    <row r="30" spans="1:12" ht="15.95" customHeight="1">
      <c r="A30" s="50">
        <v>52</v>
      </c>
      <c r="B30" s="934" t="s">
        <v>3745</v>
      </c>
      <c r="C30" s="934"/>
      <c r="D30" s="934"/>
      <c r="E30" s="161"/>
      <c r="F30" s="928">
        <v>0</v>
      </c>
      <c r="G30" s="936"/>
      <c r="H30" s="146"/>
      <c r="I30" s="899"/>
      <c r="J30" s="987"/>
      <c r="L30" s="723"/>
    </row>
    <row r="31" spans="1:12" ht="15.95" customHeight="1">
      <c r="A31" s="50" t="s">
        <v>92</v>
      </c>
      <c r="B31" s="934" t="s">
        <v>3746</v>
      </c>
      <c r="C31" s="934"/>
      <c r="D31" s="934"/>
      <c r="E31" s="161"/>
      <c r="F31" s="928">
        <v>0</v>
      </c>
      <c r="G31" s="936"/>
      <c r="H31" s="146"/>
      <c r="I31" s="899"/>
      <c r="J31" s="987"/>
      <c r="L31" s="723"/>
    </row>
    <row r="32" spans="1:12" ht="15.95" customHeight="1" thickBot="1">
      <c r="A32" s="51">
        <v>53</v>
      </c>
      <c r="B32" s="76" t="s">
        <v>70</v>
      </c>
      <c r="C32" s="1000"/>
      <c r="D32" s="1001"/>
      <c r="E32" s="102"/>
      <c r="F32" s="937">
        <v>0</v>
      </c>
      <c r="G32" s="938"/>
      <c r="H32" s="146"/>
      <c r="I32" s="899"/>
      <c r="J32" s="987"/>
      <c r="L32" s="723"/>
    </row>
    <row r="33" spans="1:10" ht="6" customHeight="1" thickBot="1">
      <c r="A33" s="944"/>
      <c r="B33" s="945"/>
      <c r="C33" s="945"/>
      <c r="D33" s="945"/>
      <c r="E33" s="945"/>
      <c r="F33" s="945"/>
      <c r="G33" s="945"/>
      <c r="H33" s="945"/>
      <c r="I33" s="945"/>
      <c r="J33" s="945"/>
    </row>
    <row r="34" spans="1:10 59:61" ht="24" customHeight="1">
      <c r="A34" s="131">
        <v>54</v>
      </c>
      <c r="B34" s="904" t="s">
        <v>3557</v>
      </c>
      <c r="C34" s="904"/>
      <c r="D34" s="904"/>
      <c r="E34" s="905"/>
      <c r="F34" s="948">
        <f>+SUM('DAP2'!F24:G32)</f>
        <v>0</v>
      </c>
      <c r="G34" s="907"/>
      <c r="H34" s="908"/>
      <c r="I34" s="909"/>
      <c r="J34" s="910"/>
      <c r="BG34" s="84"/>
      <c r="BH34" s="84"/>
      <c r="BI34" s="84"/>
    </row>
    <row r="35" spans="1:10 59:61" ht="24" customHeight="1">
      <c r="A35" s="52">
        <v>55</v>
      </c>
      <c r="B35" s="914" t="s">
        <v>3558</v>
      </c>
      <c r="C35" s="946"/>
      <c r="D35" s="946"/>
      <c r="E35" s="947"/>
      <c r="F35" s="949">
        <f>MAX(+'DAP2'!E21-'DAP2'!F34,0)</f>
        <v>0</v>
      </c>
      <c r="G35" s="929"/>
      <c r="H35" s="899"/>
      <c r="I35" s="786"/>
      <c r="J35" s="900"/>
      <c r="BG35" s="84"/>
      <c r="BH35" s="84"/>
      <c r="BI35" s="84"/>
    </row>
    <row r="36" spans="1:10 59:61" ht="15" customHeight="1">
      <c r="A36" s="50">
        <v>56</v>
      </c>
      <c r="B36" s="934" t="s">
        <v>3708</v>
      </c>
      <c r="C36" s="934"/>
      <c r="D36" s="934"/>
      <c r="E36" s="935"/>
      <c r="F36" s="949">
        <f>+FLOOR(F35,100)</f>
        <v>0</v>
      </c>
      <c r="G36" s="950"/>
      <c r="H36" s="899"/>
      <c r="I36" s="786"/>
      <c r="J36" s="900"/>
      <c r="BG36" s="84"/>
      <c r="BH36" s="84"/>
      <c r="BI36" s="84"/>
    </row>
    <row r="37" spans="1:10 59:61" ht="15" customHeight="1" thickBot="1">
      <c r="A37" s="51">
        <v>57</v>
      </c>
      <c r="B37" s="951" t="s">
        <v>153</v>
      </c>
      <c r="C37" s="951"/>
      <c r="D37" s="951"/>
      <c r="E37" s="952"/>
      <c r="F37" s="953">
        <f>+F36*0.15</f>
        <v>0</v>
      </c>
      <c r="G37" s="954"/>
      <c r="H37" s="916"/>
      <c r="I37" s="917"/>
      <c r="J37" s="918"/>
      <c r="BG37" s="84"/>
      <c r="BH37" s="84"/>
      <c r="BI37" s="84"/>
    </row>
    <row r="38" spans="1:10" ht="15" customHeight="1" thickBot="1">
      <c r="A38" s="919" t="s">
        <v>367</v>
      </c>
      <c r="B38" s="920"/>
      <c r="C38" s="920"/>
      <c r="D38" s="920"/>
      <c r="E38" s="921"/>
      <c r="F38" s="921"/>
      <c r="G38" s="903"/>
      <c r="H38" s="903"/>
      <c r="I38" s="903"/>
      <c r="J38" s="903"/>
    </row>
    <row r="39" spans="1:10 59:61" ht="24" customHeight="1">
      <c r="A39" s="131">
        <v>58</v>
      </c>
      <c r="B39" s="904" t="s">
        <v>3559</v>
      </c>
      <c r="C39" s="904"/>
      <c r="D39" s="904"/>
      <c r="E39" s="905"/>
      <c r="F39" s="924">
        <f>+IF(OR(+'3Př'!F17+'3Př'!F20&gt;0),'3Př'!F20,F37)</f>
        <v>0</v>
      </c>
      <c r="G39" s="925"/>
      <c r="H39" s="908"/>
      <c r="I39" s="909"/>
      <c r="J39" s="910"/>
      <c r="BG39" s="84"/>
      <c r="BH39" s="84"/>
      <c r="BI39" s="84"/>
    </row>
    <row r="40" spans="1:10 59:61" ht="15.95" customHeight="1">
      <c r="A40" s="50">
        <v>59</v>
      </c>
      <c r="B40" s="914" t="s">
        <v>118</v>
      </c>
      <c r="C40" s="914"/>
      <c r="D40" s="914"/>
      <c r="E40" s="915"/>
      <c r="F40" s="926">
        <f>+MAX(0,(E4+E12-1355136-FLOOR(E8/1.34,1))*0.07)</f>
        <v>0</v>
      </c>
      <c r="G40" s="927"/>
      <c r="H40" s="899"/>
      <c r="I40" s="786"/>
      <c r="J40" s="900"/>
      <c r="BG40" s="84"/>
      <c r="BH40" s="84"/>
      <c r="BI40" s="84"/>
    </row>
    <row r="41" spans="1:10 59:61" ht="15" customHeight="1">
      <c r="A41" s="50">
        <v>60</v>
      </c>
      <c r="B41" s="914" t="s">
        <v>3560</v>
      </c>
      <c r="C41" s="914"/>
      <c r="D41" s="914"/>
      <c r="E41" s="915"/>
      <c r="F41" s="928">
        <f>+IF(F37=F39,CEILING(F39+F40,1),CEILING(F39,1))</f>
        <v>0</v>
      </c>
      <c r="G41" s="929"/>
      <c r="H41" s="899"/>
      <c r="I41" s="786"/>
      <c r="J41" s="900"/>
      <c r="BG41" s="84"/>
      <c r="BH41" s="84"/>
      <c r="BI41" s="84"/>
    </row>
    <row r="42" spans="1:10 59:61" ht="24" customHeight="1" thickBot="1">
      <c r="A42" s="299">
        <v>61</v>
      </c>
      <c r="B42" s="922" t="s">
        <v>71</v>
      </c>
      <c r="C42" s="922"/>
      <c r="D42" s="922"/>
      <c r="E42" s="923"/>
      <c r="F42" s="953">
        <f>IF('DAP2'!E16&lt;0,-'DAP2'!E16,0)</f>
        <v>0</v>
      </c>
      <c r="G42" s="969"/>
      <c r="H42" s="911"/>
      <c r="I42" s="912"/>
      <c r="J42" s="913"/>
      <c r="BG42" s="84"/>
      <c r="BH42" s="84"/>
      <c r="BI42" s="84"/>
    </row>
    <row r="43" spans="1:10" ht="15" customHeight="1" thickBot="1">
      <c r="A43" s="901" t="s">
        <v>392</v>
      </c>
      <c r="B43" s="902"/>
      <c r="C43" s="902"/>
      <c r="D43" s="902"/>
      <c r="E43" s="902"/>
      <c r="F43" s="902"/>
      <c r="G43" s="903"/>
      <c r="H43" s="903"/>
      <c r="I43" s="903"/>
      <c r="J43" s="903"/>
    </row>
    <row r="44" spans="1:10" ht="15.95" customHeight="1">
      <c r="A44" s="131">
        <v>62</v>
      </c>
      <c r="B44" s="904" t="s">
        <v>253</v>
      </c>
      <c r="C44" s="904"/>
      <c r="D44" s="904"/>
      <c r="E44" s="905"/>
      <c r="F44" s="906">
        <v>0</v>
      </c>
      <c r="G44" s="907"/>
      <c r="H44" s="908"/>
      <c r="I44" s="909"/>
      <c r="J44" s="910"/>
    </row>
    <row r="45" spans="1:10" ht="15.95" customHeight="1" thickBot="1">
      <c r="A45" s="50">
        <v>63</v>
      </c>
      <c r="B45" s="914" t="s">
        <v>257</v>
      </c>
      <c r="C45" s="914"/>
      <c r="D45" s="914"/>
      <c r="E45" s="915"/>
      <c r="F45" s="928">
        <v>0</v>
      </c>
      <c r="G45" s="929"/>
      <c r="H45" s="899"/>
      <c r="I45" s="786"/>
      <c r="J45" s="900"/>
    </row>
    <row r="46" spans="1:10" ht="12" customHeight="1">
      <c r="A46" s="930">
        <v>2</v>
      </c>
      <c r="B46" s="930"/>
      <c r="C46" s="930"/>
      <c r="D46" s="930"/>
      <c r="E46" s="930"/>
      <c r="F46" s="930"/>
      <c r="G46" s="930"/>
      <c r="H46" s="930"/>
      <c r="I46" s="930"/>
      <c r="J46" s="930"/>
    </row>
    <row r="47" spans="1:10" ht="12.75">
      <c r="A47" s="84"/>
      <c r="B47" s="84"/>
      <c r="C47" s="84"/>
      <c r="D47" s="84"/>
      <c r="E47" s="84"/>
      <c r="F47" s="84"/>
      <c r="G47" s="84"/>
      <c r="H47" s="84"/>
      <c r="I47" s="84"/>
      <c r="J47" s="84"/>
    </row>
    <row r="48" spans="1:10" ht="12.75">
      <c r="A48" s="84"/>
      <c r="B48" s="84"/>
      <c r="C48" s="84"/>
      <c r="D48" s="84"/>
      <c r="E48" s="84"/>
      <c r="F48" s="84"/>
      <c r="G48" s="84"/>
      <c r="H48" s="84"/>
      <c r="I48" s="84"/>
      <c r="J48" s="84"/>
    </row>
    <row r="49" spans="1:10" ht="12.75">
      <c r="A49" s="84"/>
      <c r="B49" s="84"/>
      <c r="C49" s="84"/>
      <c r="D49" s="84"/>
      <c r="E49" s="84"/>
      <c r="F49" s="84"/>
      <c r="G49" s="84"/>
      <c r="H49" s="84"/>
      <c r="I49" s="84"/>
      <c r="J49" s="84"/>
    </row>
    <row r="50" spans="1:10" ht="12.75">
      <c r="A50" s="84"/>
      <c r="B50" s="84"/>
      <c r="C50" s="84"/>
      <c r="D50" s="84"/>
      <c r="E50" s="84"/>
      <c r="F50" s="84"/>
      <c r="G50" s="84"/>
      <c r="H50" s="84"/>
      <c r="I50" s="84"/>
      <c r="J50" s="84"/>
    </row>
    <row r="51" spans="1:10" ht="12.75">
      <c r="A51" s="84"/>
      <c r="B51" s="84"/>
      <c r="C51" s="84"/>
      <c r="D51" s="84"/>
      <c r="E51" s="84"/>
      <c r="F51" s="84"/>
      <c r="G51" s="84"/>
      <c r="H51" s="84"/>
      <c r="I51" s="84"/>
      <c r="J51" s="84"/>
    </row>
    <row r="52" spans="1:10" ht="12.75">
      <c r="A52" s="84"/>
      <c r="B52" s="84"/>
      <c r="C52" s="84"/>
      <c r="D52" s="84"/>
      <c r="E52" s="84"/>
      <c r="F52" s="84"/>
      <c r="G52" s="84"/>
      <c r="H52" s="84"/>
      <c r="I52" s="84"/>
      <c r="J52" s="84"/>
    </row>
    <row r="53" spans="1:10" ht="12.75">
      <c r="A53" s="84"/>
      <c r="B53" s="84"/>
      <c r="C53" s="84"/>
      <c r="D53" s="84"/>
      <c r="E53" s="84"/>
      <c r="F53" s="84"/>
      <c r="G53" s="84"/>
      <c r="H53" s="84"/>
      <c r="I53" s="84"/>
      <c r="J53" s="84"/>
    </row>
    <row r="54" spans="1:10" ht="12.75">
      <c r="A54" s="84"/>
      <c r="B54" s="84"/>
      <c r="C54" s="84"/>
      <c r="D54" s="84"/>
      <c r="E54" s="84"/>
      <c r="F54" s="84"/>
      <c r="G54" s="84"/>
      <c r="H54" s="84"/>
      <c r="I54" s="84"/>
      <c r="J54" s="84"/>
    </row>
    <row r="55" spans="1:10" ht="12.75">
      <c r="A55" s="84"/>
      <c r="B55" s="84"/>
      <c r="C55" s="84"/>
      <c r="D55" s="84"/>
      <c r="E55" s="84"/>
      <c r="F55" s="84"/>
      <c r="G55" s="84"/>
      <c r="H55" s="84"/>
      <c r="I55" s="84"/>
      <c r="J55" s="84"/>
    </row>
    <row r="56" spans="1:10" ht="12.75">
      <c r="A56" s="84"/>
      <c r="B56" s="84"/>
      <c r="C56" s="84"/>
      <c r="D56" s="84"/>
      <c r="E56" s="84"/>
      <c r="F56" s="84"/>
      <c r="G56" s="84"/>
      <c r="H56" s="84"/>
      <c r="I56" s="84"/>
      <c r="J56" s="84"/>
    </row>
    <row r="57" spans="1:10" ht="12.75">
      <c r="A57" s="84"/>
      <c r="B57" s="84"/>
      <c r="C57" s="84"/>
      <c r="D57" s="84"/>
      <c r="E57" s="84"/>
      <c r="F57" s="84"/>
      <c r="G57" s="84"/>
      <c r="H57" s="84"/>
      <c r="I57" s="84"/>
      <c r="J57" s="84"/>
    </row>
    <row r="58" spans="1:10" ht="12.75">
      <c r="A58" s="84"/>
      <c r="B58" s="84"/>
      <c r="C58" s="84"/>
      <c r="D58" s="84"/>
      <c r="E58" s="84"/>
      <c r="F58" s="84"/>
      <c r="G58" s="84"/>
      <c r="H58" s="84"/>
      <c r="I58" s="84"/>
      <c r="J58" s="84"/>
    </row>
    <row r="59" spans="1:10" ht="12.75">
      <c r="A59" s="84"/>
      <c r="B59" s="84"/>
      <c r="C59" s="84"/>
      <c r="D59" s="84"/>
      <c r="E59" s="84"/>
      <c r="F59" s="84"/>
      <c r="G59" s="84"/>
      <c r="H59" s="84"/>
      <c r="I59" s="84"/>
      <c r="J59" s="84"/>
    </row>
    <row r="60" spans="1:10" ht="12.75">
      <c r="A60" s="84"/>
      <c r="B60" s="84"/>
      <c r="C60" s="84"/>
      <c r="D60" s="84"/>
      <c r="E60" s="84"/>
      <c r="F60" s="84"/>
      <c r="G60" s="84"/>
      <c r="H60" s="84"/>
      <c r="I60" s="84"/>
      <c r="J60" s="84"/>
    </row>
    <row r="61" spans="1:10" ht="12.75">
      <c r="A61" s="84"/>
      <c r="B61" s="84"/>
      <c r="C61" s="84"/>
      <c r="D61" s="84"/>
      <c r="E61" s="84"/>
      <c r="F61" s="84"/>
      <c r="G61" s="84"/>
      <c r="H61" s="84"/>
      <c r="I61" s="84"/>
      <c r="J61" s="84"/>
    </row>
    <row r="62" spans="1:10" ht="12.75">
      <c r="A62" s="84"/>
      <c r="B62" s="84"/>
      <c r="C62" s="84"/>
      <c r="D62" s="84"/>
      <c r="E62" s="84"/>
      <c r="F62" s="84"/>
      <c r="G62" s="84"/>
      <c r="H62" s="84"/>
      <c r="I62" s="84"/>
      <c r="J62" s="84"/>
    </row>
    <row r="63" spans="1:10" ht="12.75">
      <c r="A63" s="84"/>
      <c r="B63" s="84"/>
      <c r="C63" s="84"/>
      <c r="D63" s="84"/>
      <c r="E63" s="84"/>
      <c r="F63" s="84"/>
      <c r="G63" s="84"/>
      <c r="H63" s="84"/>
      <c r="I63" s="84"/>
      <c r="J63" s="84"/>
    </row>
    <row r="64" spans="1:10" ht="12.75">
      <c r="A64" s="84"/>
      <c r="B64" s="84"/>
      <c r="C64" s="84"/>
      <c r="D64" s="84"/>
      <c r="E64" s="84"/>
      <c r="F64" s="84"/>
      <c r="G64" s="84"/>
      <c r="H64" s="84"/>
      <c r="I64" s="84"/>
      <c r="J64" s="84"/>
    </row>
    <row r="65" spans="1:10" ht="12.75">
      <c r="A65" s="84"/>
      <c r="B65" s="84"/>
      <c r="C65" s="84"/>
      <c r="D65" s="84"/>
      <c r="E65" s="84"/>
      <c r="F65" s="84"/>
      <c r="G65" s="84"/>
      <c r="H65" s="84"/>
      <c r="I65" s="84"/>
      <c r="J65" s="84"/>
    </row>
    <row r="66" spans="1:10" ht="12.75">
      <c r="A66" s="84"/>
      <c r="B66" s="84"/>
      <c r="C66" s="84"/>
      <c r="D66" s="84"/>
      <c r="E66" s="84"/>
      <c r="F66" s="84"/>
      <c r="G66" s="84"/>
      <c r="H66" s="84"/>
      <c r="I66" s="84"/>
      <c r="J66" s="84"/>
    </row>
    <row r="67" spans="1:10" ht="12.75">
      <c r="A67" s="84"/>
      <c r="B67" s="84"/>
      <c r="C67" s="84"/>
      <c r="D67" s="84"/>
      <c r="E67" s="84"/>
      <c r="F67" s="84"/>
      <c r="G67" s="84"/>
      <c r="H67" s="84"/>
      <c r="I67" s="84"/>
      <c r="J67" s="84"/>
    </row>
    <row r="68" spans="1:10" ht="12.75">
      <c r="A68" s="84"/>
      <c r="B68" s="84"/>
      <c r="C68" s="84"/>
      <c r="D68" s="84"/>
      <c r="E68" s="84"/>
      <c r="F68" s="84"/>
      <c r="G68" s="84"/>
      <c r="H68" s="84"/>
      <c r="I68" s="84"/>
      <c r="J68" s="84"/>
    </row>
    <row r="69" spans="1:10" ht="12.75">
      <c r="A69" s="84"/>
      <c r="B69" s="84"/>
      <c r="C69" s="84"/>
      <c r="D69" s="84"/>
      <c r="E69" s="84"/>
      <c r="F69" s="84"/>
      <c r="G69" s="84"/>
      <c r="H69" s="84"/>
      <c r="I69" s="84"/>
      <c r="J69" s="84"/>
    </row>
    <row r="70" spans="1:10" ht="12.75">
      <c r="A70" s="84"/>
      <c r="B70" s="84"/>
      <c r="C70" s="84"/>
      <c r="D70" s="84"/>
      <c r="E70" s="84"/>
      <c r="F70" s="84"/>
      <c r="G70" s="84"/>
      <c r="H70" s="84"/>
      <c r="I70" s="84"/>
      <c r="J70" s="84"/>
    </row>
    <row r="71" spans="1:10" ht="12.75">
      <c r="A71" s="84"/>
      <c r="B71" s="84"/>
      <c r="C71" s="84"/>
      <c r="D71" s="84"/>
      <c r="E71" s="84"/>
      <c r="F71" s="84"/>
      <c r="G71" s="84"/>
      <c r="H71" s="84"/>
      <c r="I71" s="84"/>
      <c r="J71" s="84"/>
    </row>
    <row r="72" spans="1:10" ht="12.75">
      <c r="A72" s="84"/>
      <c r="B72" s="84"/>
      <c r="C72" s="84"/>
      <c r="D72" s="84"/>
      <c r="E72" s="84"/>
      <c r="F72" s="84"/>
      <c r="G72" s="84"/>
      <c r="H72" s="84"/>
      <c r="I72" s="84"/>
      <c r="J72" s="84"/>
    </row>
    <row r="73" spans="1:10" ht="12.75">
      <c r="A73" s="84"/>
      <c r="B73" s="84"/>
      <c r="C73" s="84"/>
      <c r="D73" s="84"/>
      <c r="E73" s="84"/>
      <c r="F73" s="84"/>
      <c r="G73" s="84"/>
      <c r="H73" s="84"/>
      <c r="I73" s="84"/>
      <c r="J73" s="84"/>
    </row>
    <row r="74" spans="1:10" ht="12.75">
      <c r="A74" s="84"/>
      <c r="B74" s="84"/>
      <c r="C74" s="84"/>
      <c r="D74" s="84"/>
      <c r="E74" s="84"/>
      <c r="F74" s="84"/>
      <c r="G74" s="84"/>
      <c r="H74" s="84"/>
      <c r="I74" s="84"/>
      <c r="J74" s="84"/>
    </row>
    <row r="75" spans="1:10" ht="12.75">
      <c r="A75" s="84"/>
      <c r="B75" s="84"/>
      <c r="C75" s="84"/>
      <c r="D75" s="84"/>
      <c r="E75" s="84"/>
      <c r="F75" s="84"/>
      <c r="G75" s="84"/>
      <c r="H75" s="84"/>
      <c r="I75" s="84"/>
      <c r="J75" s="84"/>
    </row>
    <row r="76" spans="1:10" ht="12.75">
      <c r="A76" s="84"/>
      <c r="B76" s="84"/>
      <c r="C76" s="84"/>
      <c r="D76" s="84"/>
      <c r="E76" s="84"/>
      <c r="F76" s="84"/>
      <c r="G76" s="84"/>
      <c r="H76" s="84"/>
      <c r="I76" s="84"/>
      <c r="J76" s="84"/>
    </row>
    <row r="77" spans="1:10" ht="12.75">
      <c r="A77" s="84"/>
      <c r="B77" s="84"/>
      <c r="C77" s="84"/>
      <c r="D77" s="84"/>
      <c r="E77" s="84"/>
      <c r="F77" s="84"/>
      <c r="G77" s="84"/>
      <c r="H77" s="84"/>
      <c r="I77" s="84"/>
      <c r="J77" s="84"/>
    </row>
    <row r="78" spans="1:10" ht="12.75">
      <c r="A78" s="84"/>
      <c r="B78" s="84"/>
      <c r="C78" s="84"/>
      <c r="D78" s="84"/>
      <c r="E78" s="84"/>
      <c r="F78" s="84"/>
      <c r="G78" s="84"/>
      <c r="H78" s="84"/>
      <c r="I78" s="84"/>
      <c r="J78" s="84"/>
    </row>
    <row r="79" spans="1:10" ht="12.75">
      <c r="A79" s="84"/>
      <c r="B79" s="84"/>
      <c r="C79" s="84"/>
      <c r="D79" s="84"/>
      <c r="E79" s="84"/>
      <c r="F79" s="84"/>
      <c r="G79" s="84"/>
      <c r="H79" s="84"/>
      <c r="I79" s="84"/>
      <c r="J79" s="84"/>
    </row>
    <row r="80" spans="1:10" ht="12.75">
      <c r="A80" s="84"/>
      <c r="B80" s="84"/>
      <c r="C80" s="84"/>
      <c r="D80" s="84"/>
      <c r="E80" s="84"/>
      <c r="F80" s="84"/>
      <c r="G80" s="84"/>
      <c r="H80" s="84"/>
      <c r="I80" s="84"/>
      <c r="J80" s="84"/>
    </row>
    <row r="81" spans="1:10" ht="12.75">
      <c r="A81" s="84"/>
      <c r="B81" s="84"/>
      <c r="C81" s="84"/>
      <c r="D81" s="84"/>
      <c r="E81" s="84"/>
      <c r="F81" s="84"/>
      <c r="G81" s="84"/>
      <c r="H81" s="84"/>
      <c r="I81" s="84"/>
      <c r="J81" s="84"/>
    </row>
    <row r="82" spans="1:10" ht="12.75">
      <c r="A82" s="84"/>
      <c r="B82" s="84"/>
      <c r="C82" s="84"/>
      <c r="D82" s="84"/>
      <c r="E82" s="84"/>
      <c r="F82" s="84"/>
      <c r="G82" s="84"/>
      <c r="H82" s="84"/>
      <c r="I82" s="84"/>
      <c r="J82" s="84"/>
    </row>
    <row r="83" spans="1:10" ht="12.75">
      <c r="A83" s="84"/>
      <c r="B83" s="84"/>
      <c r="C83" s="84"/>
      <c r="D83" s="84"/>
      <c r="E83" s="84"/>
      <c r="F83" s="84"/>
      <c r="G83" s="84"/>
      <c r="H83" s="84"/>
      <c r="I83" s="84"/>
      <c r="J83" s="84"/>
    </row>
    <row r="84" spans="1:10" ht="12.75">
      <c r="A84" s="84"/>
      <c r="B84" s="84"/>
      <c r="C84" s="84"/>
      <c r="D84" s="84"/>
      <c r="E84" s="84"/>
      <c r="F84" s="84"/>
      <c r="G84" s="84"/>
      <c r="H84" s="84"/>
      <c r="I84" s="84"/>
      <c r="J84" s="84"/>
    </row>
    <row r="85" spans="1:10" ht="12.75">
      <c r="A85" s="84"/>
      <c r="B85" s="84"/>
      <c r="C85" s="84"/>
      <c r="D85" s="84"/>
      <c r="E85" s="84"/>
      <c r="F85" s="84"/>
      <c r="G85" s="84"/>
      <c r="H85" s="84"/>
      <c r="I85" s="84"/>
      <c r="J85" s="84"/>
    </row>
    <row r="86" spans="1:10" ht="12.75">
      <c r="A86" s="84"/>
      <c r="B86" s="84"/>
      <c r="C86" s="84"/>
      <c r="D86" s="84"/>
      <c r="E86" s="84"/>
      <c r="F86" s="84"/>
      <c r="G86" s="84"/>
      <c r="H86" s="84"/>
      <c r="I86" s="84"/>
      <c r="J86" s="84"/>
    </row>
    <row r="87" spans="1:10" ht="12.75">
      <c r="A87" s="84"/>
      <c r="B87" s="84"/>
      <c r="C87" s="84"/>
      <c r="D87" s="84"/>
      <c r="E87" s="84"/>
      <c r="F87" s="84"/>
      <c r="G87" s="84"/>
      <c r="H87" s="84"/>
      <c r="I87" s="84"/>
      <c r="J87" s="84"/>
    </row>
    <row r="88" spans="1:10" ht="12.75">
      <c r="A88" s="84"/>
      <c r="B88" s="84"/>
      <c r="C88" s="84"/>
      <c r="D88" s="84"/>
      <c r="E88" s="84"/>
      <c r="F88" s="84"/>
      <c r="G88" s="84"/>
      <c r="H88" s="84"/>
      <c r="I88" s="84"/>
      <c r="J88" s="84"/>
    </row>
    <row r="89" spans="1:10" ht="12.75">
      <c r="A89" s="84"/>
      <c r="B89" s="84"/>
      <c r="C89" s="84"/>
      <c r="D89" s="84"/>
      <c r="E89" s="84"/>
      <c r="F89" s="84"/>
      <c r="G89" s="84"/>
      <c r="H89" s="84"/>
      <c r="I89" s="84"/>
      <c r="J89" s="84"/>
    </row>
    <row r="90" spans="1:10" ht="12.75">
      <c r="A90" s="84"/>
      <c r="B90" s="84"/>
      <c r="C90" s="84"/>
      <c r="D90" s="84"/>
      <c r="E90" s="84"/>
      <c r="F90" s="84"/>
      <c r="G90" s="84"/>
      <c r="H90" s="84"/>
      <c r="I90" s="84"/>
      <c r="J90" s="84"/>
    </row>
    <row r="91" spans="1:10" ht="12.75">
      <c r="A91" s="84"/>
      <c r="B91" s="84"/>
      <c r="C91" s="84"/>
      <c r="D91" s="84"/>
      <c r="E91" s="84"/>
      <c r="F91" s="84"/>
      <c r="G91" s="84"/>
      <c r="H91" s="84"/>
      <c r="I91" s="84"/>
      <c r="J91" s="84"/>
    </row>
    <row r="92" spans="1:10" ht="12.75">
      <c r="A92" s="84"/>
      <c r="B92" s="84"/>
      <c r="C92" s="84"/>
      <c r="D92" s="84"/>
      <c r="E92" s="84"/>
      <c r="F92" s="84"/>
      <c r="G92" s="84"/>
      <c r="H92" s="84"/>
      <c r="I92" s="84"/>
      <c r="J92" s="84"/>
    </row>
    <row r="93" spans="1:10" ht="12.75">
      <c r="A93" s="84"/>
      <c r="B93" s="84"/>
      <c r="C93" s="84"/>
      <c r="D93" s="84"/>
      <c r="E93" s="84"/>
      <c r="F93" s="84"/>
      <c r="G93" s="84"/>
      <c r="H93" s="84"/>
      <c r="I93" s="84"/>
      <c r="J93" s="84"/>
    </row>
    <row r="94" spans="1:10" ht="12.75">
      <c r="A94" s="84"/>
      <c r="B94" s="84"/>
      <c r="C94" s="84"/>
      <c r="D94" s="84"/>
      <c r="E94" s="84"/>
      <c r="F94" s="84"/>
      <c r="G94" s="84"/>
      <c r="H94" s="84"/>
      <c r="I94" s="84"/>
      <c r="J94" s="84"/>
    </row>
    <row r="95" spans="1:10" ht="12.75">
      <c r="A95" s="84"/>
      <c r="B95" s="84"/>
      <c r="C95" s="84"/>
      <c r="D95" s="84"/>
      <c r="E95" s="84"/>
      <c r="F95" s="84"/>
      <c r="G95" s="84"/>
      <c r="H95" s="84"/>
      <c r="I95" s="84"/>
      <c r="J95" s="84"/>
    </row>
    <row r="96" spans="1:10" ht="12.75">
      <c r="A96" s="84"/>
      <c r="B96" s="84"/>
      <c r="C96" s="84"/>
      <c r="D96" s="84"/>
      <c r="E96" s="84"/>
      <c r="F96" s="84"/>
      <c r="G96" s="84"/>
      <c r="H96" s="84"/>
      <c r="I96" s="84"/>
      <c r="J96" s="84"/>
    </row>
    <row r="97" s="84" customFormat="1" ht="12.75"/>
    <row r="98" s="84" customFormat="1" ht="12.75"/>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sheetData>
  <sheetProtection password="EF65" sheet="1" objects="1" scenarios="1"/>
  <mergeCells count="120">
    <mergeCell ref="H13:J13"/>
    <mergeCell ref="H14:J14"/>
    <mergeCell ref="B11:D11"/>
    <mergeCell ref="I29:J29"/>
    <mergeCell ref="I30:J30"/>
    <mergeCell ref="I32:J32"/>
    <mergeCell ref="I26:J26"/>
    <mergeCell ref="I27:J27"/>
    <mergeCell ref="I28:J28"/>
    <mergeCell ref="I31:J31"/>
    <mergeCell ref="B26:D26"/>
    <mergeCell ref="B27:D27"/>
    <mergeCell ref="B28:D28"/>
    <mergeCell ref="C32:D32"/>
    <mergeCell ref="F30:G30"/>
    <mergeCell ref="B29:D29"/>
    <mergeCell ref="B30:D30"/>
    <mergeCell ref="F28:G28"/>
    <mergeCell ref="F29:G29"/>
    <mergeCell ref="B31:D31"/>
    <mergeCell ref="F31:G31"/>
    <mergeCell ref="B21:D21"/>
    <mergeCell ref="B19:D19"/>
    <mergeCell ref="E12:G12"/>
    <mergeCell ref="I25:J25"/>
    <mergeCell ref="F24:G24"/>
    <mergeCell ref="B24:D24"/>
    <mergeCell ref="A1:J1"/>
    <mergeCell ref="B15:D15"/>
    <mergeCell ref="B16:D16"/>
    <mergeCell ref="A2:J2"/>
    <mergeCell ref="E14:G14"/>
    <mergeCell ref="B14:D14"/>
    <mergeCell ref="B4:D4"/>
    <mergeCell ref="E4:G4"/>
    <mergeCell ref="H4:J4"/>
    <mergeCell ref="E15:G15"/>
    <mergeCell ref="H15:J15"/>
    <mergeCell ref="H16:J16"/>
    <mergeCell ref="H19:J19"/>
    <mergeCell ref="E19:G19"/>
    <mergeCell ref="A22:J22"/>
    <mergeCell ref="B10:D10"/>
    <mergeCell ref="B12:D12"/>
    <mergeCell ref="E20:G20"/>
    <mergeCell ref="A3:D3"/>
    <mergeCell ref="E3:G3"/>
    <mergeCell ref="H3:J3"/>
    <mergeCell ref="B7:D7"/>
    <mergeCell ref="E7:G7"/>
    <mergeCell ref="H7:J7"/>
    <mergeCell ref="B5:D5"/>
    <mergeCell ref="E8:G8"/>
    <mergeCell ref="H8:J8"/>
    <mergeCell ref="E5:G5"/>
    <mergeCell ref="H5:J5"/>
    <mergeCell ref="B6:D6"/>
    <mergeCell ref="E13:G13"/>
    <mergeCell ref="E16:G16"/>
    <mergeCell ref="E10:G10"/>
    <mergeCell ref="B8:D8"/>
    <mergeCell ref="E6:G6"/>
    <mergeCell ref="H6:J6"/>
    <mergeCell ref="F42:G42"/>
    <mergeCell ref="F23:G23"/>
    <mergeCell ref="I23:J23"/>
    <mergeCell ref="H21:J21"/>
    <mergeCell ref="H20:J20"/>
    <mergeCell ref="H12:J12"/>
    <mergeCell ref="H10:J10"/>
    <mergeCell ref="A9:J9"/>
    <mergeCell ref="H40:J40"/>
    <mergeCell ref="E11:G11"/>
    <mergeCell ref="B17:D17"/>
    <mergeCell ref="E17:G17"/>
    <mergeCell ref="B20:D20"/>
    <mergeCell ref="H18:J18"/>
    <mergeCell ref="I24:J24"/>
    <mergeCell ref="H34:J34"/>
    <mergeCell ref="E21:G21"/>
    <mergeCell ref="E18:G18"/>
    <mergeCell ref="A46:J46"/>
    <mergeCell ref="A23:D23"/>
    <mergeCell ref="B25:D25"/>
    <mergeCell ref="F25:G25"/>
    <mergeCell ref="F26:G26"/>
    <mergeCell ref="F27:G27"/>
    <mergeCell ref="F32:G32"/>
    <mergeCell ref="B13:D13"/>
    <mergeCell ref="B18:D18"/>
    <mergeCell ref="A33:J33"/>
    <mergeCell ref="B34:E34"/>
    <mergeCell ref="B35:E35"/>
    <mergeCell ref="B36:E36"/>
    <mergeCell ref="F34:G34"/>
    <mergeCell ref="F35:G35"/>
    <mergeCell ref="F36:G36"/>
    <mergeCell ref="B40:E40"/>
    <mergeCell ref="H35:J35"/>
    <mergeCell ref="H36:J36"/>
    <mergeCell ref="B37:E37"/>
    <mergeCell ref="F37:G37"/>
    <mergeCell ref="B45:E45"/>
    <mergeCell ref="F45:G45"/>
    <mergeCell ref="H39:J39"/>
    <mergeCell ref="H45:J45"/>
    <mergeCell ref="A43:J43"/>
    <mergeCell ref="B44:E44"/>
    <mergeCell ref="F44:G44"/>
    <mergeCell ref="H44:J44"/>
    <mergeCell ref="H41:J41"/>
    <mergeCell ref="H42:J42"/>
    <mergeCell ref="B41:E41"/>
    <mergeCell ref="H37:J37"/>
    <mergeCell ref="A38:J38"/>
    <mergeCell ref="B39:E39"/>
    <mergeCell ref="B42:E42"/>
    <mergeCell ref="F39:G39"/>
    <mergeCell ref="F40:G40"/>
    <mergeCell ref="F41:G41"/>
  </mergeCells>
  <hyperlinks>
    <hyperlink ref="K22" r:id="rId1" display="http://business.center.cz/business/sablony/s3-priznani-k-dani-z-prijmu-fyzickych-osob.aspx"/>
  </hyperlinks>
  <printOptions horizontalCentered="1" verticalCentered="1"/>
  <pageMargins left="0.393700787401575" right="0.393700787401575" top="0.393700787401575" bottom="0.393700787401575" header="0.511811023622047" footer="0.511811023622047"/>
  <pageSetup orientation="portrait" paperSize="9" scale="94" r:id="rId4"/>
  <headerFooter alignWithMargins="0"/>
  <legacyDrawing r:id="rId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700-000000000000}">
  <sheetPr codeName="List3">
    <tabColor rgb="FFFFCCFF"/>
    <pageSetUpPr fitToPage="1"/>
  </sheetPr>
  <dimension ref="A1:BU98"/>
  <sheetViews>
    <sheetView workbookViewId="0" topLeftCell="A3">
      <selection pane="topLeft" activeCell="E5" sqref="E5:G5"/>
    </sheetView>
  </sheetViews>
  <sheetFormatPr defaultRowHeight="12.75"/>
  <cols>
    <col min="1" max="1" width="4.42857142857143" bestFit="1" customWidth="1"/>
    <col min="2" max="2" width="10" customWidth="1"/>
    <col min="3" max="3" width="36.1428571428571" customWidth="1"/>
    <col min="4" max="11" width="7.71428571428571" customWidth="1"/>
    <col min="12" max="73" width="9.14285714285714" style="84"/>
  </cols>
  <sheetData>
    <row r="1" spans="1:11 70:73" ht="15" customHeight="1" thickBot="1">
      <c r="A1" s="1058" t="s">
        <v>3561</v>
      </c>
      <c r="B1" s="1058"/>
      <c r="C1" s="793"/>
      <c r="D1" s="793"/>
      <c r="E1" s="793"/>
      <c r="F1" s="793"/>
      <c r="G1" s="793"/>
      <c r="H1" s="793"/>
      <c r="I1" s="793"/>
      <c r="J1" s="793"/>
      <c r="K1" s="793"/>
      <c r="BR1"/>
      <c r="BS1"/>
      <c r="BT1"/>
      <c r="BU1"/>
    </row>
    <row r="2" spans="1:11 70:73" ht="24" customHeight="1" thickBot="1">
      <c r="A2" s="1061" t="s">
        <v>35</v>
      </c>
      <c r="B2" s="1062"/>
      <c r="C2" s="1063" t="s">
        <v>3538</v>
      </c>
      <c r="D2" s="1064"/>
      <c r="E2" s="1065"/>
      <c r="F2" s="1076" t="s">
        <v>185</v>
      </c>
      <c r="G2" s="1077"/>
      <c r="H2" s="1066"/>
      <c r="I2" s="1067"/>
      <c r="J2" s="1067"/>
      <c r="K2" s="1068"/>
      <c r="BR2"/>
      <c r="BS2"/>
      <c r="BT2"/>
      <c r="BU2"/>
    </row>
    <row r="3" spans="1:11 70:73" ht="8.1" customHeight="1" thickBot="1">
      <c r="A3" s="1059"/>
      <c r="B3" s="1059"/>
      <c r="C3" s="795"/>
      <c r="D3" s="795"/>
      <c r="E3" s="795"/>
      <c r="F3" s="795"/>
      <c r="G3" s="795"/>
      <c r="H3" s="795"/>
      <c r="I3" s="795"/>
      <c r="J3" s="795"/>
      <c r="K3" s="795"/>
      <c r="BR3"/>
      <c r="BS3"/>
      <c r="BT3"/>
      <c r="BU3"/>
    </row>
    <row r="4" spans="1:11 67:73" ht="24" customHeight="1">
      <c r="A4" s="931" t="s">
        <v>36</v>
      </c>
      <c r="B4" s="932"/>
      <c r="C4" s="933"/>
      <c r="D4" s="130" t="s">
        <v>289</v>
      </c>
      <c r="E4" s="970"/>
      <c r="F4" s="1074"/>
      <c r="G4" s="907"/>
      <c r="H4" s="130" t="s">
        <v>289</v>
      </c>
      <c r="I4" s="970"/>
      <c r="J4" s="1060"/>
      <c r="K4" s="971"/>
      <c r="BO4"/>
      <c r="BP4"/>
      <c r="BQ4"/>
      <c r="BR4"/>
      <c r="BS4"/>
      <c r="BT4"/>
      <c r="BU4"/>
    </row>
    <row r="5" spans="1:11 67:73" ht="18" customHeight="1">
      <c r="A5" s="50">
        <v>64</v>
      </c>
      <c r="B5" s="934" t="s">
        <v>95</v>
      </c>
      <c r="C5" s="935"/>
      <c r="D5" s="140"/>
      <c r="E5" s="928">
        <v>24840</v>
      </c>
      <c r="F5" s="1075"/>
      <c r="G5" s="929"/>
      <c r="H5" s="145"/>
      <c r="I5" s="899"/>
      <c r="J5" s="1055"/>
      <c r="K5" s="1056"/>
      <c r="BO5"/>
      <c r="BP5"/>
      <c r="BQ5"/>
      <c r="BR5"/>
      <c r="BS5"/>
      <c r="BT5"/>
      <c r="BU5"/>
    </row>
    <row r="6" spans="1:12 67:73" ht="18" customHeight="1">
      <c r="A6" s="50" t="s">
        <v>393</v>
      </c>
      <c r="B6" s="934" t="s">
        <v>96</v>
      </c>
      <c r="C6" s="935"/>
      <c r="D6" s="102">
        <v>0</v>
      </c>
      <c r="E6" s="928">
        <f>+IF((((IF(AND(OR(EXACT('1Př1'!K8,"X"),EXACT('1Př1'!K8,"x")),AND(NOT(EXACT('1Př1'!K10,"X")),NOT(EXACT('1Př1'!K10,"x")))),'DAP2'!E12,0))+IF(AND(OR(EXACT(+'2Př'!D7,"X"),EXACT(+'2Př'!D7,"x")),AND(NOT(EXACT(+'2Př'!J9,"X")),NOT(EXACT(+'2Př'!J9,"x")))),'DAP2'!E14,0))/('DAP2'!E18+0.1)&gt;0.5),0,+D6*2070)</f>
        <v>0</v>
      </c>
      <c r="F6" s="1045"/>
      <c r="G6" s="1046"/>
      <c r="H6" s="145"/>
      <c r="I6" s="899"/>
      <c r="J6" s="1055"/>
      <c r="K6" s="1056"/>
      <c r="L6"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6"/>
      <c r="BP6"/>
      <c r="BQ6"/>
      <c r="BR6"/>
      <c r="BS6"/>
      <c r="BT6"/>
      <c r="BU6"/>
    </row>
    <row r="7" spans="1:12 67:73" ht="24" customHeight="1">
      <c r="A7" s="50" t="s">
        <v>394</v>
      </c>
      <c r="B7" s="914" t="s">
        <v>97</v>
      </c>
      <c r="C7" s="915"/>
      <c r="D7" s="102">
        <v>0</v>
      </c>
      <c r="E7" s="928">
        <f>+IF((((IF(AND(OR(EXACT('1Př1'!K8,"X"),EXACT('1Př1'!K8,"x")),AND(NOT(EXACT('1Př1'!K10,"X")),NOT(EXACT('1Př1'!K10,"x")))),'DAP2'!E12,0))+IF(AND(OR(EXACT(+'2Př'!D7,"X"),EXACT(+'2Př'!D7,"x")),AND(NOT(EXACT(+'2Př'!J9,"X")),NOT(EXACT(+'2Př'!J9,"x")))),'DAP2'!E14,0))/('DAP2'!E18+0.1)&gt;0.5),0,+D7*4140)</f>
        <v>0</v>
      </c>
      <c r="F7" s="1045"/>
      <c r="G7" s="1046"/>
      <c r="H7" s="145"/>
      <c r="I7" s="899"/>
      <c r="J7" s="1055"/>
      <c r="K7" s="1056"/>
      <c r="L7" s="158" t="str">
        <f>+IF((((IF(AND(OR(EXACT('1Př1'!K8,"X"),EXACT('1Př1'!K8,"x")),AND(NOT(EXACT('1Př1'!K10,"X")),NOT(EXACT('1Př1'!K10,"x")))),'DAP2'!E12,0))+IF(AND(OR(EXACT(+'2Př'!D7,"X"),EXACT(+'2Př'!D7,"x")),AND(NOT(EXACT(+'2Př'!J9,"X")),NOT(EXACT(+'2Př'!J9,"x")))),'DAP2'!E14,0))/('DAP2'!E18+0.1)&gt;0.5),"Je potřeba zkoumat oprávněnost nároku na odpočet na manžela(-ku) vzhledem k § 35 ca zákona ( paušální výdaje versus odpočet )."," ")</f>
        <v xml:space="preserve"> </v>
      </c>
      <c r="BO7"/>
      <c r="BP7"/>
      <c r="BQ7"/>
      <c r="BR7"/>
      <c r="BS7"/>
      <c r="BT7"/>
      <c r="BU7"/>
    </row>
    <row r="8" spans="1:11 67:73" ht="24" customHeight="1">
      <c r="A8" s="50">
        <v>66</v>
      </c>
      <c r="B8" s="914" t="s">
        <v>3562</v>
      </c>
      <c r="C8" s="915"/>
      <c r="D8" s="102">
        <v>0</v>
      </c>
      <c r="E8" s="949">
        <f>+D8*210</f>
        <v>0</v>
      </c>
      <c r="F8" s="1043"/>
      <c r="G8" s="1044"/>
      <c r="H8" s="145"/>
      <c r="I8" s="899"/>
      <c r="J8" s="1055"/>
      <c r="K8" s="1056"/>
      <c r="BO8"/>
      <c r="BP8"/>
      <c r="BQ8"/>
      <c r="BR8"/>
      <c r="BS8"/>
      <c r="BT8"/>
      <c r="BU8"/>
    </row>
    <row r="9" spans="1:11 67:73" ht="24" customHeight="1">
      <c r="A9" s="50">
        <v>67</v>
      </c>
      <c r="B9" s="914" t="s">
        <v>3563</v>
      </c>
      <c r="C9" s="915"/>
      <c r="D9" s="102">
        <v>0</v>
      </c>
      <c r="E9" s="949">
        <f>+D9*420</f>
        <v>0</v>
      </c>
      <c r="F9" s="1043"/>
      <c r="G9" s="1044"/>
      <c r="H9" s="145"/>
      <c r="I9" s="899"/>
      <c r="J9" s="1055"/>
      <c r="K9" s="1056"/>
      <c r="BO9"/>
      <c r="BP9"/>
      <c r="BQ9"/>
      <c r="BR9"/>
      <c r="BS9"/>
      <c r="BT9"/>
      <c r="BU9"/>
    </row>
    <row r="10" spans="1:11 67:73" ht="18" customHeight="1">
      <c r="A10" s="50">
        <v>68</v>
      </c>
      <c r="B10" s="914" t="s">
        <v>98</v>
      </c>
      <c r="C10" s="915"/>
      <c r="D10" s="102">
        <v>0</v>
      </c>
      <c r="E10" s="949">
        <f>+D10*1345</f>
        <v>0</v>
      </c>
      <c r="F10" s="1043"/>
      <c r="G10" s="1044"/>
      <c r="H10" s="145"/>
      <c r="I10" s="899"/>
      <c r="J10" s="1055"/>
      <c r="K10" s="1056"/>
      <c r="BO10"/>
      <c r="BP10"/>
      <c r="BQ10"/>
      <c r="BR10"/>
      <c r="BS10"/>
      <c r="BT10"/>
      <c r="BU10"/>
    </row>
    <row r="11" spans="1:11 67:73" ht="18" customHeight="1">
      <c r="A11" s="50">
        <v>69</v>
      </c>
      <c r="B11" s="914" t="s">
        <v>99</v>
      </c>
      <c r="C11" s="915"/>
      <c r="D11" s="102">
        <v>0</v>
      </c>
      <c r="E11" s="949">
        <f>+D11*335</f>
        <v>0</v>
      </c>
      <c r="F11" s="1043"/>
      <c r="G11" s="1044"/>
      <c r="H11" s="145"/>
      <c r="I11" s="899"/>
      <c r="J11" s="1055"/>
      <c r="K11" s="1056"/>
      <c r="BO11"/>
      <c r="BP11"/>
      <c r="BQ11"/>
      <c r="BR11"/>
      <c r="BS11"/>
      <c r="BT11"/>
      <c r="BU11"/>
    </row>
    <row r="12" spans="1:11 67:73" ht="18" customHeight="1">
      <c r="A12" s="50" t="s">
        <v>93</v>
      </c>
      <c r="B12" s="914" t="s">
        <v>94</v>
      </c>
      <c r="C12" s="915"/>
      <c r="D12" s="140"/>
      <c r="E12" s="928">
        <v>0</v>
      </c>
      <c r="F12" s="1045"/>
      <c r="G12" s="1046"/>
      <c r="H12" s="145"/>
      <c r="I12" s="899"/>
      <c r="J12" s="1055"/>
      <c r="K12" s="1056"/>
      <c r="BO12"/>
      <c r="BP12"/>
      <c r="BQ12"/>
      <c r="BR12"/>
      <c r="BS12"/>
      <c r="BT12"/>
      <c r="BU12"/>
    </row>
    <row r="13" spans="1:11 67:73" ht="18" customHeight="1">
      <c r="A13" s="50" t="s">
        <v>3747</v>
      </c>
      <c r="B13" s="914" t="s">
        <v>3748</v>
      </c>
      <c r="C13" s="915"/>
      <c r="D13" s="140"/>
      <c r="E13" s="928">
        <v>0</v>
      </c>
      <c r="F13" s="1045"/>
      <c r="G13" s="1046"/>
      <c r="H13" s="145"/>
      <c r="I13" s="899"/>
      <c r="J13" s="1055"/>
      <c r="K13" s="1056"/>
      <c r="BO13"/>
      <c r="BP13"/>
      <c r="BQ13"/>
      <c r="BR13"/>
      <c r="BS13"/>
      <c r="BT13"/>
      <c r="BU13"/>
    </row>
    <row r="14" spans="1:11 70:73" ht="30" customHeight="1">
      <c r="A14" s="50">
        <v>70</v>
      </c>
      <c r="B14" s="914" t="s">
        <v>3811</v>
      </c>
      <c r="C14" s="915"/>
      <c r="D14" s="140"/>
      <c r="E14" s="949">
        <f>+SUM(E5:F13)+'DAP2'!F44+'DAP2'!F45</f>
        <v>24840</v>
      </c>
      <c r="F14" s="1043"/>
      <c r="G14" s="1044"/>
      <c r="H14" s="145"/>
      <c r="I14" s="899"/>
      <c r="J14" s="1055"/>
      <c r="K14" s="1056"/>
      <c r="BR14"/>
      <c r="BS14"/>
      <c r="BT14"/>
      <c r="BU14"/>
    </row>
    <row r="15" spans="1:11 70:73" ht="24" customHeight="1" thickBot="1">
      <c r="A15" s="51">
        <v>71</v>
      </c>
      <c r="B15" s="1087" t="s">
        <v>3564</v>
      </c>
      <c r="C15" s="1088"/>
      <c r="D15" s="141"/>
      <c r="E15" s="953">
        <f>+MAX('DAP2'!F41-'DAP3'!E14,0)</f>
        <v>0</v>
      </c>
      <c r="F15" s="1047"/>
      <c r="G15" s="1048"/>
      <c r="H15" s="147"/>
      <c r="I15" s="916"/>
      <c r="J15" s="1078"/>
      <c r="K15" s="1079"/>
      <c r="BR15"/>
      <c r="BS15"/>
      <c r="BT15"/>
      <c r="BU15"/>
    </row>
    <row r="16" spans="1:11" ht="15.95" customHeight="1" thickBot="1">
      <c r="A16" s="1080" t="s">
        <v>3565</v>
      </c>
      <c r="B16" s="1080"/>
      <c r="C16" s="1081"/>
      <c r="D16" s="1081"/>
      <c r="E16" s="1081"/>
      <c r="F16" s="1081"/>
      <c r="G16" s="1081"/>
      <c r="H16" s="1081"/>
      <c r="I16" s="1081"/>
      <c r="J16" s="1081"/>
      <c r="K16" s="1081"/>
    </row>
    <row r="17" spans="1:11 69:73" ht="22.5" customHeight="1">
      <c r="A17" s="1083"/>
      <c r="B17" s="1012" t="s">
        <v>3568</v>
      </c>
      <c r="C17" s="1013"/>
      <c r="D17" s="1012" t="s">
        <v>185</v>
      </c>
      <c r="E17" s="1050"/>
      <c r="F17" s="1051" t="s">
        <v>3566</v>
      </c>
      <c r="G17" s="1052"/>
      <c r="H17" s="1051" t="s">
        <v>3567</v>
      </c>
      <c r="I17" s="1052"/>
      <c r="J17" s="1051" t="s">
        <v>3688</v>
      </c>
      <c r="K17" s="1070"/>
      <c r="BQ17"/>
      <c r="BR17"/>
      <c r="BS17"/>
      <c r="BT17"/>
      <c r="BU17"/>
    </row>
    <row r="18" spans="1:11 69:73" ht="21.95" customHeight="1">
      <c r="A18" s="1084"/>
      <c r="B18" s="1014"/>
      <c r="C18" s="1015"/>
      <c r="D18" s="1014"/>
      <c r="E18" s="1015"/>
      <c r="F18" s="552" t="s">
        <v>3686</v>
      </c>
      <c r="G18" s="552" t="s">
        <v>3687</v>
      </c>
      <c r="H18" s="552" t="s">
        <v>3686</v>
      </c>
      <c r="I18" s="552" t="s">
        <v>3687</v>
      </c>
      <c r="J18" s="552" t="s">
        <v>3686</v>
      </c>
      <c r="K18" s="553" t="s">
        <v>3687</v>
      </c>
      <c r="BQ18"/>
      <c r="BR18"/>
      <c r="BS18"/>
      <c r="BT18"/>
      <c r="BU18"/>
    </row>
    <row r="19" spans="1:11 69:73" ht="12" customHeight="1">
      <c r="A19" s="1085"/>
      <c r="B19" s="1037">
        <v>1</v>
      </c>
      <c r="C19" s="1082"/>
      <c r="D19" s="1037">
        <v>2</v>
      </c>
      <c r="E19" s="1037"/>
      <c r="F19" s="1053">
        <v>3</v>
      </c>
      <c r="G19" s="1054"/>
      <c r="H19" s="1053">
        <v>4</v>
      </c>
      <c r="I19" s="1054"/>
      <c r="J19" s="1053">
        <v>5</v>
      </c>
      <c r="K19" s="1086"/>
      <c r="BQ19"/>
      <c r="BR19"/>
      <c r="BS19"/>
      <c r="BT19"/>
      <c r="BU19"/>
    </row>
    <row r="20" spans="1:11 69:73" ht="18" customHeight="1">
      <c r="A20" s="151">
        <v>1</v>
      </c>
      <c r="B20" s="1035" t="s">
        <v>179</v>
      </c>
      <c r="C20" s="1036"/>
      <c r="D20" s="1038"/>
      <c r="E20" s="1049"/>
      <c r="F20" s="684"/>
      <c r="G20" s="685"/>
      <c r="H20" s="684"/>
      <c r="I20" s="685"/>
      <c r="J20" s="684"/>
      <c r="K20" s="686"/>
      <c r="BQ20"/>
      <c r="BR20"/>
      <c r="BS20"/>
      <c r="BT20"/>
      <c r="BU20"/>
    </row>
    <row r="21" spans="1:11 69:73" ht="18" customHeight="1">
      <c r="A21" s="151">
        <v>2</v>
      </c>
      <c r="B21" s="1035" t="s">
        <v>179</v>
      </c>
      <c r="C21" s="1036"/>
      <c r="D21" s="1038"/>
      <c r="E21" s="1038"/>
      <c r="F21" s="684"/>
      <c r="G21" s="685"/>
      <c r="H21" s="684"/>
      <c r="I21" s="685"/>
      <c r="J21" s="684"/>
      <c r="K21" s="686"/>
      <c r="BQ21"/>
      <c r="BR21"/>
      <c r="BS21"/>
      <c r="BT21"/>
      <c r="BU21"/>
    </row>
    <row r="22" spans="1:11 69:73" ht="18" customHeight="1">
      <c r="A22" s="151">
        <v>3</v>
      </c>
      <c r="B22" s="1035" t="s">
        <v>179</v>
      </c>
      <c r="C22" s="1036"/>
      <c r="D22" s="1038"/>
      <c r="E22" s="1038"/>
      <c r="F22" s="684"/>
      <c r="G22" s="685"/>
      <c r="H22" s="684"/>
      <c r="I22" s="685"/>
      <c r="J22" s="684"/>
      <c r="K22" s="686"/>
      <c r="BQ22"/>
      <c r="BR22"/>
      <c r="BS22"/>
      <c r="BT22"/>
      <c r="BU22"/>
    </row>
    <row r="23" spans="1:11 69:73" ht="18" customHeight="1">
      <c r="A23" s="151">
        <v>4</v>
      </c>
      <c r="B23" s="1035" t="s">
        <v>179</v>
      </c>
      <c r="C23" s="1036"/>
      <c r="D23" s="1038"/>
      <c r="E23" s="1038"/>
      <c r="F23" s="684"/>
      <c r="G23" s="685"/>
      <c r="H23" s="684"/>
      <c r="I23" s="685"/>
      <c r="J23" s="684"/>
      <c r="K23" s="686"/>
      <c r="BQ23"/>
      <c r="BR23"/>
      <c r="BS23"/>
      <c r="BT23"/>
      <c r="BU23"/>
    </row>
    <row r="24" spans="1:11 73:73" ht="15.95" customHeight="1" thickBot="1">
      <c r="A24" s="152"/>
      <c r="B24" s="1039" t="s">
        <v>72</v>
      </c>
      <c r="C24" s="1040"/>
      <c r="D24" s="1069"/>
      <c r="E24" s="1069"/>
      <c r="F24" s="544">
        <f t="shared" si="0" ref="F24:K24">+SUM(F20:F23)</f>
        <v>0</v>
      </c>
      <c r="G24" s="544">
        <f t="shared" si="0"/>
        <v>0</v>
      </c>
      <c r="H24" s="544">
        <f t="shared" si="0"/>
        <v>0</v>
      </c>
      <c r="I24" s="544">
        <f t="shared" si="0"/>
        <v>0</v>
      </c>
      <c r="J24" s="544">
        <f t="shared" si="0"/>
        <v>0</v>
      </c>
      <c r="K24" s="687">
        <f t="shared" si="0"/>
        <v>0</v>
      </c>
      <c r="BU24"/>
    </row>
    <row r="25" spans="1:11" ht="6" customHeight="1" thickBot="1">
      <c r="A25" s="1041"/>
      <c r="B25" s="1041"/>
      <c r="C25" s="1042"/>
      <c r="D25" s="1042"/>
      <c r="E25" s="1042"/>
      <c r="F25" s="1042"/>
      <c r="G25" s="1042"/>
      <c r="H25" s="1042"/>
      <c r="I25" s="1042"/>
      <c r="J25" s="1042"/>
      <c r="K25" s="1042"/>
    </row>
    <row r="26" spans="1:12" ht="18" customHeight="1">
      <c r="A26" s="129">
        <v>72</v>
      </c>
      <c r="B26" s="992" t="s">
        <v>73</v>
      </c>
      <c r="C26" s="1009"/>
      <c r="D26" s="1032">
        <f>+IF((((IF(AND(OR(EXACT('1Př1'!K8,"X"),EXACT('1Př1'!K8,"x")),AND(NOT(EXACT('1Př1'!K10,"X")),NOT(EXACT('1Př1'!K10,"x")))),'DAP2'!E12,0))+IF(AND(OR(EXACT(+'2Př'!D7,"X"),EXACT(+'2Př'!D7,"x")),AND(NOT(EXACT(+'2Př'!J9,"X")),NOT(EXACT(+'2Př'!J9,"x")))),'DAP2'!E14,0))/('DAP2'!E18+0.1)&gt;0.5),0,+F24*1117+G24*2234+H24*1617+I24*3234+J24*2017+K24*4034)</f>
        <v>0</v>
      </c>
      <c r="E26" s="1033"/>
      <c r="F26" s="1033"/>
      <c r="G26" s="1034"/>
      <c r="H26" s="998"/>
      <c r="I26" s="1024"/>
      <c r="J26" s="1024"/>
      <c r="K26" s="1025"/>
      <c r="L26" s="158" t="str">
        <f>+IF((((IF(AND(OR(EXACT('1Př1'!K8,"X"),EXACT('1Př1'!K8,"x")),AND(NOT(EXACT('1Př1'!K10,"X")),NOT(EXACT('1Př1'!K10,"x")))),'DAP2'!E12,0))+IF(AND(OR(EXACT(+'2Př'!D7,"X"),EXACT(+'2Př'!D7,"x")),AND(NOT(EXACT(+'2Př'!J9,"X")),NOT(EXACT(+'2Př'!J9,"x")))),'DAP2'!E14,0))/('DAP2'!E18+0.1)&gt;0.5),"Je potřeba zkoumat oprávněnost nároku na daňové zvýhodnění na děti vzhledem k § 35 ca zákona ( paušální výdaje versus odpočet )."," ")</f>
        <v xml:space="preserve"> </v>
      </c>
    </row>
    <row r="27" spans="1:11" ht="24" customHeight="1">
      <c r="A27" s="23">
        <v>73</v>
      </c>
      <c r="B27" s="939" t="s">
        <v>3569</v>
      </c>
      <c r="C27" s="1005"/>
      <c r="D27" s="955">
        <f>+MIN(D26,E15)</f>
        <v>0</v>
      </c>
      <c r="E27" s="956"/>
      <c r="F27" s="956"/>
      <c r="G27" s="1030"/>
      <c r="H27" s="1006"/>
      <c r="I27" s="1007"/>
      <c r="J27" s="1007"/>
      <c r="K27" s="1008"/>
    </row>
    <row r="28" spans="1:11" ht="18" customHeight="1" thickBot="1">
      <c r="A28" s="300">
        <v>74</v>
      </c>
      <c r="B28" s="1028" t="s">
        <v>3749</v>
      </c>
      <c r="C28" s="1029"/>
      <c r="D28" s="985">
        <f>+E15-D27</f>
        <v>0</v>
      </c>
      <c r="E28" s="986"/>
      <c r="F28" s="986"/>
      <c r="G28" s="1031"/>
      <c r="H28" s="1016"/>
      <c r="I28" s="1017"/>
      <c r="J28" s="1017"/>
      <c r="K28" s="1018"/>
    </row>
    <row r="29" spans="1:11" ht="6" customHeight="1" thickBot="1">
      <c r="A29" s="1041"/>
      <c r="B29" s="1041"/>
      <c r="C29" s="1042"/>
      <c r="D29" s="1042"/>
      <c r="E29" s="1042"/>
      <c r="F29" s="1042"/>
      <c r="G29" s="1042"/>
      <c r="H29" s="1042"/>
      <c r="I29" s="1042"/>
      <c r="J29" s="1042"/>
      <c r="K29" s="1042"/>
    </row>
    <row r="30" spans="1:11" ht="18" customHeight="1">
      <c r="A30" s="129">
        <v>75</v>
      </c>
      <c r="B30" s="992" t="s">
        <v>3570</v>
      </c>
      <c r="C30" s="1009"/>
      <c r="D30" s="1032">
        <f>IF(+D26-D27&lt;99,0,MIN(60300,+D26-D27))</f>
        <v>0</v>
      </c>
      <c r="E30" s="1033"/>
      <c r="F30" s="1033"/>
      <c r="G30" s="1034"/>
      <c r="H30" s="998"/>
      <c r="I30" s="1024"/>
      <c r="J30" s="1024"/>
      <c r="K30" s="1025"/>
    </row>
    <row r="31" spans="1:11" ht="24" customHeight="1">
      <c r="A31" s="23">
        <v>76</v>
      </c>
      <c r="B31" s="939" t="s">
        <v>3571</v>
      </c>
      <c r="C31" s="1005"/>
      <c r="D31" s="955">
        <f>+'DAP2'!M9</f>
        <v>0</v>
      </c>
      <c r="E31" s="956"/>
      <c r="F31" s="956"/>
      <c r="G31" s="1030"/>
      <c r="H31" s="1006"/>
      <c r="I31" s="1007"/>
      <c r="J31" s="1007"/>
      <c r="K31" s="1008"/>
    </row>
    <row r="32" spans="1:11" ht="18" customHeight="1" thickBot="1">
      <c r="A32" s="24">
        <v>77</v>
      </c>
      <c r="B32" s="1022" t="s">
        <v>3572</v>
      </c>
      <c r="C32" s="1023"/>
      <c r="D32" s="985">
        <f>+D30-D31</f>
        <v>0</v>
      </c>
      <c r="E32" s="986"/>
      <c r="F32" s="986"/>
      <c r="G32" s="1031"/>
      <c r="H32" s="1019"/>
      <c r="I32" s="1020"/>
      <c r="J32" s="1020"/>
      <c r="K32" s="1021"/>
    </row>
    <row r="33" spans="1:11" ht="15.95" customHeight="1" thickBot="1">
      <c r="A33" s="1026" t="s">
        <v>395</v>
      </c>
      <c r="B33" s="1026"/>
      <c r="C33" s="1027"/>
      <c r="D33" s="1027"/>
      <c r="E33" s="1027"/>
      <c r="F33" s="1027"/>
      <c r="G33" s="1027"/>
      <c r="H33" s="1027"/>
      <c r="I33" s="1027"/>
      <c r="J33" s="1027"/>
      <c r="K33" s="1027"/>
    </row>
    <row r="34" spans="1:11" ht="18" customHeight="1">
      <c r="A34" s="23">
        <v>78</v>
      </c>
      <c r="B34" s="1089" t="s">
        <v>258</v>
      </c>
      <c r="C34" s="1090"/>
      <c r="D34" s="1032">
        <v>0</v>
      </c>
      <c r="E34" s="1033"/>
      <c r="F34" s="1033"/>
      <c r="G34" s="1034"/>
      <c r="H34" s="1006"/>
      <c r="I34" s="1007"/>
      <c r="J34" s="1007"/>
      <c r="K34" s="1008"/>
    </row>
    <row r="35" spans="1:11" ht="24" customHeight="1">
      <c r="A35" s="23">
        <v>79</v>
      </c>
      <c r="B35" s="1010" t="s">
        <v>259</v>
      </c>
      <c r="C35" s="1011"/>
      <c r="D35" s="955">
        <f>+IF(OR(EXACT("X",'DAP1'!E13),EXACT("x",'DAP1'!E13)),'DAP3'!D28,0)</f>
        <v>0</v>
      </c>
      <c r="E35" s="956"/>
      <c r="F35" s="956"/>
      <c r="G35" s="1030"/>
      <c r="H35" s="1006"/>
      <c r="I35" s="1007"/>
      <c r="J35" s="1007"/>
      <c r="K35" s="1008"/>
    </row>
    <row r="36" spans="1:11" ht="24" customHeight="1">
      <c r="A36" s="23">
        <v>80</v>
      </c>
      <c r="B36" s="1010" t="s">
        <v>3573</v>
      </c>
      <c r="C36" s="1011"/>
      <c r="D36" s="957">
        <f>+D35-D34</f>
        <v>0</v>
      </c>
      <c r="E36" s="958"/>
      <c r="F36" s="958"/>
      <c r="G36" s="1091"/>
      <c r="H36" s="1006"/>
      <c r="I36" s="1007"/>
      <c r="J36" s="1007"/>
      <c r="K36" s="1008"/>
    </row>
    <row r="37" spans="1:11" ht="24" customHeight="1">
      <c r="A37" s="23">
        <v>81</v>
      </c>
      <c r="B37" s="1010" t="s">
        <v>3574</v>
      </c>
      <c r="C37" s="1011"/>
      <c r="D37" s="955">
        <v>0</v>
      </c>
      <c r="E37" s="956"/>
      <c r="F37" s="956"/>
      <c r="G37" s="1030"/>
      <c r="H37" s="1006"/>
      <c r="I37" s="1007"/>
      <c r="J37" s="1007"/>
      <c r="K37" s="1008"/>
    </row>
    <row r="38" spans="1:11" ht="24" customHeight="1">
      <c r="A38" s="23">
        <v>82</v>
      </c>
      <c r="B38" s="1010" t="s">
        <v>260</v>
      </c>
      <c r="C38" s="1011"/>
      <c r="D38" s="955">
        <f>+IF(OR(EXACT("X",'DAP1'!E13),EXACT("x",'DAP1'!E13)),'DAP2'!F42,0)</f>
        <v>0</v>
      </c>
      <c r="E38" s="956"/>
      <c r="F38" s="956"/>
      <c r="G38" s="1030"/>
      <c r="H38" s="1006"/>
      <c r="I38" s="1007"/>
      <c r="J38" s="1007"/>
      <c r="K38" s="1008"/>
    </row>
    <row r="39" spans="1:11" ht="24" customHeight="1" thickBot="1">
      <c r="A39" s="24">
        <v>83</v>
      </c>
      <c r="B39" s="1072" t="s">
        <v>3575</v>
      </c>
      <c r="C39" s="1073"/>
      <c r="D39" s="982">
        <f>+D38-D37</f>
        <v>0</v>
      </c>
      <c r="E39" s="983"/>
      <c r="F39" s="983"/>
      <c r="G39" s="1057"/>
      <c r="H39" s="1019"/>
      <c r="I39" s="1020"/>
      <c r="J39" s="1020"/>
      <c r="K39" s="1021"/>
    </row>
    <row r="40" spans="1:11" ht="15.95" customHeight="1" thickBot="1">
      <c r="A40" s="1026" t="s">
        <v>396</v>
      </c>
      <c r="B40" s="1026"/>
      <c r="C40" s="1027"/>
      <c r="D40" s="1027"/>
      <c r="E40" s="1027"/>
      <c r="F40" s="1027"/>
      <c r="G40" s="1027"/>
      <c r="H40" s="1027"/>
      <c r="I40" s="1027"/>
      <c r="J40" s="1027"/>
      <c r="K40" s="1027"/>
    </row>
    <row r="41" spans="1:11" ht="24" customHeight="1">
      <c r="A41" s="127">
        <v>84</v>
      </c>
      <c r="B41" s="939" t="s">
        <v>3576</v>
      </c>
      <c r="C41" s="1005"/>
      <c r="D41" s="1032">
        <f>+'DAP2'!M7</f>
        <v>0</v>
      </c>
      <c r="E41" s="1033"/>
      <c r="F41" s="1033"/>
      <c r="G41" s="1034"/>
      <c r="H41" s="1006"/>
      <c r="I41" s="1007"/>
      <c r="J41" s="1007"/>
      <c r="K41" s="1008"/>
    </row>
    <row r="42" spans="1:11" ht="18" customHeight="1">
      <c r="A42" s="23">
        <v>85</v>
      </c>
      <c r="B42" s="942" t="s">
        <v>136</v>
      </c>
      <c r="C42" s="1071"/>
      <c r="D42" s="955">
        <v>0</v>
      </c>
      <c r="E42" s="956"/>
      <c r="F42" s="956"/>
      <c r="G42" s="1030"/>
      <c r="H42" s="1006"/>
      <c r="I42" s="1007"/>
      <c r="J42" s="1007"/>
      <c r="K42" s="1008"/>
    </row>
    <row r="43" spans="1:11" ht="18" customHeight="1">
      <c r="A43" s="23">
        <v>86</v>
      </c>
      <c r="B43" s="942" t="s">
        <v>142</v>
      </c>
      <c r="C43" s="1071"/>
      <c r="D43" s="955">
        <v>0</v>
      </c>
      <c r="E43" s="956"/>
      <c r="F43" s="956"/>
      <c r="G43" s="1030"/>
      <c r="H43" s="1006"/>
      <c r="I43" s="1007"/>
      <c r="J43" s="1007"/>
      <c r="K43" s="1008"/>
    </row>
    <row r="44" spans="1:11" ht="18" customHeight="1">
      <c r="A44" s="23">
        <v>87</v>
      </c>
      <c r="B44" s="942" t="s">
        <v>349</v>
      </c>
      <c r="C44" s="1071"/>
      <c r="D44" s="955">
        <v>0</v>
      </c>
      <c r="E44" s="956"/>
      <c r="F44" s="956"/>
      <c r="G44" s="1030"/>
      <c r="H44" s="1006"/>
      <c r="I44" s="1007"/>
      <c r="J44" s="1007"/>
      <c r="K44" s="1008"/>
    </row>
    <row r="45" spans="1:11" ht="18" customHeight="1">
      <c r="A45" s="23" t="s">
        <v>347</v>
      </c>
      <c r="B45" s="942" t="s">
        <v>348</v>
      </c>
      <c r="C45" s="1071"/>
      <c r="D45" s="955">
        <f>+'DAP2'!M8</f>
        <v>0</v>
      </c>
      <c r="E45" s="956"/>
      <c r="F45" s="956"/>
      <c r="G45" s="1030"/>
      <c r="H45" s="1006"/>
      <c r="I45" s="1007"/>
      <c r="J45" s="1007"/>
      <c r="K45" s="1008"/>
    </row>
    <row r="46" spans="1:11" ht="18" customHeight="1">
      <c r="A46" s="23" t="s">
        <v>100</v>
      </c>
      <c r="B46" s="942" t="s">
        <v>101</v>
      </c>
      <c r="C46" s="1071"/>
      <c r="D46" s="955">
        <v>0</v>
      </c>
      <c r="E46" s="956"/>
      <c r="F46" s="956"/>
      <c r="G46" s="1030"/>
      <c r="H46" s="1006"/>
      <c r="I46" s="1007"/>
      <c r="J46" s="1007"/>
      <c r="K46" s="1008"/>
    </row>
    <row r="47" spans="1:11" ht="18" customHeight="1">
      <c r="A47" s="23">
        <v>88</v>
      </c>
      <c r="B47" s="942" t="s">
        <v>147</v>
      </c>
      <c r="C47" s="1071"/>
      <c r="D47" s="955">
        <v>0</v>
      </c>
      <c r="E47" s="956"/>
      <c r="F47" s="956"/>
      <c r="G47" s="1030"/>
      <c r="H47" s="1006"/>
      <c r="I47" s="1007"/>
      <c r="J47" s="1007"/>
      <c r="K47" s="1008"/>
    </row>
    <row r="48" spans="1:11" ht="18" customHeight="1">
      <c r="A48" s="23">
        <v>89</v>
      </c>
      <c r="B48" s="942" t="s">
        <v>38</v>
      </c>
      <c r="C48" s="1071"/>
      <c r="D48" s="955">
        <v>0</v>
      </c>
      <c r="E48" s="956"/>
      <c r="F48" s="956"/>
      <c r="G48" s="1030"/>
      <c r="H48" s="1006"/>
      <c r="I48" s="1007"/>
      <c r="J48" s="1007"/>
      <c r="K48" s="1008"/>
    </row>
    <row r="49" spans="1:11" ht="18" customHeight="1">
      <c r="A49" s="23">
        <v>90</v>
      </c>
      <c r="B49" s="942" t="s">
        <v>120</v>
      </c>
      <c r="C49" s="1071"/>
      <c r="D49" s="955">
        <v>0</v>
      </c>
      <c r="E49" s="956"/>
      <c r="F49" s="956"/>
      <c r="G49" s="1030"/>
      <c r="H49" s="1006"/>
      <c r="I49" s="1007"/>
      <c r="J49" s="1007"/>
      <c r="K49" s="1008"/>
    </row>
    <row r="50" spans="1:11" ht="24" customHeight="1" thickBot="1">
      <c r="A50" s="23">
        <v>91</v>
      </c>
      <c r="B50" s="1072" t="s">
        <v>3750</v>
      </c>
      <c r="C50" s="1073"/>
      <c r="D50" s="982">
        <f>+IF(OR(EXACT("X",'DAP1'!E13),EXACT("x",'DAP1'!E13)),0,+D28-D32-SUM(D41:E49))</f>
        <v>0</v>
      </c>
      <c r="E50" s="983"/>
      <c r="F50" s="983"/>
      <c r="G50" s="1057"/>
      <c r="H50" s="1006"/>
      <c r="I50" s="1007"/>
      <c r="J50" s="1007"/>
      <c r="K50" s="1008"/>
    </row>
    <row r="51" spans="1:11" ht="12.75">
      <c r="A51" s="919">
        <v>3</v>
      </c>
      <c r="B51" s="919"/>
      <c r="C51" s="919"/>
      <c r="D51" s="919"/>
      <c r="E51" s="919"/>
      <c r="F51" s="919"/>
      <c r="G51" s="919"/>
      <c r="H51" s="919"/>
      <c r="I51" s="919"/>
      <c r="J51" s="919"/>
      <c r="K51" s="919"/>
    </row>
    <row r="52" spans="1:11" ht="12.75">
      <c r="A52" s="84"/>
      <c r="B52" s="84"/>
      <c r="C52" s="84"/>
      <c r="D52" s="84"/>
      <c r="E52" s="84"/>
      <c r="F52" s="84"/>
      <c r="G52" s="84"/>
      <c r="H52" s="84"/>
      <c r="I52" s="84"/>
      <c r="J52" s="84"/>
      <c r="K52" s="84"/>
    </row>
    <row r="53" spans="1:11" ht="12.75">
      <c r="A53" s="84"/>
      <c r="B53" s="84"/>
      <c r="C53" s="84"/>
      <c r="D53" s="84"/>
      <c r="E53" s="84"/>
      <c r="F53" s="84"/>
      <c r="G53" s="84"/>
      <c r="H53" s="84"/>
      <c r="I53" s="84"/>
      <c r="J53" s="84"/>
      <c r="K53" s="84"/>
    </row>
    <row r="54" spans="1:11" ht="12.75">
      <c r="A54" s="84"/>
      <c r="B54" s="84"/>
      <c r="C54" s="84"/>
      <c r="D54" s="84"/>
      <c r="E54" s="84"/>
      <c r="F54" s="84"/>
      <c r="G54" s="84"/>
      <c r="H54" s="84"/>
      <c r="I54" s="84"/>
      <c r="J54" s="84"/>
      <c r="K54" s="84"/>
    </row>
    <row r="55" spans="1:11" ht="12.75">
      <c r="A55" s="84"/>
      <c r="B55" s="84"/>
      <c r="C55" s="84"/>
      <c r="D55" s="84"/>
      <c r="E55" s="84"/>
      <c r="F55" s="84"/>
      <c r="G55" s="84"/>
      <c r="H55" s="84"/>
      <c r="I55" s="84"/>
      <c r="J55" s="84"/>
      <c r="K55" s="84"/>
    </row>
    <row r="56" spans="1:11" ht="12.75">
      <c r="A56" s="84"/>
      <c r="B56" s="84"/>
      <c r="C56" s="84"/>
      <c r="D56" s="84"/>
      <c r="E56" s="84"/>
      <c r="F56" s="84"/>
      <c r="G56" s="84"/>
      <c r="H56" s="84"/>
      <c r="I56" s="84"/>
      <c r="J56" s="84"/>
      <c r="K56" s="84"/>
    </row>
    <row r="57" spans="1:11" ht="12.75">
      <c r="A57" s="84"/>
      <c r="B57" s="84"/>
      <c r="C57" s="84"/>
      <c r="D57" s="84"/>
      <c r="E57" s="84"/>
      <c r="F57" s="84"/>
      <c r="G57" s="84"/>
      <c r="H57" s="84"/>
      <c r="I57" s="84"/>
      <c r="J57" s="84"/>
      <c r="K57" s="84"/>
    </row>
    <row r="58" spans="1:11" ht="12.75">
      <c r="A58" s="84"/>
      <c r="B58" s="84"/>
      <c r="C58" s="84"/>
      <c r="D58" s="84"/>
      <c r="E58" s="84"/>
      <c r="F58" s="84"/>
      <c r="G58" s="84"/>
      <c r="H58" s="84"/>
      <c r="I58" s="84"/>
      <c r="J58" s="84"/>
      <c r="K58" s="84"/>
    </row>
    <row r="59" spans="1:11" ht="12.75">
      <c r="A59" s="84"/>
      <c r="B59" s="84"/>
      <c r="C59" s="84"/>
      <c r="D59" s="84"/>
      <c r="E59" s="84"/>
      <c r="F59" s="84"/>
      <c r="G59" s="84"/>
      <c r="H59" s="84"/>
      <c r="I59" s="84"/>
      <c r="J59" s="84"/>
      <c r="K59" s="84"/>
    </row>
    <row r="60" spans="1:11" ht="12.75">
      <c r="A60" s="84"/>
      <c r="B60" s="84"/>
      <c r="C60" s="84"/>
      <c r="D60" s="84"/>
      <c r="E60" s="84"/>
      <c r="F60" s="84"/>
      <c r="G60" s="84"/>
      <c r="H60" s="84"/>
      <c r="I60" s="84"/>
      <c r="J60" s="84"/>
      <c r="K60" s="84"/>
    </row>
    <row r="61" spans="1:11" ht="12.75">
      <c r="A61" s="84"/>
      <c r="B61" s="84"/>
      <c r="C61" s="84"/>
      <c r="D61" s="84"/>
      <c r="E61" s="84"/>
      <c r="F61" s="84"/>
      <c r="G61" s="84"/>
      <c r="H61" s="84"/>
      <c r="I61" s="84"/>
      <c r="J61" s="84"/>
      <c r="K61" s="84"/>
    </row>
    <row r="62" spans="1:11" ht="12.75">
      <c r="A62" s="84"/>
      <c r="B62" s="84"/>
      <c r="C62" s="84"/>
      <c r="D62" s="84"/>
      <c r="E62" s="84"/>
      <c r="F62" s="84"/>
      <c r="G62" s="84"/>
      <c r="H62" s="84"/>
      <c r="I62" s="84"/>
      <c r="J62" s="84"/>
      <c r="K62" s="84"/>
    </row>
    <row r="63" spans="1:11" ht="12.75">
      <c r="A63" s="84"/>
      <c r="B63" s="84"/>
      <c r="C63" s="84"/>
      <c r="D63" s="84"/>
      <c r="E63" s="84"/>
      <c r="F63" s="84"/>
      <c r="G63" s="84"/>
      <c r="H63" s="84"/>
      <c r="I63" s="84"/>
      <c r="J63" s="84"/>
      <c r="K63" s="84"/>
    </row>
    <row r="64" spans="1:11" ht="12.75">
      <c r="A64" s="84"/>
      <c r="B64" s="84"/>
      <c r="C64" s="84"/>
      <c r="D64" s="84"/>
      <c r="E64" s="84"/>
      <c r="F64" s="84"/>
      <c r="G64" s="84"/>
      <c r="H64" s="84"/>
      <c r="I64" s="84"/>
      <c r="J64" s="84"/>
      <c r="K64" s="84"/>
    </row>
    <row r="65" spans="1:11" ht="12.75">
      <c r="A65" s="84"/>
      <c r="B65" s="84"/>
      <c r="C65" s="84"/>
      <c r="D65" s="84"/>
      <c r="E65" s="84"/>
      <c r="F65" s="84"/>
      <c r="G65" s="84"/>
      <c r="H65" s="84"/>
      <c r="I65" s="84"/>
      <c r="J65" s="84"/>
      <c r="K65" s="84"/>
    </row>
    <row r="66" spans="1:11" ht="12.75">
      <c r="A66" s="84"/>
      <c r="B66" s="84"/>
      <c r="C66" s="84"/>
      <c r="D66" s="84"/>
      <c r="E66" s="84"/>
      <c r="F66" s="84"/>
      <c r="G66" s="84"/>
      <c r="H66" s="84"/>
      <c r="I66" s="84"/>
      <c r="J66" s="84"/>
      <c r="K66" s="84"/>
    </row>
    <row r="67" spans="1:11" ht="12.75">
      <c r="A67" s="84"/>
      <c r="B67" s="84"/>
      <c r="C67" s="84"/>
      <c r="D67" s="84"/>
      <c r="E67" s="84"/>
      <c r="F67" s="84"/>
      <c r="G67" s="84"/>
      <c r="H67" s="84"/>
      <c r="I67" s="84"/>
      <c r="J67" s="84"/>
      <c r="K67" s="84"/>
    </row>
    <row r="68" spans="1:11" ht="12.75">
      <c r="A68" s="84"/>
      <c r="B68" s="84"/>
      <c r="C68" s="84"/>
      <c r="D68" s="84"/>
      <c r="E68" s="84"/>
      <c r="F68" s="84"/>
      <c r="G68" s="84"/>
      <c r="H68" s="84"/>
      <c r="I68" s="84"/>
      <c r="J68" s="84"/>
      <c r="K68" s="84"/>
    </row>
    <row r="69" spans="1:11" ht="12.75">
      <c r="A69" s="84"/>
      <c r="B69" s="84"/>
      <c r="C69" s="84"/>
      <c r="D69" s="84"/>
      <c r="E69" s="84"/>
      <c r="F69" s="84"/>
      <c r="G69" s="84"/>
      <c r="H69" s="84"/>
      <c r="I69" s="84"/>
      <c r="J69" s="84"/>
      <c r="K69" s="84"/>
    </row>
    <row r="70" spans="1:11" ht="12.75">
      <c r="A70" s="84"/>
      <c r="B70" s="84"/>
      <c r="C70" s="84"/>
      <c r="D70" s="84"/>
      <c r="E70" s="84"/>
      <c r="F70" s="84"/>
      <c r="G70" s="84"/>
      <c r="H70" s="84"/>
      <c r="I70" s="84"/>
      <c r="J70" s="84"/>
      <c r="K70" s="84"/>
    </row>
    <row r="71" spans="1:11" ht="12.75">
      <c r="A71" s="84"/>
      <c r="B71" s="84"/>
      <c r="C71" s="84"/>
      <c r="D71" s="84"/>
      <c r="E71" s="84"/>
      <c r="F71" s="84"/>
      <c r="G71" s="84"/>
      <c r="H71" s="84"/>
      <c r="I71" s="84"/>
      <c r="J71" s="84"/>
      <c r="K71" s="84"/>
    </row>
    <row r="72" spans="1:11" ht="12.75">
      <c r="A72" s="84"/>
      <c r="B72" s="84"/>
      <c r="C72" s="84"/>
      <c r="D72" s="84"/>
      <c r="E72" s="84"/>
      <c r="F72" s="84"/>
      <c r="G72" s="84"/>
      <c r="H72" s="84"/>
      <c r="I72" s="84"/>
      <c r="J72" s="84"/>
      <c r="K72" s="84"/>
    </row>
    <row r="73" spans="1:11" ht="12.75">
      <c r="A73" s="84"/>
      <c r="B73" s="84"/>
      <c r="C73" s="84"/>
      <c r="D73" s="84"/>
      <c r="E73" s="84"/>
      <c r="F73" s="84"/>
      <c r="G73" s="84"/>
      <c r="H73" s="84"/>
      <c r="I73" s="84"/>
      <c r="J73" s="84"/>
      <c r="K73" s="84"/>
    </row>
    <row r="74" spans="1:11" ht="12.75">
      <c r="A74" s="84"/>
      <c r="B74" s="84"/>
      <c r="C74" s="84"/>
      <c r="D74" s="84"/>
      <c r="E74" s="84"/>
      <c r="F74" s="84"/>
      <c r="G74" s="84"/>
      <c r="H74" s="84"/>
      <c r="I74" s="84"/>
      <c r="J74" s="84"/>
      <c r="K74" s="84"/>
    </row>
    <row r="75" spans="1:11" ht="12.75">
      <c r="A75" s="84"/>
      <c r="B75" s="84"/>
      <c r="C75" s="84"/>
      <c r="D75" s="84"/>
      <c r="E75" s="84"/>
      <c r="F75" s="84"/>
      <c r="G75" s="84"/>
      <c r="H75" s="84"/>
      <c r="I75" s="84"/>
      <c r="J75" s="84"/>
      <c r="K75" s="84"/>
    </row>
    <row r="76" spans="1:11" ht="12.75">
      <c r="A76" s="84"/>
      <c r="B76" s="84"/>
      <c r="C76" s="84"/>
      <c r="D76" s="84"/>
      <c r="E76" s="84"/>
      <c r="F76" s="84"/>
      <c r="G76" s="84"/>
      <c r="H76" s="84"/>
      <c r="I76" s="84"/>
      <c r="J76" s="84"/>
      <c r="K76" s="84"/>
    </row>
    <row r="77" spans="1:11" ht="12.75">
      <c r="A77" s="84"/>
      <c r="B77" s="84"/>
      <c r="C77" s="84"/>
      <c r="D77" s="84"/>
      <c r="E77" s="84"/>
      <c r="F77" s="84"/>
      <c r="G77" s="84"/>
      <c r="H77" s="84"/>
      <c r="I77" s="84"/>
      <c r="J77" s="84"/>
      <c r="K77" s="84"/>
    </row>
    <row r="78" spans="1:11" ht="12.75">
      <c r="A78" s="84"/>
      <c r="B78" s="84"/>
      <c r="C78" s="84"/>
      <c r="D78" s="84"/>
      <c r="E78" s="84"/>
      <c r="F78" s="84"/>
      <c r="G78" s="84"/>
      <c r="H78" s="84"/>
      <c r="I78" s="84"/>
      <c r="J78" s="84"/>
      <c r="K78" s="84"/>
    </row>
    <row r="79" spans="1:11" ht="12.75">
      <c r="A79" s="84"/>
      <c r="B79" s="84"/>
      <c r="C79" s="84"/>
      <c r="D79" s="84"/>
      <c r="E79" s="84"/>
      <c r="F79" s="84"/>
      <c r="G79" s="84"/>
      <c r="H79" s="84"/>
      <c r="I79" s="84"/>
      <c r="J79" s="84"/>
      <c r="K79" s="84"/>
    </row>
    <row r="80" spans="1:11" ht="12.75">
      <c r="A80" s="84"/>
      <c r="B80" s="84"/>
      <c r="C80" s="84"/>
      <c r="D80" s="84"/>
      <c r="E80" s="84"/>
      <c r="F80" s="84"/>
      <c r="G80" s="84"/>
      <c r="H80" s="84"/>
      <c r="I80" s="84"/>
      <c r="J80" s="84"/>
      <c r="K80" s="84"/>
    </row>
    <row r="81" spans="1:11" ht="12.75">
      <c r="A81" s="84"/>
      <c r="B81" s="84"/>
      <c r="C81" s="84"/>
      <c r="D81" s="84"/>
      <c r="E81" s="84"/>
      <c r="F81" s="84"/>
      <c r="G81" s="84"/>
      <c r="H81" s="84"/>
      <c r="I81" s="84"/>
      <c r="J81" s="84"/>
      <c r="K81" s="84"/>
    </row>
    <row r="82" spans="1:11" ht="12.75">
      <c r="A82" s="84"/>
      <c r="B82" s="84"/>
      <c r="C82" s="84"/>
      <c r="D82" s="84"/>
      <c r="E82" s="84"/>
      <c r="F82" s="84"/>
      <c r="G82" s="84"/>
      <c r="H82" s="84"/>
      <c r="I82" s="84"/>
      <c r="J82" s="84"/>
      <c r="K82" s="84"/>
    </row>
    <row r="83" spans="1:11" ht="12.75">
      <c r="A83" s="84"/>
      <c r="B83" s="84"/>
      <c r="C83" s="84"/>
      <c r="D83" s="84"/>
      <c r="E83" s="84"/>
      <c r="F83" s="84"/>
      <c r="G83" s="84"/>
      <c r="H83" s="84"/>
      <c r="I83" s="84"/>
      <c r="J83" s="84"/>
      <c r="K83" s="84"/>
    </row>
    <row r="84" spans="1:11" ht="12.75">
      <c r="A84" s="84"/>
      <c r="B84" s="84"/>
      <c r="C84" s="84"/>
      <c r="D84" s="84"/>
      <c r="E84" s="84"/>
      <c r="F84" s="84"/>
      <c r="G84" s="84"/>
      <c r="H84" s="84"/>
      <c r="I84" s="84"/>
      <c r="J84" s="84"/>
      <c r="K84" s="84"/>
    </row>
    <row r="85" spans="1:11" ht="12.75">
      <c r="A85" s="84"/>
      <c r="B85" s="84"/>
      <c r="C85" s="84"/>
      <c r="D85" s="84"/>
      <c r="E85" s="84"/>
      <c r="F85" s="84"/>
      <c r="G85" s="84"/>
      <c r="H85" s="84"/>
      <c r="I85" s="84"/>
      <c r="J85" s="84"/>
      <c r="K85" s="84"/>
    </row>
    <row r="86" spans="1:11" ht="12.75">
      <c r="A86" s="84"/>
      <c r="B86" s="84"/>
      <c r="C86" s="84"/>
      <c r="D86" s="84"/>
      <c r="E86" s="84"/>
      <c r="F86" s="84"/>
      <c r="G86" s="84"/>
      <c r="H86" s="84"/>
      <c r="I86" s="84"/>
      <c r="J86" s="84"/>
      <c r="K86" s="84"/>
    </row>
    <row r="87" spans="1:11" ht="12.75">
      <c r="A87" s="84"/>
      <c r="B87" s="84"/>
      <c r="C87" s="84"/>
      <c r="D87" s="84"/>
      <c r="E87" s="84"/>
      <c r="F87" s="84"/>
      <c r="G87" s="84"/>
      <c r="H87" s="84"/>
      <c r="I87" s="84"/>
      <c r="J87" s="84"/>
      <c r="K87" s="84"/>
    </row>
    <row r="88" spans="1:11" ht="12.75">
      <c r="A88" s="84"/>
      <c r="B88" s="84"/>
      <c r="C88" s="84"/>
      <c r="D88" s="84"/>
      <c r="E88" s="84"/>
      <c r="F88" s="84"/>
      <c r="G88" s="84"/>
      <c r="H88" s="84"/>
      <c r="I88" s="84"/>
      <c r="J88" s="84"/>
      <c r="K88" s="84"/>
    </row>
    <row r="89" spans="1:11" ht="12.75">
      <c r="A89" s="84"/>
      <c r="B89" s="84"/>
      <c r="C89" s="84"/>
      <c r="D89" s="84"/>
      <c r="E89" s="84"/>
      <c r="F89" s="84"/>
      <c r="G89" s="84"/>
      <c r="H89" s="84"/>
      <c r="I89" s="84"/>
      <c r="J89" s="84"/>
      <c r="K89" s="84"/>
    </row>
    <row r="90" spans="1:11" ht="12.75">
      <c r="A90" s="84"/>
      <c r="B90" s="84"/>
      <c r="C90" s="84"/>
      <c r="D90" s="84"/>
      <c r="E90" s="84"/>
      <c r="F90" s="84"/>
      <c r="G90" s="84"/>
      <c r="H90" s="84"/>
      <c r="I90" s="84"/>
      <c r="J90" s="84"/>
      <c r="K90" s="84"/>
    </row>
    <row r="91" spans="1:11" ht="12.75">
      <c r="A91" s="84"/>
      <c r="B91" s="84"/>
      <c r="C91" s="84"/>
      <c r="D91" s="84"/>
      <c r="E91" s="84"/>
      <c r="F91" s="84"/>
      <c r="G91" s="84"/>
      <c r="H91" s="84"/>
      <c r="I91" s="84"/>
      <c r="J91" s="84"/>
      <c r="K91" s="84"/>
    </row>
    <row r="92" spans="1:11" ht="12.75">
      <c r="A92" s="84"/>
      <c r="B92" s="84"/>
      <c r="C92" s="84"/>
      <c r="D92" s="84"/>
      <c r="E92" s="84"/>
      <c r="F92" s="84"/>
      <c r="G92" s="84"/>
      <c r="H92" s="84"/>
      <c r="I92" s="84"/>
      <c r="J92" s="84"/>
      <c r="K92" s="84"/>
    </row>
    <row r="93" spans="1:11" ht="12.75">
      <c r="A93" s="84"/>
      <c r="B93" s="84"/>
      <c r="C93" s="84"/>
      <c r="D93" s="84"/>
      <c r="E93" s="84"/>
      <c r="F93" s="84"/>
      <c r="G93" s="84"/>
      <c r="H93" s="84"/>
      <c r="I93" s="84"/>
      <c r="J93" s="84"/>
      <c r="K93" s="84"/>
    </row>
    <row r="94" spans="1:11" ht="12.75">
      <c r="A94" s="84"/>
      <c r="B94" s="84"/>
      <c r="C94" s="84"/>
      <c r="D94" s="84"/>
      <c r="E94" s="84"/>
      <c r="F94" s="84"/>
      <c r="G94" s="84"/>
      <c r="H94" s="84"/>
      <c r="I94" s="84"/>
      <c r="J94" s="84"/>
      <c r="K94" s="84"/>
    </row>
    <row r="95" spans="1:11" ht="12.75">
      <c r="A95" s="84"/>
      <c r="B95" s="84"/>
      <c r="C95" s="84"/>
      <c r="D95" s="84"/>
      <c r="E95" s="84"/>
      <c r="F95" s="84"/>
      <c r="G95" s="84"/>
      <c r="H95" s="84"/>
      <c r="I95" s="84"/>
      <c r="J95" s="84"/>
      <c r="K95" s="84"/>
    </row>
    <row r="96" spans="1:11" ht="12.75">
      <c r="A96" s="84"/>
      <c r="B96" s="84"/>
      <c r="C96" s="84"/>
      <c r="D96" s="84"/>
      <c r="E96" s="84"/>
      <c r="F96" s="84"/>
      <c r="G96" s="84"/>
      <c r="H96" s="84"/>
      <c r="I96" s="84"/>
      <c r="J96" s="84"/>
      <c r="K96" s="84"/>
    </row>
    <row r="97" spans="1:11" ht="12.75">
      <c r="A97" s="84"/>
      <c r="B97" s="84"/>
      <c r="C97" s="84"/>
      <c r="D97" s="84"/>
      <c r="E97" s="84"/>
      <c r="F97" s="84"/>
      <c r="G97" s="84"/>
      <c r="H97" s="84"/>
      <c r="I97" s="84"/>
      <c r="J97" s="84"/>
      <c r="K97" s="84"/>
    </row>
    <row r="98" spans="1:11" ht="12.75">
      <c r="A98" s="84"/>
      <c r="B98" s="84"/>
      <c r="C98" s="84"/>
      <c r="D98" s="84"/>
      <c r="E98" s="84"/>
      <c r="F98" s="84"/>
      <c r="G98" s="84"/>
      <c r="H98" s="84"/>
      <c r="I98" s="84"/>
      <c r="J98" s="84"/>
      <c r="K98" s="84"/>
    </row>
    <row r="99" s="84" customFormat="1" ht="12.75"/>
    <row r="100" s="84" customFormat="1" ht="12.75"/>
    <row r="101" s="84" customFormat="1" ht="12.75"/>
    <row r="102" s="84" customFormat="1" ht="12.75"/>
    <row r="103" s="84" customFormat="1" ht="12.75"/>
    <row r="104" s="84" customFormat="1" ht="12.75"/>
    <row r="105" s="84" customFormat="1" ht="12.75"/>
    <row r="106" s="84" customFormat="1" ht="12.75"/>
    <row r="107" s="84" customFormat="1" ht="12.75"/>
    <row r="108" s="84" customFormat="1" ht="12.75"/>
    <row r="109" s="84" customFormat="1" ht="12.75"/>
    <row r="110" s="84" customFormat="1" ht="12.75"/>
    <row r="111" s="84" customFormat="1" ht="12.75"/>
    <row r="112" s="84" customFormat="1" ht="12.75"/>
    <row r="113" s="84" customFormat="1" ht="12.75"/>
    <row r="114" s="84" customFormat="1" ht="12.75"/>
    <row r="115" s="84" customFormat="1" ht="12.75"/>
    <row r="116" s="84" customFormat="1" ht="12.75"/>
    <row r="117" s="84" customFormat="1" ht="12.75"/>
    <row r="118" s="84" customFormat="1" ht="12.75"/>
    <row r="119" s="84" customFormat="1" ht="12.75"/>
    <row r="120" s="84" customFormat="1" ht="12.75"/>
    <row r="121" s="84" customFormat="1" ht="12.75"/>
    <row r="122" s="84" customFormat="1" ht="12.75"/>
    <row r="123" s="84" customFormat="1" ht="12.75"/>
    <row r="124" s="84" customFormat="1" ht="12.75"/>
    <row r="125" s="84" customFormat="1" ht="12.75"/>
    <row r="126" s="84" customFormat="1" ht="12.75"/>
    <row r="127" s="84" customFormat="1" ht="12.75"/>
    <row r="128" s="84" customFormat="1" ht="12.75"/>
    <row r="129" s="84" customFormat="1" ht="12.75"/>
    <row r="130" s="84" customFormat="1" ht="12.75"/>
    <row r="131" s="84" customFormat="1" ht="12.75"/>
    <row r="132" s="84" customFormat="1" ht="12.75"/>
    <row r="133" s="84" customFormat="1" ht="12.75"/>
    <row r="134" s="84" customFormat="1" ht="12.75"/>
    <row r="135" s="84" customFormat="1" ht="12.75"/>
    <row r="136" s="84" customFormat="1" ht="12.75"/>
    <row r="137" s="84" customFormat="1" ht="12.75"/>
    <row r="138" s="84" customFormat="1" ht="12.75"/>
    <row r="139" s="84" customFormat="1" ht="12.75"/>
    <row r="140" s="84" customFormat="1" ht="12.75"/>
    <row r="141" s="84" customFormat="1" ht="12.75"/>
    <row r="142" s="84" customFormat="1" ht="12.75"/>
    <row r="143" s="84" customFormat="1" ht="12.75"/>
    <row r="144" s="84" customFormat="1" ht="12.75"/>
    <row r="145" s="84" customFormat="1" ht="12.75"/>
    <row r="146" s="84" customFormat="1" ht="12.75"/>
    <row r="147" s="84" customFormat="1" ht="12.75"/>
    <row r="148" s="84" customFormat="1" ht="12.75"/>
    <row r="149" s="84" customFormat="1" ht="12.75"/>
    <row r="150" s="84" customFormat="1" ht="12.75"/>
    <row r="151" s="84" customFormat="1" ht="12.75"/>
    <row r="152" s="84" customFormat="1" ht="12.75"/>
    <row r="153" s="84" customFormat="1" ht="12.75"/>
    <row r="154" s="84" customFormat="1" ht="12.75"/>
    <row r="155" s="84" customFormat="1" ht="12.75"/>
    <row r="156" s="84" customFormat="1" ht="12.75"/>
    <row r="157" s="84" customFormat="1" ht="12.75"/>
    <row r="158" s="84" customFormat="1" ht="12.75"/>
    <row r="159" s="84" customFormat="1" ht="12.75"/>
    <row r="160" s="84" customFormat="1" ht="12.75"/>
    <row r="161" s="84" customFormat="1" ht="12.75"/>
    <row r="162" s="84" customFormat="1" ht="12.75"/>
    <row r="163" s="84" customFormat="1" ht="12.75"/>
    <row r="164" s="84" customFormat="1" ht="12.75"/>
    <row r="165" s="84" customFormat="1" ht="12.75"/>
    <row r="166" s="84" customFormat="1" ht="12.75"/>
    <row r="167" s="84" customFormat="1" ht="12.75"/>
    <row r="168" s="84" customFormat="1" ht="12.75"/>
    <row r="169" s="84" customFormat="1" ht="12.75"/>
    <row r="170" s="84" customFormat="1" ht="12.75"/>
    <row r="171" s="84" customFormat="1" ht="12.75"/>
    <row r="172" s="84" customFormat="1" ht="12.75"/>
    <row r="173" s="84" customFormat="1" ht="12.75"/>
    <row r="174" s="84" customFormat="1" ht="12.75"/>
    <row r="175" s="84" customFormat="1" ht="12.75"/>
    <row r="176" s="84" customFormat="1" ht="12.75"/>
    <row r="177" s="84" customFormat="1" ht="12.75"/>
    <row r="178" s="84" customFormat="1" ht="12.75"/>
    <row r="179" s="84" customFormat="1" ht="12.75"/>
    <row r="180" s="84" customFormat="1" ht="12.75"/>
    <row r="181" s="84" customFormat="1" ht="12.75"/>
    <row r="182" s="84" customFormat="1" ht="12.75"/>
    <row r="183" s="84" customFormat="1" ht="12.75"/>
    <row r="184" s="84" customFormat="1" ht="12.75"/>
    <row r="185" s="84" customFormat="1" ht="12.75"/>
    <row r="186" s="84" customFormat="1" ht="12.75"/>
    <row r="187" s="84" customFormat="1" ht="12.75"/>
    <row r="188" s="84" customFormat="1" ht="12.75"/>
    <row r="189" s="84" customFormat="1" ht="12.75"/>
    <row r="190" s="84" customFormat="1" ht="12.75"/>
    <row r="191" s="84" customFormat="1" ht="12.75"/>
    <row r="192" s="84" customFormat="1" ht="12.75"/>
    <row r="193" s="84" customFormat="1" ht="12.75"/>
    <row r="194" s="84" customFormat="1" ht="12.75"/>
    <row r="195" s="84" customFormat="1" ht="12.75"/>
    <row r="196" s="84" customFormat="1" ht="12.75"/>
    <row r="197" s="84" customFormat="1" ht="12.75"/>
    <row r="198" s="84" customFormat="1" ht="12.75"/>
    <row r="199" s="84" customFormat="1" ht="12.75"/>
    <row r="200" s="84" customFormat="1" ht="12.75"/>
    <row r="201" s="84" customFormat="1" ht="12.75"/>
    <row r="202" s="84" customFormat="1" ht="12.75"/>
    <row r="203" s="84" customFormat="1" ht="12.75"/>
    <row r="204" s="84" customFormat="1" ht="12.75"/>
    <row r="205" s="84" customFormat="1" ht="12.75"/>
    <row r="206" s="84" customFormat="1" ht="12.75"/>
    <row r="207" s="84" customFormat="1" ht="12.75"/>
    <row r="208" s="84" customFormat="1" ht="12.75"/>
    <row r="209" s="84" customFormat="1" ht="12.75"/>
    <row r="210" s="84" customFormat="1" ht="12.75"/>
    <row r="211" s="84" customFormat="1" ht="12.75"/>
    <row r="212" s="84" customFormat="1" ht="12.75"/>
    <row r="213" s="84" customFormat="1" ht="12.75"/>
    <row r="214" s="84" customFormat="1" ht="12.75"/>
    <row r="215" s="84" customFormat="1" ht="12.75"/>
    <row r="216" s="84" customFormat="1" ht="12.75"/>
    <row r="217" s="84" customFormat="1" ht="12.75"/>
    <row r="218" s="84" customFormat="1" ht="12.75"/>
    <row r="219" s="84" customFormat="1" ht="12.75"/>
    <row r="220" s="84" customFormat="1" ht="12.75"/>
    <row r="221" s="84" customFormat="1" ht="12.75"/>
    <row r="222" s="84" customFormat="1" ht="12.75"/>
    <row r="223" s="84" customFormat="1" ht="12.75"/>
    <row r="224" s="84" customFormat="1" ht="12.75"/>
    <row r="225" s="84" customFormat="1" ht="12.75"/>
    <row r="226" s="84" customFormat="1" ht="12.75"/>
    <row r="227" s="84" customFormat="1" ht="12.75"/>
    <row r="228" s="84" customFormat="1" ht="12.75"/>
    <row r="229" s="84" customFormat="1" ht="12.75"/>
    <row r="230" s="84" customFormat="1" ht="12.75"/>
    <row r="231" s="84" customFormat="1" ht="12.75"/>
    <row r="232" s="84" customFormat="1" ht="12.75"/>
    <row r="233" s="84" customFormat="1" ht="12.75"/>
    <row r="234" s="84" customFormat="1" ht="12.75"/>
    <row r="235" s="84" customFormat="1" ht="12.75"/>
    <row r="236" s="84" customFormat="1" ht="12.75"/>
    <row r="237" s="84" customFormat="1" ht="12.75"/>
    <row r="238" s="84" customFormat="1" ht="12.75"/>
    <row r="239" s="84" customFormat="1" ht="12.75"/>
    <row r="240" s="84" customFormat="1" ht="12.75"/>
    <row r="241" s="84" customFormat="1" ht="12.75"/>
    <row r="242" s="84" customFormat="1" ht="12.75"/>
    <row r="243" s="84" customFormat="1" ht="12.75"/>
    <row r="244" s="84" customFormat="1" ht="12.75"/>
    <row r="245" s="84" customFormat="1" ht="12.75"/>
    <row r="246" s="84" customFormat="1" ht="12.75"/>
    <row r="247" s="84" customFormat="1" ht="12.75"/>
    <row r="248" s="84" customFormat="1" ht="12.75"/>
    <row r="249" s="84" customFormat="1" ht="12.75"/>
    <row r="250" s="84" customFormat="1" ht="12.75"/>
    <row r="251" s="84" customFormat="1" ht="12.75"/>
    <row r="252" s="84" customFormat="1" ht="12.75"/>
    <row r="253" s="84" customFormat="1" ht="12.75"/>
    <row r="254" s="84" customFormat="1" ht="12.75"/>
    <row r="255" s="84" customFormat="1" ht="12.75"/>
    <row r="256" s="84" customFormat="1" ht="12.75"/>
    <row r="257" s="84" customFormat="1" ht="12.75"/>
    <row r="258" s="84" customFormat="1" ht="12.75"/>
    <row r="259" s="84" customFormat="1" ht="12.75"/>
    <row r="260" s="84" customFormat="1" ht="12.75"/>
    <row r="261" s="84" customFormat="1" ht="12.75"/>
    <row r="262" s="84" customFormat="1" ht="12.75"/>
    <row r="263" s="84" customFormat="1" ht="12.75"/>
    <row r="264" s="84" customFormat="1" ht="12.75"/>
    <row r="265" s="84" customFormat="1" ht="12.75"/>
    <row r="266" s="84" customFormat="1" ht="12.75"/>
    <row r="267" s="84" customFormat="1" ht="12.75"/>
    <row r="268" s="84" customFormat="1" ht="12.75"/>
    <row r="269" s="84" customFormat="1" ht="12.75"/>
    <row r="270" s="84" customFormat="1" ht="12.75"/>
    <row r="271" s="84" customFormat="1" ht="12.75"/>
    <row r="272" s="84" customFormat="1" ht="12.75"/>
    <row r="273" s="84" customFormat="1" ht="12.75"/>
    <row r="274" s="84" customFormat="1" ht="12.75"/>
    <row r="275" s="84" customFormat="1" ht="12.75"/>
    <row r="276" s="84" customFormat="1" ht="12.75"/>
    <row r="277" s="84" customFormat="1" ht="12.75"/>
    <row r="278" s="84" customFormat="1" ht="12.75"/>
    <row r="279" s="84" customFormat="1" ht="12.75"/>
    <row r="280" s="84" customFormat="1" ht="12.75"/>
    <row r="281" s="84" customFormat="1" ht="12.75"/>
    <row r="282" s="84" customFormat="1" ht="12.75"/>
    <row r="283" s="84" customFormat="1" ht="12.75"/>
    <row r="284" s="84" customFormat="1" ht="12.75"/>
    <row r="285" s="84" customFormat="1" ht="12.75"/>
    <row r="286" s="84" customFormat="1" ht="12.75"/>
    <row r="287" s="84" customFormat="1" ht="12.75"/>
    <row r="288" s="84" customFormat="1" ht="12.75"/>
    <row r="289" s="84" customFormat="1" ht="12.75"/>
    <row r="290" s="84" customFormat="1" ht="12.75"/>
    <row r="291" s="84" customFormat="1" ht="12.75"/>
    <row r="292" s="84" customFormat="1" ht="12.75"/>
    <row r="293" s="84" customFormat="1" ht="12.75"/>
    <row r="294" s="84" customFormat="1" ht="12.75"/>
    <row r="295" s="84" customFormat="1" ht="12.75"/>
    <row r="296" s="84" customFormat="1" ht="12.75"/>
    <row r="297" s="84" customFormat="1" ht="12.75"/>
    <row r="298" s="84" customFormat="1" ht="12.75"/>
    <row r="299" s="84" customFormat="1" ht="12.75"/>
    <row r="300" s="84" customFormat="1" ht="12.75"/>
    <row r="301" s="84" customFormat="1" ht="12.75"/>
    <row r="302" s="84" customFormat="1" ht="12.75"/>
    <row r="303" s="84" customFormat="1" ht="12.75"/>
    <row r="304" s="84" customFormat="1" ht="12.75"/>
    <row r="305" s="84" customFormat="1" ht="12.75"/>
    <row r="306" s="84" customFormat="1" ht="12.75"/>
    <row r="307" s="84" customFormat="1" ht="12.75"/>
    <row r="308" s="84" customFormat="1" ht="12.75"/>
    <row r="309" s="84" customFormat="1" ht="12.75"/>
    <row r="310" s="84" customFormat="1" ht="12.75"/>
    <row r="311" s="84" customFormat="1" ht="12.75"/>
    <row r="312" s="84" customFormat="1" ht="12.75"/>
    <row r="313" s="84" customFormat="1" ht="12.75"/>
    <row r="314" s="84" customFormat="1" ht="12.75"/>
    <row r="315" s="84" customFormat="1" ht="12.75"/>
    <row r="316" s="84" customFormat="1" ht="12.75"/>
    <row r="317" s="84" customFormat="1" ht="12.75"/>
    <row r="318" s="84" customFormat="1" ht="12.75"/>
    <row r="319" s="84" customFormat="1" ht="12.75"/>
    <row r="320" s="84" customFormat="1" ht="12.75"/>
    <row r="321" s="84" customFormat="1" ht="12.75"/>
    <row r="322" s="84" customFormat="1" ht="12.75"/>
    <row r="323" s="84" customFormat="1" ht="12.75"/>
    <row r="324" s="84" customFormat="1" ht="12.75"/>
    <row r="325" s="84" customFormat="1" ht="12.75"/>
    <row r="326" s="84" customFormat="1" ht="12.75"/>
    <row r="327" s="84" customFormat="1" ht="12.75"/>
    <row r="328" s="84" customFormat="1" ht="12.75"/>
    <row r="329" s="84" customFormat="1" ht="12.75"/>
    <row r="330" s="84" customFormat="1" ht="12.75"/>
    <row r="331" s="84" customFormat="1" ht="12.75"/>
    <row r="332" s="84" customFormat="1" ht="12.75"/>
    <row r="333" s="84" customFormat="1" ht="12.75"/>
    <row r="334" s="84" customFormat="1" ht="12.75"/>
    <row r="335" s="84" customFormat="1" ht="12.75"/>
    <row r="336" s="84" customFormat="1" ht="12.75"/>
    <row r="337" s="84" customFormat="1" ht="12.75"/>
    <row r="338" s="84" customFormat="1" ht="12.75"/>
    <row r="339" s="84" customFormat="1" ht="12.75"/>
    <row r="340" s="84" customFormat="1" ht="12.75"/>
    <row r="341" s="84" customFormat="1" ht="12.75"/>
    <row r="342" s="84" customFormat="1" ht="12.75"/>
    <row r="343" s="84" customFormat="1" ht="12.75"/>
    <row r="344" s="84" customFormat="1" ht="12.75"/>
    <row r="345" s="84" customFormat="1" ht="12.75"/>
    <row r="346" s="84" customFormat="1" ht="12.75"/>
    <row r="347" s="84" customFormat="1" ht="12.75"/>
    <row r="348" s="84" customFormat="1" ht="12.75"/>
    <row r="349" s="84" customFormat="1" ht="12.75"/>
    <row r="350" s="84" customFormat="1" ht="12.75"/>
    <row r="351" s="84" customFormat="1" ht="12.75"/>
    <row r="352" s="84" customFormat="1" ht="12.75"/>
    <row r="353" s="84" customFormat="1" ht="12.75"/>
    <row r="354" s="84" customFormat="1" ht="12.75"/>
    <row r="355" s="84" customFormat="1" ht="12.75"/>
    <row r="356" s="84" customFormat="1" ht="12.75"/>
    <row r="357" s="84" customFormat="1" ht="12.75"/>
    <row r="358" s="84" customFormat="1" ht="12.75"/>
    <row r="359" s="84" customFormat="1" ht="12.75"/>
    <row r="360" s="84" customFormat="1" ht="12.75"/>
    <row r="361" s="84" customFormat="1" ht="12.75"/>
    <row r="362" s="84" customFormat="1" ht="12.75"/>
    <row r="363" s="84" customFormat="1" ht="12.75"/>
    <row r="364" s="84" customFormat="1" ht="12.75"/>
    <row r="365" s="84" customFormat="1" ht="12.75"/>
    <row r="366" s="84" customFormat="1" ht="12.75"/>
    <row r="367" s="84" customFormat="1" ht="12.75"/>
    <row r="368" s="84" customFormat="1" ht="12.75"/>
    <row r="369" s="84" customFormat="1" ht="12.75"/>
    <row r="370" s="84" customFormat="1" ht="12.75"/>
    <row r="371" s="84" customFormat="1" ht="12.75"/>
    <row r="372" s="84" customFormat="1" ht="12.75"/>
    <row r="373" s="84" customFormat="1" ht="12.75"/>
    <row r="374" s="84" customFormat="1" ht="12.75"/>
    <row r="375" s="84" customFormat="1" ht="12.75"/>
    <row r="376" s="84" customFormat="1" ht="12.75"/>
    <row r="377" s="84" customFormat="1" ht="12.75"/>
    <row r="378" s="84" customFormat="1" ht="12.75"/>
    <row r="379" s="84" customFormat="1" ht="12.75"/>
    <row r="380" s="84" customFormat="1" ht="12.75"/>
    <row r="381" s="84" customFormat="1" ht="12.75"/>
    <row r="382" s="84" customFormat="1" ht="12.75"/>
    <row r="383" s="84" customFormat="1" ht="12.75"/>
    <row r="384" s="84" customFormat="1" ht="12.75"/>
    <row r="385" s="84" customFormat="1" ht="12.75"/>
    <row r="386" s="84" customFormat="1" ht="12.75"/>
    <row r="387" s="84" customFormat="1" ht="12.75"/>
    <row r="388" s="84" customFormat="1" ht="12.75"/>
    <row r="389" s="84" customFormat="1" ht="12.75"/>
    <row r="390" s="84" customFormat="1" ht="12.75"/>
    <row r="391" s="84" customFormat="1" ht="12.75"/>
    <row r="392" s="84" customFormat="1" ht="12.75"/>
    <row r="393" s="84" customFormat="1" ht="12.75"/>
    <row r="394" s="84" customFormat="1" ht="12.75"/>
    <row r="395" s="84" customFormat="1" ht="12.75"/>
    <row r="396" s="84" customFormat="1" ht="12.75"/>
    <row r="397" s="84" customFormat="1" ht="12.75"/>
    <row r="398" s="84" customFormat="1" ht="12.75"/>
    <row r="399" s="84" customFormat="1" ht="12.75"/>
    <row r="400" s="84" customFormat="1" ht="12.75"/>
    <row r="401" s="84" customFormat="1" ht="12.75"/>
    <row r="402" s="84" customFormat="1" ht="12.75"/>
    <row r="403" s="84" customFormat="1" ht="12.75"/>
    <row r="404" s="84" customFormat="1" ht="12.75"/>
    <row r="405" s="84" customFormat="1" ht="12.75"/>
    <row r="406" s="84" customFormat="1" ht="12.75"/>
    <row r="407" s="84" customFormat="1" ht="12.75"/>
    <row r="408" s="84" customFormat="1" ht="12.75"/>
    <row r="409" s="84" customFormat="1" ht="12.75"/>
    <row r="410" s="84" customFormat="1" ht="12.75"/>
    <row r="411" s="84" customFormat="1" ht="12.75"/>
    <row r="412" s="84" customFormat="1" ht="12.75"/>
    <row r="413" s="84" customFormat="1" ht="12.75"/>
    <row r="414" s="84" customFormat="1" ht="12.75"/>
    <row r="415" s="84" customFormat="1" ht="12.75"/>
    <row r="416" s="84" customFormat="1" ht="12.75"/>
    <row r="417" s="84" customFormat="1" ht="12.75"/>
    <row r="418" s="84" customFormat="1" ht="12.75"/>
    <row r="419" s="84" customFormat="1" ht="12.75"/>
    <row r="420" s="84" customFormat="1" ht="12.75"/>
    <row r="421" s="84" customFormat="1" ht="12.75"/>
    <row r="422" s="84" customFormat="1" ht="12.75"/>
    <row r="423" s="84" customFormat="1" ht="12.75"/>
    <row r="424" s="84" customFormat="1" ht="12.75"/>
    <row r="425" s="84" customFormat="1" ht="12.75"/>
    <row r="426" s="84" customFormat="1" ht="12.75"/>
    <row r="427" s="84" customFormat="1" ht="12.75"/>
    <row r="428" s="84" customFormat="1" ht="12.75"/>
    <row r="429" s="84" customFormat="1" ht="12.75"/>
    <row r="430" s="84" customFormat="1" ht="12.75"/>
    <row r="431" s="84" customFormat="1" ht="12.75"/>
    <row r="432" s="84" customFormat="1" ht="12.75"/>
    <row r="433" s="84" customFormat="1" ht="12.75"/>
    <row r="434" s="84" customFormat="1" ht="12.75"/>
    <row r="435" s="84" customFormat="1" ht="12.75"/>
    <row r="436" s="84" customFormat="1" ht="12.75"/>
    <row r="437" s="84" customFormat="1" ht="12.75"/>
    <row r="438" s="84" customFormat="1" ht="12.75"/>
    <row r="439" s="84" customFormat="1" ht="12.75"/>
    <row r="440" s="84" customFormat="1" ht="12.75"/>
    <row r="441" s="84" customFormat="1" ht="12.75"/>
    <row r="442" s="84" customFormat="1" ht="12.75"/>
    <row r="443" s="84" customFormat="1" ht="12.75"/>
    <row r="444" s="84" customFormat="1" ht="12.75"/>
    <row r="445" s="84" customFormat="1" ht="12.75"/>
    <row r="446" s="84" customFormat="1" ht="12.75"/>
    <row r="447" s="84" customFormat="1" ht="12.75"/>
    <row r="448" s="84" customFormat="1" ht="12.75"/>
    <row r="449" s="84" customFormat="1" ht="12.75"/>
    <row r="450" s="84" customFormat="1" ht="12.75"/>
    <row r="451" s="84" customFormat="1" ht="12.75"/>
    <row r="452" s="84" customFormat="1" ht="12.75"/>
    <row r="453" s="84" customFormat="1" ht="12.75"/>
    <row r="454" s="84" customFormat="1" ht="12.75"/>
    <row r="455" s="84" customFormat="1" ht="12.75"/>
    <row r="456" s="84" customFormat="1" ht="12.75"/>
    <row r="457" s="84" customFormat="1" ht="12.75"/>
    <row r="458" s="84" customFormat="1" ht="12.75"/>
    <row r="459" s="84" customFormat="1" ht="12.75"/>
    <row r="460" s="84" customFormat="1" ht="12.75"/>
    <row r="461" s="84" customFormat="1" ht="12.75"/>
    <row r="462" s="84" customFormat="1" ht="12.75"/>
    <row r="463" s="84" customFormat="1" ht="12.75"/>
    <row r="464" s="84" customFormat="1" ht="12.75"/>
    <row r="465" s="84" customFormat="1" ht="12.75"/>
    <row r="466" s="84" customFormat="1" ht="12.75"/>
    <row r="467" s="84" customFormat="1" ht="12.75"/>
    <row r="468" s="84" customFormat="1" ht="12.75"/>
    <row r="469" s="84" customFormat="1" ht="12.75"/>
    <row r="470" s="84" customFormat="1" ht="12.75"/>
    <row r="471" s="84" customFormat="1" ht="12.75"/>
    <row r="472" s="84" customFormat="1" ht="12.75"/>
    <row r="473" s="84" customFormat="1" ht="12.75"/>
    <row r="474" s="84" customFormat="1" ht="12.75"/>
    <row r="475" s="84" customFormat="1" ht="12.75"/>
    <row r="476" s="84" customFormat="1" ht="12.75"/>
    <row r="477" s="84" customFormat="1" ht="12.75"/>
    <row r="478" s="84" customFormat="1" ht="12.75"/>
    <row r="479" s="84" customFormat="1" ht="12.75"/>
    <row r="480" s="84" customFormat="1" ht="12.75"/>
    <row r="481" s="84" customFormat="1" ht="12.75"/>
    <row r="482" s="84" customFormat="1" ht="12.75"/>
    <row r="483" s="84" customFormat="1" ht="12.75"/>
    <row r="484" s="84" customFormat="1" ht="12.75"/>
    <row r="485" s="84" customFormat="1" ht="12.75"/>
    <row r="486" s="84" customFormat="1" ht="12.75"/>
    <row r="487" s="84" customFormat="1" ht="12.75"/>
    <row r="488" s="84" customFormat="1" ht="12.75"/>
    <row r="489" s="84" customFormat="1" ht="12.75"/>
    <row r="490" s="84" customFormat="1" ht="12.75"/>
    <row r="491" s="84" customFormat="1" ht="12.75"/>
    <row r="492" s="84" customFormat="1" ht="12.75"/>
    <row r="493" s="84" customFormat="1" ht="12.75"/>
    <row r="494" s="84" customFormat="1" ht="12.75"/>
    <row r="495" s="84" customFormat="1" ht="12.75"/>
    <row r="496" s="84" customFormat="1" ht="12.75"/>
    <row r="497" s="84" customFormat="1" ht="12.75"/>
    <row r="498" s="84" customFormat="1" ht="12.75"/>
    <row r="499" s="84" customFormat="1" ht="12.75"/>
    <row r="500" s="84" customFormat="1" ht="12.75"/>
    <row r="501" s="84" customFormat="1" ht="12.75"/>
    <row r="502" s="84" customFormat="1" ht="12.75"/>
    <row r="503" s="84" customFormat="1" ht="12.75"/>
    <row r="504" s="84" customFormat="1" ht="12.75"/>
    <row r="505" s="84" customFormat="1" ht="12.75"/>
    <row r="506" s="84" customFormat="1" ht="12.75"/>
    <row r="507" s="84" customFormat="1" ht="12.75"/>
    <row r="508" s="84" customFormat="1" ht="12.75"/>
    <row r="509" s="84" customFormat="1" ht="12.75"/>
    <row r="510" s="84" customFormat="1" ht="12.75"/>
    <row r="511" s="84" customFormat="1" ht="12.75"/>
    <row r="512" s="84" customFormat="1" ht="12.75"/>
    <row r="513" s="84" customFormat="1" ht="12.75"/>
    <row r="514" s="84" customFormat="1" ht="12.75"/>
    <row r="515" s="84" customFormat="1" ht="12.75"/>
    <row r="516" s="84" customFormat="1" ht="12.75"/>
    <row r="517" s="84" customFormat="1" ht="12.75"/>
    <row r="518" s="84" customFormat="1" ht="12.75"/>
    <row r="519" s="84" customFormat="1" ht="12.75"/>
    <row r="520" s="84" customFormat="1" ht="12.75"/>
    <row r="521" s="84" customFormat="1" ht="12.75"/>
    <row r="522" s="84" customFormat="1" ht="12.75"/>
    <row r="523" s="84" customFormat="1" ht="12.75"/>
    <row r="524" s="84" customFormat="1" ht="12.75"/>
    <row r="525" s="84" customFormat="1" ht="12.75"/>
    <row r="526" s="84" customFormat="1" ht="12.75"/>
    <row r="527" s="84" customFormat="1" ht="12.75"/>
    <row r="528" s="84" customFormat="1" ht="12.75"/>
    <row r="529" s="84" customFormat="1" ht="12.75"/>
    <row r="530" s="84" customFormat="1" ht="12.75"/>
    <row r="531" s="84" customFormat="1" ht="12.75"/>
    <row r="532" s="84" customFormat="1" ht="12.75"/>
    <row r="533" s="84" customFormat="1" ht="12.75"/>
    <row r="534" s="84" customFormat="1" ht="12.75"/>
    <row r="535" s="84" customFormat="1" ht="12.75"/>
    <row r="536" s="84" customFormat="1" ht="12.75"/>
    <row r="537" s="84" customFormat="1" ht="12.75"/>
    <row r="538" s="84" customFormat="1" ht="12.75"/>
    <row r="539" s="84" customFormat="1" ht="12.75"/>
    <row r="540" s="84" customFormat="1" ht="12.75"/>
    <row r="541" s="84" customFormat="1" ht="12.75"/>
    <row r="542" s="84" customFormat="1" ht="12.75"/>
    <row r="543" s="84" customFormat="1" ht="12.75"/>
    <row r="544" s="84" customFormat="1" ht="12.75"/>
    <row r="545" s="84" customFormat="1" ht="12.75"/>
    <row r="546" s="84" customFormat="1" ht="12.75"/>
    <row r="547" s="84" customFormat="1" ht="12.75"/>
    <row r="548" s="84" customFormat="1" ht="12.75"/>
    <row r="549" s="84" customFormat="1" ht="12.75"/>
    <row r="550" s="84" customFormat="1" ht="12.75"/>
    <row r="551" s="84" customFormat="1" ht="12.75"/>
    <row r="552" s="84" customFormat="1" ht="12.75"/>
    <row r="553" s="84" customFormat="1" ht="12.75"/>
    <row r="554" s="84" customFormat="1" ht="12.75"/>
    <row r="555" s="84" customFormat="1" ht="12.75"/>
    <row r="556" s="84" customFormat="1" ht="12.75"/>
    <row r="557" s="84" customFormat="1" ht="12.75"/>
    <row r="558" s="84" customFormat="1" ht="12.75"/>
    <row r="559" s="84" customFormat="1" ht="12.75"/>
    <row r="560" s="84" customFormat="1" ht="12.75"/>
    <row r="561" s="84" customFormat="1" ht="12.75"/>
    <row r="562" s="84" customFormat="1" ht="12.75"/>
    <row r="563" s="84" customFormat="1" ht="12.75"/>
    <row r="564" s="84" customFormat="1" ht="12.75"/>
    <row r="565" s="84" customFormat="1" ht="12.75"/>
    <row r="566" s="84" customFormat="1" ht="12.75"/>
    <row r="567" s="84" customFormat="1" ht="12.75"/>
    <row r="568" s="84" customFormat="1" ht="12.75"/>
    <row r="569" s="84" customFormat="1" ht="12.75"/>
    <row r="570" s="84" customFormat="1" ht="12.75"/>
    <row r="571" s="84" customFormat="1" ht="12.75"/>
    <row r="572" s="84" customFormat="1" ht="12.75"/>
    <row r="573" s="84" customFormat="1" ht="12.75"/>
    <row r="574" s="84" customFormat="1" ht="12.75"/>
    <row r="575" s="84" customFormat="1" ht="12.75"/>
    <row r="576" s="84" customFormat="1" ht="12.75"/>
    <row r="577" s="84" customFormat="1" ht="12.75"/>
    <row r="578" s="84" customFormat="1" ht="12.75"/>
    <row r="579" s="84" customFormat="1" ht="12.75"/>
    <row r="580" s="84" customFormat="1" ht="12.75"/>
    <row r="581" s="84" customFormat="1" ht="12.75"/>
    <row r="582" s="84" customFormat="1" ht="12.75"/>
    <row r="583" s="84" customFormat="1" ht="12.75"/>
    <row r="584" s="84" customFormat="1" ht="12.75"/>
    <row r="585" s="84" customFormat="1" ht="12.75"/>
    <row r="586" s="84" customFormat="1" ht="12.75"/>
    <row r="587" s="84" customFormat="1" ht="12.75"/>
    <row r="588" s="84" customFormat="1" ht="12.75"/>
    <row r="589" s="84" customFormat="1" ht="12.75"/>
    <row r="590" s="84" customFormat="1" ht="12.75"/>
    <row r="591" s="84" customFormat="1" ht="12.75"/>
    <row r="592" s="84" customFormat="1" ht="12.75"/>
    <row r="593" s="84" customFormat="1" ht="12.75"/>
    <row r="594" s="84" customFormat="1" ht="12.75"/>
    <row r="595" s="84" customFormat="1" ht="12.75"/>
    <row r="596" s="84" customFormat="1" ht="12.75"/>
    <row r="597" s="84" customFormat="1" ht="12.75"/>
    <row r="598" s="84" customFormat="1" ht="12.75"/>
    <row r="599" s="84" customFormat="1" ht="12.75"/>
    <row r="600" s="84" customFormat="1" ht="12.75"/>
    <row r="601" s="84" customFormat="1" ht="12.75"/>
    <row r="602" s="84" customFormat="1" ht="12.75"/>
    <row r="603" s="84" customFormat="1" ht="12.75"/>
    <row r="604" s="84" customFormat="1" ht="12.75"/>
    <row r="605" s="84" customFormat="1" ht="12.75"/>
    <row r="606" s="84" customFormat="1" ht="12.75"/>
    <row r="607" s="84" customFormat="1" ht="12.75"/>
    <row r="608" s="84" customFormat="1" ht="12.75"/>
    <row r="609" s="84" customFormat="1" ht="12.75"/>
    <row r="610" s="84" customFormat="1" ht="12.75"/>
    <row r="611" s="84" customFormat="1" ht="12.75"/>
    <row r="612" s="84" customFormat="1" ht="12.75"/>
    <row r="613" s="84" customFormat="1" ht="12.75"/>
    <row r="614" s="84" customFormat="1" ht="12.75"/>
    <row r="615" s="84" customFormat="1" ht="12.75"/>
    <row r="616" s="84" customFormat="1" ht="12.75"/>
    <row r="617" s="84" customFormat="1" ht="12.75"/>
    <row r="618" s="84" customFormat="1" ht="12.75"/>
    <row r="619" s="84" customFormat="1" ht="12.75"/>
    <row r="620" s="84" customFormat="1" ht="12.75"/>
    <row r="621" s="84" customFormat="1" ht="12.75"/>
    <row r="622" s="84" customFormat="1" ht="12.75"/>
    <row r="623" s="84" customFormat="1" ht="12.75"/>
    <row r="624" s="84" customFormat="1" ht="12.75"/>
    <row r="625" s="84" customFormat="1" ht="12.75"/>
    <row r="626" s="84" customFormat="1" ht="12.75"/>
    <row r="627" s="84" customFormat="1" ht="12.75"/>
    <row r="628" s="84" customFormat="1" ht="12.75"/>
    <row r="629" s="84" customFormat="1" ht="12.75"/>
    <row r="630" s="84" customFormat="1" ht="12.75"/>
    <row r="631" s="84" customFormat="1" ht="12.75"/>
    <row r="632" s="84" customFormat="1" ht="12.75"/>
    <row r="633" s="84" customFormat="1" ht="12.75"/>
    <row r="634" s="84" customFormat="1" ht="12.75"/>
    <row r="635" s="84" customFormat="1" ht="12.75"/>
    <row r="636" s="84" customFormat="1" ht="12.75"/>
    <row r="637" s="84" customFormat="1" ht="12.75"/>
  </sheetData>
  <sheetProtection password="EF65" sheet="1" objects="1" scenarios="1"/>
  <mergeCells count="135">
    <mergeCell ref="B34:C34"/>
    <mergeCell ref="H39:K39"/>
    <mergeCell ref="H37:K37"/>
    <mergeCell ref="B46:C46"/>
    <mergeCell ref="D45:G45"/>
    <mergeCell ref="B38:C38"/>
    <mergeCell ref="B39:C39"/>
    <mergeCell ref="D35:G35"/>
    <mergeCell ref="D36:G36"/>
    <mergeCell ref="D37:G37"/>
    <mergeCell ref="D38:G38"/>
    <mergeCell ref="D39:G39"/>
    <mergeCell ref="D41:G41"/>
    <mergeCell ref="D42:G42"/>
    <mergeCell ref="D43:G43"/>
    <mergeCell ref="D44:G44"/>
    <mergeCell ref="A40:K40"/>
    <mergeCell ref="B35:C35"/>
    <mergeCell ref="B36:C36"/>
    <mergeCell ref="H38:K38"/>
    <mergeCell ref="E4:G4"/>
    <mergeCell ref="E5:G5"/>
    <mergeCell ref="F2:G2"/>
    <mergeCell ref="I15:K15"/>
    <mergeCell ref="A16:K16"/>
    <mergeCell ref="B19:C19"/>
    <mergeCell ref="A17:A19"/>
    <mergeCell ref="B10:C10"/>
    <mergeCell ref="B11:C11"/>
    <mergeCell ref="I10:K10"/>
    <mergeCell ref="I11:K11"/>
    <mergeCell ref="I14:K14"/>
    <mergeCell ref="B12:C12"/>
    <mergeCell ref="B14:C14"/>
    <mergeCell ref="J19:K19"/>
    <mergeCell ref="B15:C15"/>
    <mergeCell ref="E9:G9"/>
    <mergeCell ref="B5:C5"/>
    <mergeCell ref="B6:C6"/>
    <mergeCell ref="D24:E24"/>
    <mergeCell ref="J17:K17"/>
    <mergeCell ref="H19:I19"/>
    <mergeCell ref="B22:C22"/>
    <mergeCell ref="A51:K51"/>
    <mergeCell ref="H50:K50"/>
    <mergeCell ref="H49:K49"/>
    <mergeCell ref="H41:K41"/>
    <mergeCell ref="H48:K48"/>
    <mergeCell ref="H42:K42"/>
    <mergeCell ref="H44:K44"/>
    <mergeCell ref="H43:K43"/>
    <mergeCell ref="B48:C48"/>
    <mergeCell ref="B45:C45"/>
    <mergeCell ref="B41:C41"/>
    <mergeCell ref="B42:C42"/>
    <mergeCell ref="B50:C50"/>
    <mergeCell ref="B43:C43"/>
    <mergeCell ref="H45:K45"/>
    <mergeCell ref="B49:C49"/>
    <mergeCell ref="B47:C47"/>
    <mergeCell ref="H47:K47"/>
    <mergeCell ref="A29:K29"/>
    <mergeCell ref="B44:C44"/>
    <mergeCell ref="D50:G50"/>
    <mergeCell ref="D49:G49"/>
    <mergeCell ref="D46:G46"/>
    <mergeCell ref="D47:G47"/>
    <mergeCell ref="D48:G48"/>
    <mergeCell ref="H46:K46"/>
    <mergeCell ref="A1:K1"/>
    <mergeCell ref="I9:K9"/>
    <mergeCell ref="A3:K3"/>
    <mergeCell ref="A4:C4"/>
    <mergeCell ref="I4:K4"/>
    <mergeCell ref="I7:K7"/>
    <mergeCell ref="I8:K8"/>
    <mergeCell ref="B9:C9"/>
    <mergeCell ref="B7:C7"/>
    <mergeCell ref="B8:C8"/>
    <mergeCell ref="E6:G6"/>
    <mergeCell ref="A2:B2"/>
    <mergeCell ref="C2:E2"/>
    <mergeCell ref="I5:K5"/>
    <mergeCell ref="I6:K6"/>
    <mergeCell ref="H2:K2"/>
    <mergeCell ref="E7:G7"/>
    <mergeCell ref="E8:G8"/>
    <mergeCell ref="D21:E21"/>
    <mergeCell ref="H26:K26"/>
    <mergeCell ref="B23:C23"/>
    <mergeCell ref="B26:C26"/>
    <mergeCell ref="B24:C24"/>
    <mergeCell ref="D23:E23"/>
    <mergeCell ref="A25:K25"/>
    <mergeCell ref="E10:G10"/>
    <mergeCell ref="E11:G11"/>
    <mergeCell ref="E12:G12"/>
    <mergeCell ref="E14:G14"/>
    <mergeCell ref="E15:G15"/>
    <mergeCell ref="D26:G26"/>
    <mergeCell ref="D22:E22"/>
    <mergeCell ref="D20:E20"/>
    <mergeCell ref="D17:E18"/>
    <mergeCell ref="F17:G17"/>
    <mergeCell ref="F19:G19"/>
    <mergeCell ref="I12:K12"/>
    <mergeCell ref="I13:K13"/>
    <mergeCell ref="B13:C13"/>
    <mergeCell ref="E13:G13"/>
    <mergeCell ref="B21:C21"/>
    <mergeCell ref="H17:I17"/>
    <mergeCell ref="B27:C27"/>
    <mergeCell ref="H27:K27"/>
    <mergeCell ref="B30:C30"/>
    <mergeCell ref="B37:C37"/>
    <mergeCell ref="B17:C18"/>
    <mergeCell ref="H28:K28"/>
    <mergeCell ref="H32:K32"/>
    <mergeCell ref="B32:C32"/>
    <mergeCell ref="H35:K35"/>
    <mergeCell ref="H30:K30"/>
    <mergeCell ref="H34:K34"/>
    <mergeCell ref="A33:K33"/>
    <mergeCell ref="H36:K36"/>
    <mergeCell ref="B28:C28"/>
    <mergeCell ref="B31:C31"/>
    <mergeCell ref="H31:K31"/>
    <mergeCell ref="D27:G27"/>
    <mergeCell ref="D28:G28"/>
    <mergeCell ref="D30:G30"/>
    <mergeCell ref="D31:G31"/>
    <mergeCell ref="D32:G32"/>
    <mergeCell ref="D34:G34"/>
    <mergeCell ref="B20:C20"/>
    <mergeCell ref="D19:E19"/>
  </mergeCells>
  <printOptions horizontalCentered="1" verticalCentered="1"/>
  <pageMargins left="0.393700787401575" right="0.393700787401575" top="0.393700787401575" bottom="0.196850393700787" header="0.511811023622047" footer="0.511811023622047"/>
  <pageSetup orientation="portrait" paperSize="9" scale="86" r:id="rId3"/>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m="http://schemas.microsoft.com/office/excel/2006/main" xmlns:xr="http://schemas.microsoft.com/office/spreadsheetml/2014/revision" xmlns:xr2="http://schemas.microsoft.com/office/spreadsheetml/2015/revision2" xmlns:xr3="http://schemas.microsoft.com/office/spreadsheetml/2016/revision3" mc:Ignorable="x14ac xr xr2 xr3" xr:uid="{00000000-0001-0000-0800-000000000000}">
  <sheetPr codeName="List4">
    <tabColor rgb="FFFFCCFF"/>
    <pageSetUpPr fitToPage="1"/>
  </sheetPr>
  <dimension ref="A1:K58"/>
  <sheetViews>
    <sheetView showZeros="0" workbookViewId="0" topLeftCell="A1">
      <selection pane="topLeft" activeCell="K4" sqref="K4"/>
    </sheetView>
  </sheetViews>
  <sheetFormatPr defaultColWidth="9.14428571428571" defaultRowHeight="12.75"/>
  <cols>
    <col min="1" max="1" width="11.1428571428571" style="26" customWidth="1"/>
    <col min="2" max="2" width="20.4285714285714" style="26" customWidth="1"/>
    <col min="3" max="3" width="14.1428571428571" style="26" customWidth="1"/>
    <col min="4" max="4" width="4.85714285714286" style="26" customWidth="1"/>
    <col min="5" max="5" width="11.8571428571429" style="26" customWidth="1"/>
    <col min="6" max="6" width="11" style="26" customWidth="1"/>
    <col min="7" max="7" width="3.14285714285714" style="26" customWidth="1"/>
    <col min="8" max="8" width="6.71428571428571" style="26" customWidth="1"/>
    <col min="9" max="9" width="10.2857142857143" style="26" customWidth="1"/>
    <col min="10" max="11" width="6.71428571428571" style="26" customWidth="1"/>
    <col min="12" max="16384" width="9.14285714285714" style="25"/>
  </cols>
  <sheetData>
    <row r="1" spans="1:11" ht="12.75">
      <c r="A1" s="1144" t="s">
        <v>3577</v>
      </c>
      <c r="B1" s="1145"/>
      <c r="C1" s="1145"/>
      <c r="D1" s="1145"/>
      <c r="E1" s="1145"/>
      <c r="F1" s="1145"/>
      <c r="G1" s="1145"/>
      <c r="H1" s="1145"/>
      <c r="I1" s="1145"/>
      <c r="J1" s="1145"/>
      <c r="K1" s="1145"/>
    </row>
    <row r="2" spans="1:11" ht="14.1" customHeight="1" thickBot="1">
      <c r="A2" s="1146" t="s">
        <v>3578</v>
      </c>
      <c r="B2" s="1147"/>
      <c r="C2" s="1147"/>
      <c r="D2" s="1147"/>
      <c r="E2" s="1147"/>
      <c r="F2" s="1147"/>
      <c r="G2" s="1147"/>
      <c r="H2" s="1147"/>
      <c r="I2" s="1147"/>
      <c r="J2" s="1147"/>
      <c r="K2" s="1147"/>
    </row>
    <row r="3" spans="1:11" ht="17.1" customHeight="1">
      <c r="A3" s="1148" t="s">
        <v>172</v>
      </c>
      <c r="B3" s="1149"/>
      <c r="C3" s="1149"/>
      <c r="D3" s="1149"/>
      <c r="E3" s="1149"/>
      <c r="F3" s="1149"/>
      <c r="G3" s="1149"/>
      <c r="H3" s="1149"/>
      <c r="I3" s="1149"/>
      <c r="J3" s="1150"/>
      <c r="K3" s="237"/>
    </row>
    <row r="4" spans="1:11" ht="17.1" customHeight="1">
      <c r="A4" s="1095" t="s">
        <v>3580</v>
      </c>
      <c r="B4" s="1096"/>
      <c r="C4" s="1096"/>
      <c r="D4" s="1096"/>
      <c r="E4" s="1096"/>
      <c r="F4" s="1096"/>
      <c r="G4" s="1096"/>
      <c r="H4" s="1096"/>
      <c r="I4" s="1097"/>
      <c r="J4" s="1098"/>
      <c r="K4" s="235"/>
    </row>
    <row r="5" spans="1:11" ht="17.1" customHeight="1">
      <c r="A5" s="1095" t="s">
        <v>3751</v>
      </c>
      <c r="B5" s="1096"/>
      <c r="C5" s="1096"/>
      <c r="D5" s="1096"/>
      <c r="E5" s="1096"/>
      <c r="F5" s="1096"/>
      <c r="G5" s="1096"/>
      <c r="H5" s="1096"/>
      <c r="I5" s="1097"/>
      <c r="J5" s="1098"/>
      <c r="K5" s="235"/>
    </row>
    <row r="6" spans="1:11" ht="16.5" customHeight="1">
      <c r="A6" s="1095" t="s">
        <v>3579</v>
      </c>
      <c r="B6" s="1096"/>
      <c r="C6" s="1096"/>
      <c r="D6" s="1096"/>
      <c r="E6" s="1096"/>
      <c r="F6" s="1096"/>
      <c r="G6" s="1096"/>
      <c r="H6" s="1096"/>
      <c r="I6" s="1097"/>
      <c r="J6" s="1098"/>
      <c r="K6" s="235"/>
    </row>
    <row r="7" spans="1:11" ht="17.1" customHeight="1">
      <c r="A7" s="1095" t="s">
        <v>299</v>
      </c>
      <c r="B7" s="1096"/>
      <c r="C7" s="1096"/>
      <c r="D7" s="1096"/>
      <c r="E7" s="1096"/>
      <c r="F7" s="1096"/>
      <c r="G7" s="1096"/>
      <c r="H7" s="1096"/>
      <c r="I7" s="1097"/>
      <c r="J7" s="1098"/>
      <c r="K7" s="235"/>
    </row>
    <row r="8" spans="1:11" ht="24" customHeight="1">
      <c r="A8" s="1095" t="s">
        <v>3581</v>
      </c>
      <c r="B8" s="1096"/>
      <c r="C8" s="1096"/>
      <c r="D8" s="1096"/>
      <c r="E8" s="1096"/>
      <c r="F8" s="1096"/>
      <c r="G8" s="1096"/>
      <c r="H8" s="1096"/>
      <c r="I8" s="1097"/>
      <c r="J8" s="1098"/>
      <c r="K8" s="235"/>
    </row>
    <row r="9" spans="1:11" ht="16.5" customHeight="1">
      <c r="A9" s="1095" t="s">
        <v>102</v>
      </c>
      <c r="B9" s="1096"/>
      <c r="C9" s="1096"/>
      <c r="D9" s="1096"/>
      <c r="E9" s="1096"/>
      <c r="F9" s="1096"/>
      <c r="G9" s="1096"/>
      <c r="H9" s="1096"/>
      <c r="I9" s="1097"/>
      <c r="J9" s="1098"/>
      <c r="K9" s="235"/>
    </row>
    <row r="10" spans="1:11" ht="17.1" customHeight="1">
      <c r="A10" s="1095" t="s">
        <v>3752</v>
      </c>
      <c r="B10" s="1096"/>
      <c r="C10" s="1096"/>
      <c r="D10" s="1096"/>
      <c r="E10" s="1096"/>
      <c r="F10" s="1096"/>
      <c r="G10" s="1096"/>
      <c r="H10" s="1096"/>
      <c r="I10" s="1097"/>
      <c r="J10" s="1098"/>
      <c r="K10" s="235"/>
    </row>
    <row r="11" spans="1:11" ht="17.1" customHeight="1">
      <c r="A11" s="1095" t="s">
        <v>3753</v>
      </c>
      <c r="B11" s="1096"/>
      <c r="C11" s="1096"/>
      <c r="D11" s="1096"/>
      <c r="E11" s="1096"/>
      <c r="F11" s="1096"/>
      <c r="G11" s="1096"/>
      <c r="H11" s="1096"/>
      <c r="I11" s="1097"/>
      <c r="J11" s="1098"/>
      <c r="K11" s="235"/>
    </row>
    <row r="12" spans="1:11" ht="17.1" customHeight="1">
      <c r="A12" s="1095" t="s">
        <v>3754</v>
      </c>
      <c r="B12" s="1096"/>
      <c r="C12" s="1096"/>
      <c r="D12" s="1096"/>
      <c r="E12" s="1096"/>
      <c r="F12" s="1096"/>
      <c r="G12" s="1096"/>
      <c r="H12" s="1096"/>
      <c r="I12" s="1097"/>
      <c r="J12" s="1098"/>
      <c r="K12" s="235"/>
    </row>
    <row r="13" spans="1:11" ht="17.1" customHeight="1">
      <c r="A13" s="1095" t="s">
        <v>3755</v>
      </c>
      <c r="B13" s="1096"/>
      <c r="C13" s="1096"/>
      <c r="D13" s="1096"/>
      <c r="E13" s="1096"/>
      <c r="F13" s="1096"/>
      <c r="G13" s="1096"/>
      <c r="H13" s="1096"/>
      <c r="I13" s="1097"/>
      <c r="J13" s="1098"/>
      <c r="K13" s="235"/>
    </row>
    <row r="14" spans="1:11" ht="16.5" customHeight="1">
      <c r="A14" s="1095" t="s">
        <v>3756</v>
      </c>
      <c r="B14" s="1096"/>
      <c r="C14" s="1096"/>
      <c r="D14" s="1096"/>
      <c r="E14" s="1096"/>
      <c r="F14" s="1096"/>
      <c r="G14" s="1096"/>
      <c r="H14" s="1096"/>
      <c r="I14" s="1097"/>
      <c r="J14" s="1098"/>
      <c r="K14" s="235"/>
    </row>
    <row r="15" spans="1:11" ht="16.5" customHeight="1">
      <c r="A15" s="1095" t="s">
        <v>3689</v>
      </c>
      <c r="B15" s="1096"/>
      <c r="C15" s="1096"/>
      <c r="D15" s="1096"/>
      <c r="E15" s="1096"/>
      <c r="F15" s="1096"/>
      <c r="G15" s="1096"/>
      <c r="H15" s="1096"/>
      <c r="I15" s="1097"/>
      <c r="J15" s="1098"/>
      <c r="K15" s="235"/>
    </row>
    <row r="16" spans="1:11" ht="16.5" customHeight="1">
      <c r="A16" s="1095" t="s">
        <v>261</v>
      </c>
      <c r="B16" s="1096"/>
      <c r="C16" s="1096"/>
      <c r="D16" s="1096"/>
      <c r="E16" s="1096"/>
      <c r="F16" s="1096"/>
      <c r="G16" s="1096"/>
      <c r="H16" s="1096"/>
      <c r="I16" s="1097"/>
      <c r="J16" s="1098"/>
      <c r="K16" s="235"/>
    </row>
    <row r="17" spans="1:11" ht="16.5" customHeight="1">
      <c r="A17" s="1095" t="s">
        <v>3892</v>
      </c>
      <c r="B17" s="1096"/>
      <c r="C17" s="1096"/>
      <c r="D17" s="1096"/>
      <c r="E17" s="1096"/>
      <c r="F17" s="1096"/>
      <c r="G17" s="1096"/>
      <c r="H17" s="1096"/>
      <c r="I17" s="1097"/>
      <c r="J17" s="1098"/>
      <c r="K17" s="235"/>
    </row>
    <row r="18" spans="1:11" ht="16.5" customHeight="1">
      <c r="A18" s="1095" t="s">
        <v>103</v>
      </c>
      <c r="B18" s="1096"/>
      <c r="C18" s="1096"/>
      <c r="D18" s="1096"/>
      <c r="E18" s="1096"/>
      <c r="F18" s="1096"/>
      <c r="G18" s="1096"/>
      <c r="H18" s="1096"/>
      <c r="I18" s="1097"/>
      <c r="J18" s="1098"/>
      <c r="K18" s="235"/>
    </row>
    <row r="19" spans="1:11" ht="16.5" customHeight="1">
      <c r="A19" s="1095" t="s">
        <v>104</v>
      </c>
      <c r="B19" s="1096"/>
      <c r="C19" s="1096"/>
      <c r="D19" s="1096"/>
      <c r="E19" s="1096"/>
      <c r="F19" s="1096"/>
      <c r="G19" s="1096"/>
      <c r="H19" s="1096"/>
      <c r="I19" s="1097"/>
      <c r="J19" s="1098"/>
      <c r="K19" s="235"/>
    </row>
    <row r="20" spans="1:11" ht="16.5" customHeight="1">
      <c r="A20" s="1095" t="s">
        <v>350</v>
      </c>
      <c r="B20" s="1096"/>
      <c r="C20" s="1096"/>
      <c r="D20" s="1096"/>
      <c r="E20" s="1096"/>
      <c r="F20" s="1096"/>
      <c r="G20" s="1096"/>
      <c r="H20" s="1096"/>
      <c r="I20" s="1097"/>
      <c r="J20" s="1098"/>
      <c r="K20" s="235"/>
    </row>
    <row r="21" spans="1:11" ht="16.5" customHeight="1">
      <c r="A21" s="1095" t="s">
        <v>176</v>
      </c>
      <c r="B21" s="1096"/>
      <c r="C21" s="1096"/>
      <c r="D21" s="1096"/>
      <c r="E21" s="1096"/>
      <c r="F21" s="1096"/>
      <c r="G21" s="1096"/>
      <c r="H21" s="1096"/>
      <c r="I21" s="1097"/>
      <c r="J21" s="1098"/>
      <c r="K21" s="235"/>
    </row>
    <row r="22" spans="1:11" ht="17.1" customHeight="1" thickBot="1">
      <c r="A22" s="1132" t="s">
        <v>105</v>
      </c>
      <c r="B22" s="1133"/>
      <c r="C22" s="1133"/>
      <c r="D22" s="1133"/>
      <c r="E22" s="1133"/>
      <c r="F22" s="1133"/>
      <c r="G22" s="1133"/>
      <c r="H22" s="1133"/>
      <c r="I22" s="1134"/>
      <c r="J22" s="1135"/>
      <c r="K22" s="236">
        <f>SUM(K4:K21)</f>
        <v>0</v>
      </c>
    </row>
    <row r="23" spans="1:11" ht="6" customHeight="1" thickBot="1">
      <c r="A23" s="1099"/>
      <c r="B23" s="1099"/>
      <c r="C23" s="1099"/>
      <c r="D23" s="1099"/>
      <c r="E23" s="1099"/>
      <c r="F23" s="1099"/>
      <c r="G23" s="1099"/>
      <c r="H23" s="1099"/>
      <c r="I23" s="1099"/>
      <c r="J23" s="1099"/>
      <c r="K23" s="1099"/>
    </row>
    <row r="24" spans="1:11" ht="26.25" customHeight="1">
      <c r="A24" s="1136" t="s">
        <v>3582</v>
      </c>
      <c r="B24" s="1137"/>
      <c r="C24" s="1137"/>
      <c r="D24" s="1137"/>
      <c r="E24" s="1137"/>
      <c r="F24" s="1137"/>
      <c r="G24" s="1137"/>
      <c r="H24" s="1137"/>
      <c r="I24" s="1137"/>
      <c r="J24" s="1137"/>
      <c r="K24" s="1137"/>
    </row>
    <row r="25" spans="1:11" ht="9" customHeight="1" thickBot="1">
      <c r="A25" s="1100"/>
      <c r="B25" s="745"/>
      <c r="C25" s="745"/>
      <c r="D25" s="745"/>
      <c r="E25" s="745"/>
      <c r="F25" s="745"/>
      <c r="G25" s="745"/>
      <c r="H25" s="745"/>
      <c r="I25" s="745"/>
      <c r="J25" s="745"/>
      <c r="K25" s="745"/>
    </row>
    <row r="26" spans="1:11" ht="14.1" customHeight="1">
      <c r="A26" s="1158" t="s">
        <v>3584</v>
      </c>
      <c r="B26" s="945"/>
      <c r="C26" s="1141" t="s">
        <v>3583</v>
      </c>
      <c r="D26" s="1141"/>
      <c r="E26" s="1169"/>
      <c r="F26" s="1169"/>
      <c r="G26" s="1169"/>
      <c r="H26" s="1169"/>
      <c r="I26" s="1169"/>
      <c r="J26" s="1169"/>
      <c r="K26" s="1170"/>
    </row>
    <row r="27" spans="1:11" ht="18" customHeight="1">
      <c r="A27" s="1155"/>
      <c r="B27" s="1156"/>
      <c r="C27" s="1142"/>
      <c r="D27" s="1143"/>
      <c r="E27" s="857"/>
      <c r="F27" s="857"/>
      <c r="G27" s="857"/>
      <c r="H27" s="857"/>
      <c r="I27" s="857"/>
      <c r="J27" s="857"/>
      <c r="K27" s="1157"/>
    </row>
    <row r="28" spans="1:11" ht="14.1" customHeight="1">
      <c r="A28" s="1138" t="s">
        <v>351</v>
      </c>
      <c r="B28" s="1139"/>
      <c r="C28" s="1139"/>
      <c r="D28" s="1139"/>
      <c r="E28" s="1139"/>
      <c r="F28" s="1139"/>
      <c r="G28" s="1139"/>
      <c r="H28" s="1139"/>
      <c r="I28" s="1139"/>
      <c r="J28" s="1139"/>
      <c r="K28" s="1140"/>
    </row>
    <row r="29" spans="1:11" ht="18" customHeight="1">
      <c r="A29" s="1092" t="str">
        <f>+CONCATENATE(ZAKL_DATA!D21," ",ZAKL_DATA!D20," ",ZAKL_DATA!D22)</f>
        <v xml:space="preserve">  </v>
      </c>
      <c r="B29" s="1093"/>
      <c r="C29" s="1093"/>
      <c r="D29" s="1093"/>
      <c r="E29" s="1093"/>
      <c r="F29" s="1093"/>
      <c r="G29" s="1093"/>
      <c r="H29" s="1093"/>
      <c r="I29" s="1093"/>
      <c r="J29" s="1093"/>
      <c r="K29" s="1094"/>
    </row>
    <row r="30" spans="1:11" ht="14.1" customHeight="1">
      <c r="A30" s="1138" t="s">
        <v>39</v>
      </c>
      <c r="B30" s="1139"/>
      <c r="C30" s="1139"/>
      <c r="D30" s="1139"/>
      <c r="E30" s="1139"/>
      <c r="F30" s="1139"/>
      <c r="G30" s="1139"/>
      <c r="H30" s="1139"/>
      <c r="I30" s="1139"/>
      <c r="J30" s="1139"/>
      <c r="K30" s="1140"/>
    </row>
    <row r="31" spans="1:11" ht="18" customHeight="1">
      <c r="A31" s="1092"/>
      <c r="B31" s="1093"/>
      <c r="C31" s="1093"/>
      <c r="D31" s="1093"/>
      <c r="E31" s="1093"/>
      <c r="F31" s="1093"/>
      <c r="G31" s="1093"/>
      <c r="H31" s="1093"/>
      <c r="I31" s="1093"/>
      <c r="J31" s="1093"/>
      <c r="K31" s="1094"/>
    </row>
    <row r="32" spans="1:11" ht="14.1" customHeight="1">
      <c r="A32" s="1154" t="s">
        <v>3893</v>
      </c>
      <c r="B32" s="1139"/>
      <c r="C32" s="1139"/>
      <c r="D32" s="1139"/>
      <c r="E32" s="1139"/>
      <c r="F32" s="1139"/>
      <c r="G32" s="1139"/>
      <c r="H32" s="1139"/>
      <c r="I32" s="1139"/>
      <c r="J32" s="1139"/>
      <c r="K32" s="1140"/>
    </row>
    <row r="33" spans="1:11" ht="14.1" customHeight="1">
      <c r="A33" s="1154" t="s">
        <v>3585</v>
      </c>
      <c r="B33" s="1139"/>
      <c r="C33" s="1139"/>
      <c r="D33" s="1139"/>
      <c r="E33" s="1139"/>
      <c r="F33" s="1139"/>
      <c r="G33" s="1139"/>
      <c r="H33" s="1139"/>
      <c r="I33" s="1139"/>
      <c r="J33" s="1139"/>
      <c r="K33" s="1140"/>
    </row>
    <row r="34" spans="1:11" ht="14.1" customHeight="1">
      <c r="A34" s="1138" t="s">
        <v>352</v>
      </c>
      <c r="B34" s="1139"/>
      <c r="C34" s="1139"/>
      <c r="D34" s="1139"/>
      <c r="E34" s="1139"/>
      <c r="F34" s="1139"/>
      <c r="G34" s="1139"/>
      <c r="H34" s="1139"/>
      <c r="I34" s="1139"/>
      <c r="J34" s="1139"/>
      <c r="K34" s="1140"/>
    </row>
    <row r="35" spans="1:11" ht="18" customHeight="1">
      <c r="A35" s="1092" t="str">
        <f>+CONCATENATE(ZAKL_DATA!D21," ",ZAKL_DATA!D20," ",ZAKL_DATA!D22)</f>
        <v xml:space="preserve">  </v>
      </c>
      <c r="B35" s="1093"/>
      <c r="C35" s="1093"/>
      <c r="D35" s="1093"/>
      <c r="E35" s="1093"/>
      <c r="F35" s="1093"/>
      <c r="G35" s="1093"/>
      <c r="H35" s="1093"/>
      <c r="I35" s="1093"/>
      <c r="J35" s="1093"/>
      <c r="K35" s="1094"/>
    </row>
    <row r="36" spans="1:11" ht="5.1" customHeight="1" thickBot="1">
      <c r="A36" s="1151"/>
      <c r="B36" s="1152"/>
      <c r="C36" s="1152"/>
      <c r="D36" s="1152"/>
      <c r="E36" s="1152"/>
      <c r="F36" s="1152"/>
      <c r="G36" s="1152"/>
      <c r="H36" s="1152"/>
      <c r="I36" s="1152"/>
      <c r="J36" s="1152"/>
      <c r="K36" s="1153"/>
    </row>
    <row r="37" spans="1:11" ht="5.1" customHeight="1" thickBot="1">
      <c r="A37" s="1176"/>
      <c r="B37" s="1177"/>
      <c r="C37" s="1177"/>
      <c r="D37" s="1177"/>
      <c r="E37" s="1177"/>
      <c r="F37" s="1177"/>
      <c r="G37" s="1177"/>
      <c r="H37" s="1177"/>
      <c r="I37" s="1177"/>
      <c r="J37" s="1177"/>
      <c r="K37" s="1177"/>
    </row>
    <row r="38" spans="1:11" ht="18" customHeight="1">
      <c r="A38" s="1178" t="s">
        <v>262</v>
      </c>
      <c r="B38" s="1179"/>
      <c r="C38" s="1179"/>
      <c r="D38" s="1179"/>
      <c r="E38" s="1179"/>
      <c r="F38" s="1179"/>
      <c r="G38" s="1179"/>
      <c r="H38" s="1179"/>
      <c r="I38" s="1179"/>
      <c r="J38" s="1179"/>
      <c r="K38" s="1180"/>
    </row>
    <row r="39" spans="1:11" ht="21.75" customHeight="1">
      <c r="A39" s="1174" t="s">
        <v>438</v>
      </c>
      <c r="B39" s="1175"/>
      <c r="C39" s="1131" t="s">
        <v>3586</v>
      </c>
      <c r="D39" s="1131"/>
      <c r="E39" s="1131"/>
      <c r="F39" s="1131"/>
      <c r="G39" s="1171" t="s">
        <v>354</v>
      </c>
      <c r="H39" s="1172"/>
      <c r="I39" s="1172"/>
      <c r="J39" s="1172"/>
      <c r="K39" s="1173"/>
    </row>
    <row r="40" spans="1:11" ht="18" customHeight="1">
      <c r="A40" s="1183">
        <f ca="1">+TODAY()</f>
        <v>43231</v>
      </c>
      <c r="B40" s="1184"/>
      <c r="C40" s="1131"/>
      <c r="D40" s="1131"/>
      <c r="E40" s="1131"/>
      <c r="F40" s="1131"/>
      <c r="G40" s="1125"/>
      <c r="H40" s="1126"/>
      <c r="I40" s="1126"/>
      <c r="J40" s="1126"/>
      <c r="K40" s="1127"/>
    </row>
    <row r="41" spans="1:11" ht="18" customHeight="1">
      <c r="A41" s="1181"/>
      <c r="B41" s="1182"/>
      <c r="C41" s="1131"/>
      <c r="D41" s="1131"/>
      <c r="E41" s="1131"/>
      <c r="F41" s="1131"/>
      <c r="G41" s="1128"/>
      <c r="H41" s="1129"/>
      <c r="I41" s="1129"/>
      <c r="J41" s="1129"/>
      <c r="K41" s="1130"/>
    </row>
    <row r="42" spans="1:11" ht="5.1" customHeight="1" thickBot="1">
      <c r="A42" s="1101"/>
      <c r="B42" s="871"/>
      <c r="C42" s="871"/>
      <c r="D42" s="871"/>
      <c r="E42" s="871"/>
      <c r="F42" s="871"/>
      <c r="G42" s="871"/>
      <c r="H42" s="871"/>
      <c r="I42" s="871"/>
      <c r="J42" s="871"/>
      <c r="K42" s="1102"/>
    </row>
    <row r="43" spans="1:11" ht="5.1" customHeight="1">
      <c r="A43" s="988"/>
      <c r="B43" s="989"/>
      <c r="C43" s="989"/>
      <c r="D43" s="989"/>
      <c r="E43" s="989"/>
      <c r="F43" s="989"/>
      <c r="G43" s="989"/>
      <c r="H43" s="989"/>
      <c r="I43" s="989"/>
      <c r="J43" s="989"/>
      <c r="K43" s="989"/>
    </row>
    <row r="44" spans="1:11" s="27" customFormat="1" ht="14.1" customHeight="1">
      <c r="A44" s="1166"/>
      <c r="B44" s="745"/>
      <c r="C44" s="745"/>
      <c r="D44" s="745"/>
      <c r="E44" s="745"/>
      <c r="F44" s="1112" t="s">
        <v>304</v>
      </c>
      <c r="G44" s="790"/>
      <c r="H44" s="790"/>
      <c r="I44" s="790"/>
      <c r="J44" s="790"/>
      <c r="K44" s="791"/>
    </row>
    <row r="45" spans="1:11" s="27" customFormat="1" ht="9.95" customHeight="1">
      <c r="A45" s="1167" t="s">
        <v>171</v>
      </c>
      <c r="B45" s="745"/>
      <c r="C45" s="745"/>
      <c r="D45" s="745"/>
      <c r="E45" s="745"/>
      <c r="F45" s="792"/>
      <c r="G45" s="793"/>
      <c r="H45" s="793"/>
      <c r="I45" s="793"/>
      <c r="J45" s="793"/>
      <c r="K45" s="772"/>
    </row>
    <row r="46" spans="1:11" s="27" customFormat="1" ht="30.75" customHeight="1">
      <c r="A46" s="1164" t="s">
        <v>3587</v>
      </c>
      <c r="B46" s="1165"/>
      <c r="C46" s="1165"/>
      <c r="D46" s="1165"/>
      <c r="E46" s="1165"/>
      <c r="F46" s="792"/>
      <c r="G46" s="793"/>
      <c r="H46" s="793"/>
      <c r="I46" s="793"/>
      <c r="J46" s="793"/>
      <c r="K46" s="772"/>
    </row>
    <row r="47" spans="1:11" s="27" customFormat="1" ht="20.1" customHeight="1">
      <c r="A47" s="1110" t="s">
        <v>106</v>
      </c>
      <c r="B47" s="1111"/>
      <c r="C47" s="1111"/>
      <c r="D47" s="1111"/>
      <c r="E47" s="1111"/>
      <c r="F47" s="794"/>
      <c r="G47" s="795"/>
      <c r="H47" s="795"/>
      <c r="I47" s="795"/>
      <c r="J47" s="795"/>
      <c r="K47" s="796"/>
    </row>
    <row r="48" spans="1:11" s="27" customFormat="1" ht="5.1" customHeight="1" thickBot="1">
      <c r="A48" s="1116"/>
      <c r="B48" s="1117"/>
      <c r="C48" s="1117"/>
      <c r="D48" s="1117"/>
      <c r="E48" s="1117"/>
      <c r="F48" s="1117"/>
      <c r="G48" s="1117"/>
      <c r="H48" s="1117"/>
      <c r="I48" s="1117"/>
      <c r="J48" s="1117"/>
      <c r="K48" s="1117"/>
    </row>
    <row r="49" spans="1:11" s="27" customFormat="1" ht="18" customHeight="1">
      <c r="A49" s="1107" t="s">
        <v>3588</v>
      </c>
      <c r="B49" s="1108"/>
      <c r="C49" s="1108"/>
      <c r="D49" s="1108"/>
      <c r="E49" s="1108"/>
      <c r="F49" s="1108"/>
      <c r="G49" s="1108"/>
      <c r="H49" s="1108"/>
      <c r="I49" s="1108"/>
      <c r="J49" s="1108"/>
      <c r="K49" s="1109"/>
    </row>
    <row r="50" spans="1:11" s="27" customFormat="1" ht="18" customHeight="1">
      <c r="A50" s="1103" t="s">
        <v>3589</v>
      </c>
      <c r="B50" s="1104"/>
      <c r="C50" s="1104"/>
      <c r="D50" s="1104"/>
      <c r="E50" s="1104"/>
      <c r="F50" s="1104"/>
      <c r="G50" s="1104"/>
      <c r="H50" s="1104"/>
      <c r="I50" s="1104"/>
      <c r="J50" s="1104"/>
      <c r="K50" s="1105"/>
    </row>
    <row r="51" spans="1:11" s="27" customFormat="1" ht="18" customHeight="1">
      <c r="A51" s="1103" t="s">
        <v>215</v>
      </c>
      <c r="B51" s="745"/>
      <c r="C51" s="745"/>
      <c r="D51" s="1121">
        <f>MAX(-'DAP3'!D50,-'DAP3'!D36,0)</f>
        <v>0</v>
      </c>
      <c r="E51" s="1106"/>
      <c r="F51" s="1106"/>
      <c r="G51" s="1106"/>
      <c r="H51" s="1106"/>
      <c r="I51" s="1106"/>
      <c r="J51" s="1118"/>
      <c r="K51" s="116" t="s">
        <v>41</v>
      </c>
    </row>
    <row r="52" spans="1:11" s="27" customFormat="1" ht="18" customHeight="1">
      <c r="A52" s="1103" t="s">
        <v>3590</v>
      </c>
      <c r="B52" s="745"/>
      <c r="C52" s="1119" t="str">
        <f>IF(D51=0," ",+CONCATENATE(ZAKL_DATA!B16," ",ZAKL_DATA!B17,", ",ZAKL_DATA!B18))</f>
        <v xml:space="preserve"> </v>
      </c>
      <c r="D52" s="1118"/>
      <c r="E52" s="1118"/>
      <c r="F52" s="1118"/>
      <c r="G52" s="1118"/>
      <c r="H52" s="1118"/>
      <c r="I52" s="1118"/>
      <c r="J52" s="1118"/>
      <c r="K52" s="116"/>
    </row>
    <row r="53" spans="1:11" s="27" customFormat="1" ht="18" customHeight="1">
      <c r="A53" s="114" t="s">
        <v>285</v>
      </c>
      <c r="B53" s="115"/>
      <c r="C53" s="1106" t="str">
        <f>IF(D51=0," ",+CONCATENATE(ZAKL_DATA!B34))</f>
        <v xml:space="preserve"> </v>
      </c>
      <c r="D53" s="1118"/>
      <c r="E53" s="1118"/>
      <c r="F53" s="289" t="s">
        <v>286</v>
      </c>
      <c r="G53" s="1106" t="str">
        <f>IF(D51=0," ",+CONCATENATE(ZAKL_DATA!B32))</f>
        <v xml:space="preserve"> </v>
      </c>
      <c r="H53" s="1106"/>
      <c r="I53" s="1106"/>
      <c r="J53" s="1106"/>
      <c r="K53" s="116"/>
    </row>
    <row r="54" spans="1:11" s="27" customFormat="1" ht="18" customHeight="1">
      <c r="A54" s="114" t="s">
        <v>40</v>
      </c>
      <c r="B54" s="1120" t="str">
        <f>IF(D51=0," ",+CONCATENATE(ZAKL_DATA!B33))</f>
        <v xml:space="preserve"> </v>
      </c>
      <c r="C54" s="1120"/>
      <c r="D54" s="1120"/>
      <c r="E54" s="1104" t="s">
        <v>288</v>
      </c>
      <c r="F54" s="1104"/>
      <c r="G54" s="1104"/>
      <c r="H54" s="1122"/>
      <c r="I54" s="1122"/>
      <c r="J54" s="1122"/>
      <c r="K54" s="116"/>
    </row>
    <row r="55" spans="1:11" s="27" customFormat="1" ht="18" customHeight="1">
      <c r="A55" s="114" t="s">
        <v>254</v>
      </c>
      <c r="B55" s="1123" t="str">
        <f>IF(D51=0," ",+CONCATENATE('DAP1'!B28," ",'DAP1'!J28))</f>
        <v xml:space="preserve"> </v>
      </c>
      <c r="C55" s="1123"/>
      <c r="D55" s="1124" t="s">
        <v>3591</v>
      </c>
      <c r="E55" s="990"/>
      <c r="F55" s="990"/>
      <c r="G55" s="990"/>
      <c r="H55" s="1168" t="s">
        <v>250</v>
      </c>
      <c r="I55" s="1168"/>
      <c r="J55" s="1168"/>
      <c r="K55" s="116"/>
    </row>
    <row r="56" spans="1:11" s="27" customFormat="1" ht="18" customHeight="1" thickBot="1">
      <c r="A56" s="1113" t="s">
        <v>3592</v>
      </c>
      <c r="B56" s="1114"/>
      <c r="C56" s="1114"/>
      <c r="D56" s="1114"/>
      <c r="E56" s="1114"/>
      <c r="F56" s="1114"/>
      <c r="G56" s="1114"/>
      <c r="H56" s="1114"/>
      <c r="I56" s="1114"/>
      <c r="J56" s="1114"/>
      <c r="K56" s="1115"/>
    </row>
    <row r="57" spans="1:11" ht="12.75">
      <c r="A57" s="1161" t="str">
        <f>+'DAP1'!A46:L46</f>
        <v>Formulář zpracovala ASPEKT HM, daňová, účetní a auditorská kancelář, www.danovapriznani.cz, business.center.cz</v>
      </c>
      <c r="B57" s="1162"/>
      <c r="C57" s="1162"/>
      <c r="D57" s="1162"/>
      <c r="E57" s="1162"/>
      <c r="F57" s="1162"/>
      <c r="G57" s="1162"/>
      <c r="H57" s="1162"/>
      <c r="I57" s="1162"/>
      <c r="J57" s="1162"/>
      <c r="K57" s="1163"/>
    </row>
    <row r="58" spans="1:11" ht="12.75">
      <c r="A58" s="1159">
        <v>4</v>
      </c>
      <c r="B58" s="1159"/>
      <c r="C58" s="1159"/>
      <c r="D58" s="1159"/>
      <c r="E58" s="1159"/>
      <c r="F58" s="1159"/>
      <c r="G58" s="1159"/>
      <c r="H58" s="1159"/>
      <c r="I58" s="1159"/>
      <c r="J58" s="1159"/>
      <c r="K58" s="1160"/>
    </row>
  </sheetData>
  <sheetProtection password="EF65" sheet="1" objects="1" scenarios="1"/>
  <mergeCells count="73">
    <mergeCell ref="A5:J5"/>
    <mergeCell ref="A6:J6"/>
    <mergeCell ref="A16:J16"/>
    <mergeCell ref="A58:K58"/>
    <mergeCell ref="A57:K57"/>
    <mergeCell ref="A46:E46"/>
    <mergeCell ref="A44:E44"/>
    <mergeCell ref="A45:E45"/>
    <mergeCell ref="H55:J55"/>
    <mergeCell ref="E26:K26"/>
    <mergeCell ref="G39:K39"/>
    <mergeCell ref="A39:B39"/>
    <mergeCell ref="A37:K37"/>
    <mergeCell ref="A38:K38"/>
    <mergeCell ref="A41:B41"/>
    <mergeCell ref="A40:B40"/>
    <mergeCell ref="A1:K1"/>
    <mergeCell ref="A2:K2"/>
    <mergeCell ref="A3:J3"/>
    <mergeCell ref="A4:J4"/>
    <mergeCell ref="A36:K36"/>
    <mergeCell ref="A30:K30"/>
    <mergeCell ref="A31:K31"/>
    <mergeCell ref="A32:K32"/>
    <mergeCell ref="A33:K33"/>
    <mergeCell ref="A35:K35"/>
    <mergeCell ref="A34:K34"/>
    <mergeCell ref="A27:B27"/>
    <mergeCell ref="E27:K27"/>
    <mergeCell ref="A26:B26"/>
    <mergeCell ref="A17:J17"/>
    <mergeCell ref="A18:J18"/>
    <mergeCell ref="G40:K41"/>
    <mergeCell ref="C39:F41"/>
    <mergeCell ref="A7:J7"/>
    <mergeCell ref="A10:J10"/>
    <mergeCell ref="A22:J22"/>
    <mergeCell ref="A8:J8"/>
    <mergeCell ref="A12:J12"/>
    <mergeCell ref="A11:J11"/>
    <mergeCell ref="A9:J9"/>
    <mergeCell ref="A13:J13"/>
    <mergeCell ref="A14:J14"/>
    <mergeCell ref="A24:K24"/>
    <mergeCell ref="A28:K28"/>
    <mergeCell ref="C26:D26"/>
    <mergeCell ref="C27:D27"/>
    <mergeCell ref="A15:J15"/>
    <mergeCell ref="A56:K56"/>
    <mergeCell ref="A48:K48"/>
    <mergeCell ref="A51:C51"/>
    <mergeCell ref="C53:E53"/>
    <mergeCell ref="C52:J52"/>
    <mergeCell ref="B54:D54"/>
    <mergeCell ref="E54:G54"/>
    <mergeCell ref="D51:J51"/>
    <mergeCell ref="H54:J54"/>
    <mergeCell ref="B55:C55"/>
    <mergeCell ref="D55:G55"/>
    <mergeCell ref="A42:K42"/>
    <mergeCell ref="A50:K50"/>
    <mergeCell ref="A52:B52"/>
    <mergeCell ref="G53:J53"/>
    <mergeCell ref="A49:K49"/>
    <mergeCell ref="A43:K43"/>
    <mergeCell ref="A47:E47"/>
    <mergeCell ref="F44:K47"/>
    <mergeCell ref="A29:K29"/>
    <mergeCell ref="A21:J21"/>
    <mergeCell ref="A19:J19"/>
    <mergeCell ref="A20:J20"/>
    <mergeCell ref="A23:K23"/>
    <mergeCell ref="A25:K25"/>
  </mergeCells>
  <printOptions horizontalCentered="1" verticalCentered="1"/>
  <pageMargins left="0.196850393700787" right="0.196850393700787" top="0.393700787401575" bottom="0.196850393700787" header="0.511811023622047" footer="0.511811023622047"/>
  <pageSetup horizontalDpi="300" verticalDpi="300" orientation="portrait" paperSize="9" scale="89" r:id="rId3"/>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AppVersion>15.0300</AppVersion>
  <DocSecurity>0</DocSecurity>
  <ScaleCrop>false</ScaleCrop>
  <HeadingPairs>
    <vt:vector size="2" baseType="variant">
      <vt:variant>
        <vt:lpstr>Worksheets</vt:lpstr>
      </vt:variant>
      <vt:variant>
        <vt:i4>29</vt:i4>
      </vt:variant>
    </vt:vector>
  </HeadingPairs>
  <TitlesOfParts>
    <vt:vector size="29" baseType="lpstr">
      <vt:lpstr>UVOD</vt:lpstr>
      <vt:lpstr>FU</vt:lpstr>
      <vt:lpstr>XML export</vt:lpstr>
      <vt:lpstr>ZAKL_DATA</vt:lpstr>
      <vt:lpstr>XML_export</vt:lpstr>
      <vt:lpstr>DAP1</vt:lpstr>
      <vt:lpstr>DAP2</vt:lpstr>
      <vt:lpstr>DAP3</vt:lpstr>
      <vt:lpstr>DAP4</vt:lpstr>
      <vt:lpstr>ZAV</vt:lpstr>
      <vt:lpstr>1Př1</vt:lpstr>
      <vt:lpstr>1Př2</vt:lpstr>
      <vt:lpstr>2Př</vt:lpstr>
      <vt:lpstr>3Př</vt:lpstr>
      <vt:lpstr>3Př_a</vt:lpstr>
      <vt:lpstr>6Př</vt:lpstr>
      <vt:lpstr>Př_b</vt:lpstr>
      <vt:lpstr>Potvr_ZAM</vt:lpstr>
      <vt:lpstr>Prohl_manž</vt:lpstr>
      <vt:lpstr>SP1</vt:lpstr>
      <vt:lpstr>SP2</vt:lpstr>
      <vt:lpstr>SP_zam</vt:lpstr>
      <vt:lpstr>SP_stud</vt:lpstr>
      <vt:lpstr>SP_prijem</vt:lpstr>
      <vt:lpstr>VZP</vt:lpstr>
      <vt:lpstr>Ostatní ZP</vt:lpstr>
      <vt:lpstr>Zálohy</vt:lpstr>
      <vt:lpstr>Zálohy_odklad</vt:lpstr>
      <vt:lpstr>Účetní_závěrka</vt:lpstr>
    </vt:vector>
  </TitlesOfParts>
  <Template/>
  <Manager/>
  <Company>Aspekt HM s.r.o.</Company>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25.2.2002</dc:subject>
  <dc:creator>Martin Štěpán</dc:creator>
  <cp:keywords/>
  <dc:description/>
  <cp:lastModifiedBy>Martin Štěpán</cp:lastModifiedBy>
  <cp:lastPrinted>2017-10-10T06:45:22Z</cp:lastPrinted>
  <dcterms:created xsi:type="dcterms:W3CDTF">2000-01-30T17:10:20Z</dcterms:created>
  <dcterms:modified xsi:type="dcterms:W3CDTF">2018-05-11T09:17:51Z</dcterms:modified>
  <cp:category/>
</cp:coreProperties>
</file>