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3628"/>
  <workbookPr codeName="Tento_sešit"/>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889" firstSheet="2" activeTab="2"/>
  </bookViews>
  <sheets>
    <sheet name="FU" sheetId="61" state="hidden" r:id="rId3"/>
    <sheet name="XML export" sheetId="62" state="hidden" r:id="rId4"/>
    <sheet name="UVOD" sheetId="72"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tvr_ZAM" sheetId="66" r:id="rId20"/>
    <sheet name="Prohl_manž" sheetId="67" r:id="rId21"/>
    <sheet name="Zálohy" sheetId="22" r:id="rId22"/>
    <sheet name="Zálohy_odklad" sheetId="29" r:id="rId23"/>
  </sheets>
  <externalReferences>
    <externalReference r:id="rId25"/>
    <externalReference r:id="rId26"/>
    <externalReference r:id="rId27"/>
    <externalReference r:id="rId28"/>
    <externalReference r:id="rId29"/>
  </externalReferences>
  <definedNames>
    <definedName name="fin_ur" localSheetId="17">[1]FU!$B$3:$B$17</definedName>
    <definedName name="fin_ur" localSheetId="18">[1]FU!$B$3:$B$17</definedName>
    <definedName name="fin_ur" localSheetId="2">[2]FU!$B$3:$B$17</definedName>
    <definedName name="fin_ur" localSheetId="4">[3]FU!$B$3:$B$17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'DAP4'!$A$1:$K$58</definedName>
    <definedName name="_xlnm.Print_Area" localSheetId="17">Potvr_ZAM!$A$1:$G$54</definedName>
    <definedName name="_xlnm.Print_Area" localSheetId="18">Prohl_manž!$A$1:$E$24</definedName>
    <definedName name="_xlnm.Print_Area" localSheetId="16">Př_b!$A$1:$F$36</definedName>
    <definedName name="_xlnm.Print_Area" localSheetId="2">UVOD!$A$1:$J$26</definedName>
    <definedName name="_xlnm.Print_Area" localSheetId="4">XML_export!$A$1:$B$25</definedName>
    <definedName name="_xlnm.Print_Area" localSheetId="3">ZAKL_DATA!$A$1:$E$42</definedName>
    <definedName name="_xlnm.Print_Area" localSheetId="19">Zálohy!$A$1:$E$40</definedName>
    <definedName name="_xlnm.Print_Area" localSheetId="20">Zálohy_odklad!$A$1:$E$40</definedName>
    <definedName name="_xlnm.Print_Area" localSheetId="9">ZAV!$A$2:$C$49</definedName>
    <definedName name="staty" localSheetId="17">[1]FU!$J$3:$J$253</definedName>
    <definedName name="staty" localSheetId="18">[1]FU!$J$3:$J$253</definedName>
    <definedName name="staty" localSheetId="2">[2]FU!$J$3:$J$253</definedName>
    <definedName name="staty" localSheetId="4">[3]FU!$J$3:$J$253</definedName>
    <definedName name="staty">FU!$J$3:$J$253</definedName>
    <definedName name="validation_list">OFFSET('[4]Obory činnosti'!$E$2,,,COUNTIF('[4]Obory činnosti'!$E$2:$E$1750,"?*"))</definedName>
    <definedName name="validation_list2" localSheetId="17">OFFSET([1]FU!$H$3,,,COUNTIF([1]FU!$H$3:$H$204,"?*"))</definedName>
    <definedName name="validation_list2" localSheetId="18">OFFSET([1]FU!$H$3,,,COUNTIF([1]FU!$H$3:$H$204,"?*"))</definedName>
    <definedName name="validation_list2" localSheetId="2">OFFSET([2]FU!$H$3,,,COUNTIF([2]FU!$H$3:$H$204,"?*"))</definedName>
    <definedName name="validation_list2" localSheetId="4">OFFSET('[5]Finanční úřady'!$H$3,,,COUNTIF('[5]Finanční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OFFSET([2]FU!$Q$3,,,COUNTIF([2]FU!$Q$3:$Q$1699,"?*"))</definedName>
    <definedName name="vl_cinnosti" localSheetId="4">OFFSET([3]FU!$Q$3,,,COUNTIF([3]FU!$Q$3:$Q$1699,"?*"))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OFFSET([2]FU!$Q$3,,,COUNTIF([2]FU!$T$3:$T$992,"?*"))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OFFSET([2]FU!$Q$3,,,COUNTIF([2]FU!$W$3:$W$992,"?*"))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OFFSET([2]FU!$Q$3,,,COUNTIF([2]FU!$Z$3:$Z$992,"?*"))</definedName>
    <definedName name="vl_cinnosti4">OFFSET(FU!$Q$3,,,COUNTIF(FU!$Z$3:$Z$992,"?*"))</definedName>
  </definedNames>
  <calcPr calcId="181029"/>
</workbook>
</file>

<file path=xl/calcChain.xml><?xml version="1.0" encoding="utf-8"?>
<calcChain xmlns="http://schemas.openxmlformats.org/spreadsheetml/2006/main">
  <c r="G2" i="61"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A00-000001000000}">
      <text>
        <r>
          <rPr>
            <b/>
            <sz val="8"/>
            <rFont val="Tahoma"/>
            <family val="2"/>
            <charset val="-18"/>
          </rPr>
          <t>Martin Štěpán:</t>
        </r>
        <r>
          <rPr>
            <sz val="8"/>
            <rFont val="Tahoma"/>
            <family val="2"/>
            <charset val="-18"/>
          </rPr>
          <t xml:space="preserve">
Uplatňujete-li výdaj paušálem, vyplňte nejdříve sazbu paušálních výdajů na ř. 31 tohoto listu.</t>
        </r>
      </text>
    </comment>
    <comment ref="F11" authorId="0" shapeId="0" xr:uid="{00000000-0006-0000-0A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shapeId="0" xr:uid="{00000000-0006-0000-0A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B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B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C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3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2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3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3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shapeId="0" xr:uid="{00000000-0006-0000-06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shapeId="0" xr:uid="{00000000-0006-0000-0600-000002000000}">
      <text>
        <r>
          <rPr>
            <b/>
            <sz val="8"/>
            <rFont val="Tahoma"/>
            <family val="2"/>
            <charset val="-18"/>
          </rPr>
          <t xml:space="preserve">ASPEKT HM : </t>
        </r>
        <r>
          <rPr>
            <sz val="8"/>
            <rFont val="Tahoma"/>
            <family val="2"/>
            <charset val="-18"/>
          </rPr>
          <t xml:space="preserve">Tato položka se přenáší z listu závěrka (ZAV), který je potřeba vyplnit před dalším vyplňováním této stránky.
</t>
        </r>
      </text>
    </comment>
    <comment ref="E14" authorId="0" shapeId="0" xr:uid="{00000000-0006-0000-06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shapeId="0" xr:uid="{00000000-0006-0000-06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shapeId="0" xr:uid="{00000000-0006-0000-06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shapeId="0" xr:uid="{00000000-0006-0000-0700-000001000000}">
      <text>
        <r>
          <rPr>
            <b/>
            <sz val="9"/>
            <rFont val="Tahoma"/>
            <family val="2"/>
            <charset val="-18"/>
          </rPr>
          <t>Martin Štěpán:</t>
        </r>
        <r>
          <rPr>
            <sz val="9"/>
            <rFont val="Tahoma"/>
            <family val="2"/>
            <charset val="-18"/>
          </rPr>
          <t xml:space="preserve">
Rodné číslo je potřeba uvést bez lomítek</t>
        </r>
      </text>
    </comment>
    <comment ref="E12" authorId="0" shapeId="0" xr:uid="{00000000-0006-0000-0700-000002000000}">
      <text>
        <r>
          <rPr>
            <b/>
            <sz val="9"/>
            <rFont val="Tahoma"/>
            <family val="2"/>
            <charset val="-18"/>
          </rPr>
          <t>Martin Štěpán:</t>
        </r>
        <r>
          <rPr>
            <sz val="9"/>
            <rFont val="Tahoma"/>
            <family val="2"/>
            <charset val="-18"/>
          </rPr>
          <t xml:space="preserve">
V roce 2020 lze uplatnit max. 14.600 Kč za jedno dítě umístěné ve školce nebo obdobném zařízení.</t>
        </r>
      </text>
    </comment>
    <comment ref="D17" authorId="0" shapeId="0" xr:uid="{00000000-0006-0000-0700-000003000000}">
      <text>
        <r>
          <rPr>
            <b/>
            <sz val="9"/>
            <rFont val="Tahoma"/>
            <family val="2"/>
            <charset val="-18"/>
          </rPr>
          <t>Martin Štěpán:</t>
        </r>
        <r>
          <rPr>
            <sz val="9"/>
            <rFont val="Tahoma"/>
            <family val="2"/>
            <charset val="-18"/>
          </rPr>
          <t xml:space="preserve">
Rodné číslo je potřeba uvést bez lomítek</t>
        </r>
      </text>
    </comment>
    <comment ref="D30" authorId="0" shapeId="0" xr:uid="{00000000-0006-0000-0700-000004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2020 v hodnotě 14.600,-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7" authorId="0" shapeId="0" xr:uid="{00000000-0006-0000-08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<sst xmlns="http://schemas.openxmlformats.org/spreadsheetml/2006/main" count="7309" uniqueCount="3698">
  <si>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</si>
  <si>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</si>
  <si>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</si>
  <si>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</si>
  <si>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</si>
  <si>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</si>
  <si>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</si>
  <si>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</si>
  <si>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</si>
  <si>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</si>
  <si>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</si>
  <si>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</si>
  <si>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</si>
  <si>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</si>
  <si>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</si>
  <si>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</si>
  <si>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</si>
  <si>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</si>
  <si>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</si>
  <si>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</si>
  <si>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</si>
  <si>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</si>
  <si>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</si>
  <si>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</si>
  <si>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</si>
  <si>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</si>
  <si>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</si>
  <si>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</si>
  <si>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</si>
  <si>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</si>
  <si>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</si>
  <si>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</si>
  <si>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</si>
  <si>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</si>
  <si>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</si>
  <si>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</si>
  <si>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</si>
  <si>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</si>
  <si>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</si>
  <si>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</si>
  <si>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</si>
  <si>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</si>
  <si>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</si>
  <si>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</si>
  <si>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</si>
  <si>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</si>
  <si>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 xml:space="preserve">Koeficient zápočtu (ř. 321 - ř. 322) děleno ř. 42 výsledek vynásobte stem </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</si>
  <si>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</si>
  <si>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</si>
  <si>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</si>
  <si>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</si>
  <si>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</si>
  <si>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</si>
  <si>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</si>
  <si>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</si>
  <si>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</si>
  <si>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</si>
  <si>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</si>
  <si>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</si>
  <si>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</si>
  <si>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</si>
  <si>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</si>
  <si>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</si>
  <si>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</si>
  <si>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</si>
  <si>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</si>
  <si>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</si>
  <si>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</si>
  <si>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</si>
  <si>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</si>
  <si>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</si>
  <si>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</si>
  <si>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</si>
  <si>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</si>
  <si>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</si>
  <si>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</si>
  <si>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</si>
  <si>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</si>
  <si>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</si>
  <si>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</si>
  <si>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</si>
  <si>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</si>
  <si>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</si>
  <si>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</si>
  <si>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</si>
  <si>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</si>
  <si>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</si>
  <si>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</si>
  <si>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</si>
  <si>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</si>
  <si>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</si>
  <si>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</si>
  <si>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</si>
  <si>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</si>
  <si>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</si>
  <si>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</si>
  <si>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</si>
  <si>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</si>
  <si>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</si>
  <si>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</si>
  <si>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</si>
  <si>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</si>
  <si>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</si>
  <si>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</si>
  <si>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</si>
  <si>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</si>
  <si>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</si>
  <si>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</si>
  <si>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</si>
  <si>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</si>
  <si>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</si>
  <si>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</si>
  <si>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</si>
  <si>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</si>
  <si>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</si>
  <si>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</si>
  <si>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</si>
  <si>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</si>
  <si>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</si>
  <si>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</si>
  <si>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</si>
  <si>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</si>
  <si>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</si>
  <si>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</si>
  <si>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</si>
  <si>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</si>
  <si>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</si>
  <si>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</si>
  <si>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</si>
  <si>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</si>
  <si>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</si>
  <si>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</si>
  <si>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</si>
  <si>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</si>
  <si>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</si>
  <si>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</si>
  <si>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</si>
  <si>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</si>
  <si>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</si>
  <si>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</si>
  <si>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</si>
  <si>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</si>
  <si>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</si>
  <si>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</si>
  <si>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</si>
  <si>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</si>
  <si>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</si>
  <si>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</si>
  <si>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</si>
  <si>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</si>
  <si>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</si>
  <si>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</si>
  <si>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</si>
  <si>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</si>
  <si>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</si>
  <si>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</si>
  <si>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</si>
  <si>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</si>
  <si>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</si>
  <si>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</si>
  <si>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</si>
  <si>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</si>
  <si>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</si>
  <si>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</si>
  <si>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</si>
  <si>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</si>
  <si>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</si>
  <si>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</si>
  <si>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</si>
  <si>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 xml:space="preserve">přeplatku na dani z příjmů fyzických osob  </t>
  </si>
  <si>
    <t>CZ - NACE</t>
  </si>
  <si>
    <t>Příjmy ze zdrojů v zahraničí - metoda zápočtu daně zaplacené v zahraničí</t>
  </si>
  <si>
    <t>Duchodové</t>
  </si>
  <si>
    <t>Nemocenské</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</si>
  <si>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</si>
  <si>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</si>
  <si>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</si>
  <si>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</si>
  <si>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</si>
  <si>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</si>
  <si>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</si>
  <si>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</si>
  <si>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</si>
  <si>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</si>
  <si>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</si>
  <si>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</si>
  <si>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</si>
  <si>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</si>
  <si>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16 Telefon / mobilní telefon</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</si>
  <si>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</si>
  <si>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</si>
  <si>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</si>
  <si>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</si>
  <si>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</si>
  <si>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</si>
  <si>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</si>
  <si>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</si>
  <si>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</si>
  <si>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</si>
  <si>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</si>
  <si>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</si>
  <si>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</si>
  <si>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</si>
  <si>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</si>
  <si>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</si>
  <si>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</si>
  <si>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</si>
  <si>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</si>
  <si>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</si>
  <si>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</si>
  <si>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</si>
  <si>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Daňový subjekt / osoba oprávněná k podpisu</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</si>
  <si>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</si>
  <si>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</si>
  <si>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</si>
  <si>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</si>
  <si>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</si>
  <si>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č.</t>
  </si>
  <si>
    <t>specifický symbol</t>
  </si>
  <si>
    <t>Počet měsíců</t>
  </si>
  <si>
    <t>27 Telefon / mobilní telefon</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</si>
  <si>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</si>
  <si>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</si>
  <si>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</si>
  <si>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</si>
  <si>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</si>
  <si>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</si>
  <si>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</si>
  <si>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</si>
  <si>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</si>
  <si>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</si>
  <si>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</si>
  <si>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</si>
  <si>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</si>
  <si>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</si>
  <si>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</si>
  <si>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</si>
  <si>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</si>
  <si>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</si>
  <si>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</si>
  <si>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</si>
  <si>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</si>
  <si>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</si>
  <si>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</si>
  <si>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</si>
  <si>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</si>
  <si>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</si>
  <si>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</si>
  <si>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</si>
  <si>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</si>
  <si>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</si>
  <si>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Odst. 3 a 4 zákona (odečet úroků)</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</si>
  <si>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</si>
  <si>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</si>
  <si>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</si>
  <si>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</si>
  <si>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</si>
  <si>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</si>
  <si>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</si>
  <si>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</si>
  <si>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</si>
  <si>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</si>
  <si>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</si>
  <si>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</si>
  <si>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</si>
  <si>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</si>
  <si>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</si>
  <si>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</si>
  <si>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</si>
  <si>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</si>
  <si>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</si>
  <si>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</si>
  <si>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</si>
  <si>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</si>
  <si>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</si>
  <si>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</si>
  <si>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</si>
  <si>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</si>
  <si>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</si>
  <si>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</si>
  <si>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</si>
  <si>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</si>
  <si>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</si>
  <si>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</si>
  <si>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</si>
  <si>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</si>
  <si>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</si>
  <si>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</si>
  <si>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</si>
  <si>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</si>
  <si>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</si>
  <si>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</si>
  <si>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</si>
  <si>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</si>
  <si>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</si>
  <si>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</si>
  <si>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</si>
  <si>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</si>
  <si>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</si>
  <si>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</si>
  <si>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</si>
  <si>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</si>
  <si>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</si>
  <si>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</si>
  <si>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</si>
  <si>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</si>
  <si>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</si>
  <si>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</si>
  <si>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</si>
  <si>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</si>
  <si>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</si>
  <si>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</si>
  <si>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</si>
  <si>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</si>
  <si>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</si>
  <si>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</si>
  <si>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</si>
  <si>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</si>
  <si>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</si>
  <si>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</si>
  <si>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</si>
  <si>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</si>
  <si>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</si>
  <si>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</si>
  <si>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</si>
  <si>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</si>
  <si>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</si>
  <si>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</si>
  <si>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</si>
  <si>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</si>
  <si>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</si>
  <si>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</si>
  <si>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</si>
  <si>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</si>
  <si>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</si>
  <si>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</si>
  <si>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</si>
  <si>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</si>
  <si>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</si>
  <si>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</si>
  <si>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</si>
  <si>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</si>
  <si>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</si>
  <si>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</si>
  <si>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</si>
  <si>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</si>
  <si>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</si>
  <si>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</si>
  <si>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</si>
  <si>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</si>
  <si>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</si>
  <si>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</si>
  <si>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</si>
  <si>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</si>
  <si>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</si>
  <si>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</si>
  <si>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</si>
  <si>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</si>
  <si>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</si>
  <si>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</si>
  <si>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</si>
  <si>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</si>
  <si>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</si>
  <si>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</si>
  <si>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</si>
  <si>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</si>
  <si>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</si>
  <si>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</si>
  <si>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</si>
  <si>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</si>
  <si>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</si>
  <si>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</si>
  <si>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</si>
  <si>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</si>
  <si>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</si>
  <si>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</si>
  <si>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</si>
  <si>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</si>
  <si>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</si>
  <si>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</si>
  <si>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</si>
  <si>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</si>
  <si>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</si>
  <si>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</si>
  <si>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</si>
  <si>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</si>
  <si>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</si>
  <si>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</si>
  <si>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</si>
  <si>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</si>
  <si>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</si>
  <si>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</si>
  <si>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</si>
  <si>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</si>
  <si>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</si>
  <si>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</si>
  <si>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</si>
  <si>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</si>
  <si>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</si>
  <si>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</si>
  <si>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</si>
  <si>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</si>
  <si>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</si>
  <si>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</si>
  <si>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</si>
  <si>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</si>
  <si>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</si>
  <si>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</si>
  <si>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</si>
  <si>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</si>
  <si>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</si>
  <si>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</si>
  <si>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</si>
  <si>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</si>
  <si>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</si>
  <si>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</si>
  <si>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</si>
  <si>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</si>
  <si>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</si>
  <si>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</si>
  <si>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</si>
  <si>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</si>
  <si>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</si>
  <si>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</si>
  <si>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</si>
  <si>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</si>
  <si>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</si>
  <si>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</si>
  <si>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</si>
  <si>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</si>
  <si>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</si>
  <si>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</si>
  <si>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</si>
  <si>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</si>
  <si>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</si>
  <si>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</si>
  <si>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</si>
  <si>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</si>
  <si>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</si>
  <si>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</si>
  <si>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</si>
  <si>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</si>
  <si>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</si>
  <si>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</si>
  <si>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</si>
  <si>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</si>
  <si>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</si>
  <si>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</si>
  <si>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</si>
  <si>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</si>
  <si>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</si>
  <si>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</si>
  <si>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</si>
  <si>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</si>
  <si>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</si>
  <si>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</si>
  <si>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</si>
  <si>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</si>
  <si>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</si>
  <si>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</si>
  <si>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</si>
  <si>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</si>
  <si>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</si>
  <si>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</si>
  <si>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</si>
  <si>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</si>
  <si>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</si>
  <si>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</si>
  <si>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</si>
  <si>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</si>
  <si>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</si>
  <si>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</si>
  <si>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</si>
  <si>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</si>
  <si>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</si>
  <si>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</si>
  <si>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</si>
  <si>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</si>
  <si>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</si>
  <si>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</si>
  <si>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</si>
  <si>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</si>
  <si>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</si>
  <si>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</si>
  <si>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</si>
  <si>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</si>
  <si>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</si>
  <si>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</si>
  <si>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</si>
  <si>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</si>
  <si>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</si>
  <si>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</si>
  <si>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</si>
  <si>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</si>
  <si>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</si>
  <si>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</si>
  <si>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</si>
  <si>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</si>
  <si>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</si>
  <si>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</si>
  <si>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</si>
  <si>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</si>
  <si>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</si>
  <si>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</si>
  <si>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</si>
  <si>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</si>
  <si>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</si>
  <si>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</si>
  <si>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</si>
  <si>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</si>
  <si>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</si>
  <si>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</si>
  <si>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</si>
  <si>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</si>
  <si>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</si>
  <si>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</si>
  <si>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</si>
  <si>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</si>
  <si>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</si>
  <si>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</si>
  <si>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</si>
  <si>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</si>
  <si>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</si>
  <si>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</si>
  <si>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</si>
  <si>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</si>
  <si>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</si>
  <si>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</si>
  <si>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</si>
  <si>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</si>
  <si>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</si>
  <si>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</si>
  <si>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</si>
  <si>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</si>
  <si>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</si>
  <si>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</si>
  <si>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</si>
  <si>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</si>
  <si>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</si>
  <si>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</si>
  <si>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</si>
  <si>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</si>
  <si>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</si>
  <si>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</si>
  <si>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</si>
  <si>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</si>
  <si>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</si>
  <si>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</si>
  <si>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</si>
  <si>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</si>
  <si>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</si>
  <si>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</si>
  <si>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</si>
  <si>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</si>
  <si>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</si>
  <si>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</si>
  <si>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</si>
  <si>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</si>
  <si>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</si>
  <si>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</si>
  <si>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</si>
  <si>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</si>
  <si>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</si>
  <si>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</si>
  <si>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</si>
  <si>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</si>
  <si>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</si>
  <si>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</si>
  <si>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</si>
  <si>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</si>
  <si>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</si>
  <si>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</si>
  <si>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</si>
  <si>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</si>
  <si>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</si>
  <si>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</si>
  <si>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</si>
  <si>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</si>
  <si>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</si>
  <si>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</si>
  <si>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</si>
  <si>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</si>
  <si>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</si>
  <si>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</si>
  <si>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</si>
  <si>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</si>
  <si>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</si>
  <si>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</si>
  <si>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</si>
  <si>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</si>
  <si>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</si>
  <si>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</si>
  <si>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</si>
  <si>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</si>
  <si>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</si>
  <si>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</si>
  <si>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</si>
  <si>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</si>
  <si>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</si>
  <si>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</si>
  <si>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</si>
  <si>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</si>
  <si>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</si>
  <si>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</si>
  <si>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</si>
  <si>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</si>
  <si>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</si>
  <si>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</si>
  <si>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</si>
  <si>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</si>
  <si>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</si>
  <si>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</si>
  <si>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</si>
  <si>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</si>
  <si>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</si>
  <si>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</si>
  <si>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</si>
  <si>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</si>
  <si>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</si>
  <si>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</si>
  <si>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</si>
  <si>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</si>
  <si>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</si>
  <si>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</si>
  <si>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</si>
  <si>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</si>
  <si>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</si>
  <si>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</si>
  <si>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</si>
  <si>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</si>
  <si>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</si>
  <si>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</si>
  <si>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</si>
  <si>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</si>
  <si>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</si>
  <si>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</si>
  <si>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</si>
  <si>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</si>
  <si>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</si>
  <si>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</si>
  <si>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</si>
  <si>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</si>
  <si>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</si>
  <si>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</si>
  <si>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</si>
  <si>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</si>
  <si>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</si>
  <si>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</si>
  <si>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</si>
  <si>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</si>
  <si>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</si>
  <si>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</si>
  <si>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</si>
  <si>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</si>
  <si>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</si>
  <si>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</si>
  <si>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</si>
  <si>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</si>
  <si>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</si>
  <si>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</si>
  <si>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</si>
  <si>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</si>
  <si>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</si>
  <si>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</si>
  <si>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</si>
  <si>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</si>
  <si>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</si>
  <si>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</si>
  <si>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</si>
  <si>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</si>
  <si>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</si>
  <si>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</si>
  <si>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</si>
  <si>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</si>
  <si>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</si>
  <si>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</si>
  <si>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</si>
  <si>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</si>
  <si>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</si>
  <si>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</si>
  <si>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</si>
  <si>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</si>
  <si>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</si>
  <si>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</si>
  <si>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</si>
  <si>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</si>
  <si>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</si>
  <si>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</si>
  <si>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</si>
  <si>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</si>
  <si>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</si>
  <si>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</si>
  <si>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</si>
  <si>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</si>
  <si>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</si>
  <si>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</si>
  <si>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</si>
  <si>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</si>
  <si>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</si>
  <si>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</si>
  <si>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</si>
  <si>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</si>
  <si>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</si>
  <si>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</si>
  <si>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</si>
  <si>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</si>
  <si>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</si>
  <si>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</si>
  <si>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</si>
  <si>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</si>
  <si>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</si>
  <si>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</si>
  <si>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</si>
  <si>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</si>
  <si>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</si>
  <si>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</si>
  <si>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</si>
  <si>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</si>
  <si>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</si>
  <si>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</si>
  <si>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</si>
  <si>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</si>
  <si>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</si>
  <si>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</si>
  <si>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</si>
  <si>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</si>
  <si>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</si>
  <si>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</si>
  <si>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</si>
  <si>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</si>
  <si>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</si>
  <si>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</si>
  <si>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</si>
  <si>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</si>
  <si>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</si>
  <si>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</si>
  <si>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</si>
  <si>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</si>
  <si>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</si>
  <si>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</si>
  <si>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</si>
  <si>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</si>
  <si>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</si>
  <si>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</si>
  <si>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</si>
  <si>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</si>
  <si>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</si>
  <si>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</si>
  <si>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</si>
  <si>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</si>
  <si>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</si>
  <si>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</si>
  <si>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</si>
  <si>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</si>
  <si>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</si>
  <si>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</si>
  <si>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</si>
  <si>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</si>
  <si>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</si>
  <si>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</si>
  <si>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</si>
  <si>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</si>
  <si>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</si>
  <si>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</si>
  <si>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</si>
  <si>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</si>
  <si>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</si>
  <si>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</si>
  <si>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</si>
  <si>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</si>
  <si>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</si>
  <si>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</si>
  <si>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</si>
  <si>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</si>
  <si>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</si>
  <si>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</si>
  <si>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</si>
  <si>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</si>
  <si>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</si>
  <si>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</si>
  <si>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</si>
  <si>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</si>
  <si>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</si>
  <si>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</si>
  <si>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</si>
  <si>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</si>
  <si>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</si>
  <si>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</si>
  <si>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</si>
  <si>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</si>
  <si>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</si>
  <si>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</si>
  <si>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</si>
  <si>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</si>
  <si>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</si>
  <si>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</si>
  <si>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</si>
  <si>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</si>
  <si>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</si>
  <si>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</si>
  <si>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</si>
  <si>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</si>
  <si>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</si>
  <si>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</si>
  <si>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</si>
  <si>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</si>
  <si>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</si>
  <si>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</si>
  <si>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</si>
  <si>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</si>
  <si>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</si>
  <si>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</si>
  <si>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</si>
  <si>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</si>
  <si>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</si>
  <si>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</si>
  <si>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</si>
  <si>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</si>
  <si>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</si>
  <si>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</si>
  <si>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</si>
  <si>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</si>
  <si>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</si>
  <si>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</si>
  <si>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</si>
  <si>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</si>
  <si>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</si>
  <si>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</si>
  <si>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</si>
  <si>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</si>
  <si>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</si>
  <si>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</si>
  <si>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</si>
  <si>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</si>
  <si>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</si>
  <si>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</si>
  <si>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</si>
  <si>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</si>
  <si>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</si>
  <si>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</si>
  <si>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</si>
  <si>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</si>
  <si>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</si>
  <si>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</si>
  <si>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</si>
  <si>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</si>
  <si>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</si>
  <si>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</si>
  <si>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</si>
  <si>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</si>
  <si>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</si>
  <si>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</si>
  <si>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</si>
  <si>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</si>
  <si>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</si>
  <si>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</si>
  <si>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</si>
  <si>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</si>
  <si>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</si>
  <si>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</si>
  <si>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</si>
  <si>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</si>
  <si>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</si>
  <si>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</si>
  <si>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</si>
  <si>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</si>
  <si>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</si>
  <si>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</si>
  <si>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</si>
  <si>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</si>
  <si>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</si>
  <si>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</si>
  <si>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</si>
  <si>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</si>
  <si>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</si>
  <si>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</si>
  <si>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</si>
  <si>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</si>
  <si>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</si>
  <si>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</si>
  <si>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</si>
  <si>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</si>
  <si>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</si>
  <si>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</si>
  <si>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</si>
  <si>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</si>
  <si>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</si>
  <si>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</si>
  <si>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</si>
  <si>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</si>
  <si>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</si>
  <si>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</si>
  <si>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</si>
  <si>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</si>
  <si>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</si>
  <si>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</si>
  <si>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</si>
  <si>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</si>
  <si>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</si>
  <si>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</si>
  <si>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</si>
  <si>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</si>
  <si>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</si>
  <si>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</si>
  <si>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</si>
  <si>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</si>
  <si>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</si>
  <si>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</si>
  <si>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</si>
  <si>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</si>
  <si>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</si>
  <si>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</si>
  <si>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</si>
  <si>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</si>
  <si>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</si>
  <si>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</si>
  <si>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</si>
  <si>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</si>
  <si>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</si>
  <si>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</si>
  <si>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</si>
  <si>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</si>
  <si>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</si>
  <si>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</si>
  <si>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</si>
  <si>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</si>
  <si>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</si>
  <si>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</si>
  <si>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</si>
  <si>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</si>
  <si>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</si>
  <si>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</si>
  <si>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</si>
  <si>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</si>
  <si>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</si>
  <si>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</si>
  <si>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</si>
  <si>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</si>
  <si>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</si>
  <si>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</si>
  <si>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</si>
  <si>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</si>
  <si>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</si>
  <si>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</si>
  <si>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</si>
  <si>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</si>
  <si>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</si>
  <si>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</si>
  <si>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</si>
  <si>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</si>
  <si>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</si>
  <si>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</si>
  <si>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</si>
  <si>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</si>
  <si>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</si>
  <si>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</si>
  <si>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</si>
  <si>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</si>
  <si>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</si>
  <si>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</si>
  <si>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</si>
  <si>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</si>
  <si>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</si>
  <si>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</si>
  <si>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</si>
  <si>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</si>
  <si>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</si>
  <si>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</si>
  <si>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</si>
  <si>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</si>
  <si>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</si>
  <si>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</si>
  <si>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</si>
  <si>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</si>
  <si>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</si>
  <si>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</si>
  <si>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</si>
  <si>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</si>
  <si>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</si>
  <si>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</si>
  <si>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</si>
  <si>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</si>
  <si>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</si>
  <si>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</si>
  <si>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</si>
  <si>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</si>
  <si>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</si>
  <si>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</si>
  <si>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</si>
  <si>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</si>
  <si>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</si>
  <si>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</si>
  <si>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</si>
  <si>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</si>
  <si>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</si>
  <si>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</si>
  <si>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</si>
  <si>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</si>
  <si>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</si>
  <si>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</si>
  <si>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</si>
  <si>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</si>
  <si>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</si>
  <si>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</si>
  <si>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</si>
  <si>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</si>
  <si>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</si>
  <si>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</si>
  <si>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</si>
  <si>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</si>
  <si>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</si>
  <si>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</si>
  <si>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</si>
  <si>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</si>
  <si>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</si>
  <si>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</si>
  <si>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</si>
  <si>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</si>
  <si>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</si>
  <si>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</si>
  <si>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</si>
  <si>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</si>
  <si>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</si>
  <si>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</si>
  <si>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</si>
  <si>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</si>
  <si>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</si>
  <si>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</si>
  <si>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</si>
  <si>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</si>
  <si>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</si>
  <si>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</si>
  <si>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</si>
  <si>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</si>
  <si>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</si>
  <si>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</si>
  <si>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</si>
  <si>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</si>
  <si>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</si>
  <si>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</si>
  <si>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</si>
  <si>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</si>
  <si>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</si>
  <si>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</si>
  <si>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</si>
  <si>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</si>
  <si>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</si>
  <si>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</si>
  <si>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</si>
  <si>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</si>
  <si>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</si>
  <si>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</si>
  <si>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</si>
  <si>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</si>
  <si>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</si>
  <si>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</si>
  <si>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</si>
  <si>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</si>
  <si>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</si>
  <si>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</si>
  <si>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</si>
  <si>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</si>
  <si>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</si>
  <si>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</si>
  <si>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</si>
  <si>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</si>
  <si>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</si>
  <si>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</si>
  <si>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</si>
  <si>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</si>
  <si>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</si>
  <si>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</si>
  <si>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</si>
  <si>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</si>
  <si>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</si>
  <si>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</si>
  <si>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</si>
  <si>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</si>
  <si>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</si>
  <si>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</si>
  <si>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</si>
  <si>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</si>
  <si>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</si>
  <si>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</si>
  <si>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</si>
  <si>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</si>
  <si>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</si>
  <si>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</si>
  <si>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</si>
  <si>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</si>
  <si>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</si>
  <si>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</si>
  <si>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</si>
  <si>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</si>
  <si>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</si>
  <si>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</si>
  <si>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</si>
  <si>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</si>
  <si>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</si>
  <si>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</si>
  <si>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</si>
  <si>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</si>
  <si>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</si>
  <si>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</si>
  <si>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</si>
  <si>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</si>
  <si>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</si>
  <si>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</si>
  <si>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</si>
  <si>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</si>
  <si>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</si>
  <si>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</si>
  <si>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</si>
  <si>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</si>
  <si>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</si>
  <si>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</si>
  <si>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</si>
  <si>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</si>
  <si>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</si>
  <si>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</si>
  <si>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</si>
  <si>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</si>
  <si>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</si>
  <si>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</si>
  <si>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</si>
  <si>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</si>
  <si>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</si>
  <si>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</si>
  <si>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</si>
  <si>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</si>
  <si>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</si>
  <si>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</si>
  <si>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</si>
  <si>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</si>
  <si>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</si>
  <si>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</si>
  <si>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</si>
  <si>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</si>
  <si>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</si>
  <si>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</si>
  <si>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</si>
  <si>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</si>
  <si>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</si>
  <si>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</si>
  <si>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</si>
  <si>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</si>
  <si>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</si>
  <si>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</si>
  <si>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</si>
  <si>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</si>
  <si>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</si>
  <si>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</si>
  <si>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</si>
  <si>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</si>
  <si>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</si>
  <si>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</si>
  <si>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</si>
  <si>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</si>
  <si>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</si>
  <si>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</si>
  <si>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</si>
  <si>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</si>
  <si>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</si>
  <si>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</si>
  <si>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</si>
  <si>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</si>
  <si>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</si>
  <si>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</si>
  <si>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</si>
  <si>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</si>
  <si>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</si>
  <si>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</si>
  <si>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</si>
  <si>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</si>
  <si>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</si>
  <si>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</si>
  <si>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</si>
  <si>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</si>
  <si>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</si>
  <si>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</si>
  <si>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</si>
  <si>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</si>
  <si>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</si>
  <si>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</si>
  <si>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</si>
  <si>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</si>
  <si>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</si>
  <si>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</si>
  <si>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</si>
  <si>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</si>
  <si>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</si>
  <si>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</si>
  <si>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</si>
  <si>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</si>
  <si>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</si>
  <si>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</si>
  <si>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</si>
  <si>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</si>
  <si>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</si>
  <si>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</si>
  <si>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</si>
  <si>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</si>
  <si>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</si>
  <si>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</si>
  <si>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</si>
  <si>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</si>
  <si>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</si>
  <si>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</si>
  <si>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</si>
  <si>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</si>
  <si>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</si>
  <si>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</si>
  <si>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</si>
  <si>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</si>
  <si>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</si>
  <si>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</si>
  <si>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</si>
  <si>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</si>
  <si>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</si>
  <si>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</si>
  <si>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</si>
  <si>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</si>
  <si>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</si>
  <si>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</si>
  <si>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</si>
  <si>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</si>
  <si>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</si>
  <si>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</si>
  <si>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</si>
  <si>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</si>
  <si>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</si>
  <si>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</si>
  <si>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</si>
  <si>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</si>
  <si>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</si>
  <si>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</si>
  <si>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</si>
  <si>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</si>
  <si>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</si>
  <si>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</si>
  <si>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</si>
  <si>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</si>
  <si>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</si>
  <si>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</si>
  <si>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</si>
  <si>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</si>
  <si>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</si>
  <si>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</si>
  <si>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</si>
  <si>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</si>
  <si>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</si>
  <si>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</si>
  <si>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</si>
  <si>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</si>
  <si>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</si>
  <si>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</si>
  <si>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</si>
  <si>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</si>
  <si>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</si>
  <si>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</si>
  <si>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</si>
  <si>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</si>
  <si>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</si>
  <si>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</si>
  <si>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</si>
  <si>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</si>
  <si>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</si>
  <si>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</si>
  <si>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</si>
  <si>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</si>
  <si>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</si>
  <si>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</si>
  <si>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</si>
  <si>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</si>
  <si>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</si>
  <si>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</si>
  <si>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</si>
  <si>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</si>
  <si>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</si>
  <si>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</si>
  <si>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</si>
  <si>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</si>
  <si>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</si>
  <si>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</si>
  <si>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</si>
  <si>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</si>
  <si>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</si>
  <si>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</si>
  <si>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</si>
  <si>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</si>
  <si>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</si>
  <si>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</si>
  <si>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</si>
  <si>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</si>
  <si>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</si>
  <si>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</si>
  <si>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</si>
  <si>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</si>
  <si>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</si>
  <si>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</si>
  <si>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</si>
  <si>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</si>
  <si>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</si>
  <si>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</si>
  <si>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</si>
  <si>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</si>
  <si>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</si>
  <si>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</si>
  <si>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</si>
  <si>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</si>
  <si>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</si>
  <si>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</si>
  <si>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</si>
  <si>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</si>
  <si>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</si>
  <si>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</si>
  <si>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</si>
  <si>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</si>
  <si>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</si>
  <si>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</si>
  <si>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</si>
  <si>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</si>
  <si>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</si>
  <si>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</si>
  <si>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</si>
  <si>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</si>
  <si>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</si>
  <si>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</si>
  <si>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</si>
  <si>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</si>
  <si>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</si>
  <si>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</si>
  <si>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</si>
  <si>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</si>
  <si>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</si>
  <si>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</si>
  <si>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</si>
  <si>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</si>
  <si>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</si>
  <si>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</si>
  <si>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</si>
  <si>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</si>
  <si>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</si>
  <si>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</si>
  <si>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</si>
  <si>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</si>
  <si>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</si>
  <si>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</si>
  <si>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</si>
  <si>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</si>
  <si>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</si>
  <si>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</si>
  <si>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</si>
  <si>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</si>
  <si>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</si>
  <si>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</si>
  <si>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</si>
  <si>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</si>
  <si>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</si>
  <si>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</si>
  <si>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</si>
  <si>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</si>
  <si>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</si>
  <si>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</si>
  <si>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</si>
  <si>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</si>
  <si>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</si>
  <si>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</si>
  <si>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</si>
  <si>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</si>
  <si>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</si>
  <si>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</si>
  <si>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</si>
  <si>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</si>
  <si>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</si>
  <si>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</si>
  <si>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</si>
  <si>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</si>
  <si>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</si>
  <si>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</si>
  <si>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</si>
  <si>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</si>
  <si>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</si>
  <si>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</si>
  <si>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</si>
  <si>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</si>
  <si>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</si>
  <si>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</si>
  <si>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</si>
  <si>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</si>
  <si>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</si>
  <si>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</si>
  <si>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</si>
  <si>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</si>
  <si>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</si>
  <si>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</si>
  <si>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</si>
  <si>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</si>
  <si>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</si>
  <si>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</si>
  <si>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</si>
  <si>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</si>
  <si>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</si>
  <si>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</si>
  <si>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</si>
  <si>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</si>
  <si>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</si>
  <si>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</si>
  <si>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</si>
  <si>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</si>
  <si>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</si>
  <si>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</si>
  <si>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</si>
  <si>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</si>
  <si>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</si>
  <si>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</si>
  <si>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</si>
  <si>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</si>
  <si>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</si>
  <si>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</si>
  <si>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</si>
  <si>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</si>
  <si>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</si>
  <si>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</si>
  <si>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</si>
  <si>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</si>
  <si>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</si>
  <si>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</si>
  <si>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</si>
  <si>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</si>
  <si>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</si>
  <si>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</si>
  <si>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</si>
  <si>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</si>
  <si>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</si>
  <si>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</si>
  <si>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</si>
  <si>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</si>
  <si>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</si>
  <si>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</si>
  <si>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</si>
  <si>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</si>
  <si>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</si>
  <si>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</si>
  <si>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</si>
  <si>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</si>
  <si>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</si>
  <si>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</si>
  <si>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</si>
  <si>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</si>
  <si>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</si>
  <si>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</si>
  <si>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</si>
  <si>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</si>
  <si>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</si>
  <si>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</si>
  <si>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</si>
  <si>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</si>
  <si>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</si>
  <si>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</si>
  <si>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</si>
  <si>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</si>
  <si>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</si>
  <si>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</si>
  <si>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</si>
  <si>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</si>
  <si>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</si>
  <si>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</si>
  <si>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</si>
  <si>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</si>
  <si>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</si>
  <si>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</si>
  <si>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</si>
  <si>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</si>
  <si>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</si>
  <si>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</si>
  <si>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</si>
  <si>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</si>
  <si>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</si>
  <si>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</si>
  <si>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</si>
  <si>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</si>
  <si>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</si>
  <si>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</si>
  <si>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</si>
  <si>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</si>
  <si>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</si>
  <si>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</si>
  <si>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</si>
  <si>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</si>
  <si>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</si>
  <si>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</si>
  <si>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</si>
  <si>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</si>
  <si>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</si>
  <si>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</si>
  <si>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</si>
  <si>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</si>
  <si>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</si>
  <si>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</si>
  <si>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</si>
  <si>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</si>
  <si>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</si>
  <si>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</si>
  <si>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</si>
  <si>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</si>
  <si>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</si>
  <si>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</si>
  <si>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</si>
  <si>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</si>
  <si>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</si>
  <si>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</si>
  <si>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</si>
  <si>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</si>
  <si>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</si>
  <si>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</si>
  <si>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</si>
  <si>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</si>
  <si>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</si>
  <si>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</si>
  <si>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</si>
  <si>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</si>
  <si>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</si>
  <si>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</si>
  <si>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</si>
  <si>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</si>
  <si>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</si>
  <si>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</si>
  <si>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</si>
  <si>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</si>
  <si>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</si>
  <si>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</si>
  <si>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</si>
  <si>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</si>
  <si>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</si>
  <si>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</si>
  <si>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</si>
  <si>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</si>
  <si>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</si>
  <si>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</si>
  <si>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</si>
  <si>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</si>
  <si>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</si>
  <si>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</si>
  <si>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</si>
  <si>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</si>
  <si>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</si>
  <si>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</si>
  <si>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</si>
  <si>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</si>
  <si>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</si>
  <si>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</si>
  <si>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</si>
  <si>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</si>
  <si>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</si>
  <si>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</si>
  <si>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</si>
  <si>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</si>
  <si>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</si>
  <si>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</si>
  <si>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</si>
  <si>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</si>
  <si>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</si>
  <si>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</si>
  <si>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</si>
  <si>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</si>
  <si>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</si>
  <si>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</si>
  <si>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</si>
  <si>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</si>
  <si>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</si>
  <si>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</si>
  <si>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</si>
  <si>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</si>
  <si>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</si>
  <si>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</si>
  <si>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</si>
  <si>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</si>
  <si>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</si>
  <si>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</si>
  <si>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</si>
  <si>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</si>
  <si>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</si>
  <si>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</si>
  <si>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</si>
  <si>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</si>
  <si>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</si>
  <si>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</si>
  <si>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</si>
  <si>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</si>
  <si>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</si>
  <si>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</si>
  <si>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</si>
  <si>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</si>
  <si>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</si>
  <si>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</si>
  <si>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</si>
  <si>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</si>
  <si>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</si>
  <si>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</si>
  <si>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</si>
  <si>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</si>
  <si>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</si>
  <si>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</si>
  <si>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</si>
  <si>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</si>
  <si>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</si>
  <si>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</si>
  <si>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</si>
  <si>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</si>
  <si>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</si>
  <si>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</si>
  <si>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</si>
  <si>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</si>
  <si>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</si>
  <si>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</si>
  <si>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</si>
  <si>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</si>
  <si>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</si>
  <si>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</si>
  <si>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</si>
  <si>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</si>
  <si>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</si>
  <si>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</si>
  <si>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</si>
  <si>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</si>
  <si>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</si>
  <si>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</si>
  <si>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</si>
  <si>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</si>
  <si>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</si>
  <si>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</si>
  <si>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</si>
  <si>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</si>
  <si>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</si>
  <si>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</si>
  <si>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</si>
  <si>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</si>
  <si>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</si>
  <si>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</si>
  <si>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</si>
  <si>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</si>
  <si>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</si>
  <si>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</si>
  <si>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</si>
  <si>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</si>
  <si>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</si>
  <si>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</si>
  <si>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</si>
  <si>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</si>
  <si>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</si>
  <si>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</si>
  <si>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</si>
  <si>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</si>
  <si>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</si>
  <si>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</si>
  <si>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</si>
  <si>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</si>
  <si>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</si>
  <si>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</si>
  <si>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</si>
  <si>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</si>
  <si>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</si>
  <si>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</si>
  <si>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</si>
  <si>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</si>
  <si>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</si>
  <si>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</si>
  <si>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</si>
  <si>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</si>
  <si>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</si>
  <si>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</si>
  <si>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</si>
  <si>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</si>
  <si>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</si>
  <si>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</si>
  <si>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</si>
  <si>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</si>
  <si>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</si>
  <si>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</si>
  <si>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</si>
  <si>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</si>
  <si>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</si>
  <si>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</si>
  <si>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</si>
  <si>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</si>
  <si>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</si>
  <si>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</si>
  <si>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</si>
  <si>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</si>
  <si>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</si>
  <si>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</si>
  <si>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</si>
  <si>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</si>
  <si>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</si>
  <si>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</si>
  <si>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</si>
  <si>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</si>
  <si>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</si>
  <si>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</si>
  <si>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</si>
  <si>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</si>
  <si>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</si>
  <si>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</si>
  <si>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</si>
  <si>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</si>
  <si>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</si>
  <si>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</si>
  <si>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</si>
  <si>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</si>
  <si>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</si>
  <si>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</si>
  <si>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</si>
  <si>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</si>
  <si>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</si>
  <si>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</si>
  <si>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</si>
  <si>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</si>
  <si>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</si>
  <si>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</si>
  <si>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</si>
  <si>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</si>
  <si>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</si>
  <si>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</si>
  <si>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</si>
  <si>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</si>
  <si>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</si>
  <si>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</si>
  <si>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</si>
  <si>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</si>
  <si>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</si>
  <si>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</si>
  <si>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</si>
  <si>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</si>
  <si>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</si>
  <si>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</si>
  <si>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</si>
  <si>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</si>
  <si>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</si>
  <si>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</si>
  <si>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</si>
  <si>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</si>
  <si>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</si>
  <si>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</si>
  <si>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</si>
  <si>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</si>
  <si>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</si>
  <si>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</si>
  <si>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</si>
  <si>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</si>
  <si>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</si>
  <si>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</si>
  <si>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</si>
  <si>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</si>
  <si>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</si>
  <si>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</si>
  <si>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</si>
  <si>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</si>
  <si>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</si>
  <si>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</si>
  <si>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</si>
  <si>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</si>
  <si>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</si>
  <si>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</si>
  <si>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</si>
  <si>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</si>
  <si>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</si>
  <si>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</si>
  <si>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</si>
  <si>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</si>
  <si>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</si>
  <si>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</si>
  <si>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</si>
  <si>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</si>
  <si>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</si>
  <si>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</si>
  <si>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</si>
  <si>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</si>
  <si>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</si>
  <si>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</si>
  <si>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</si>
  <si>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</si>
  <si>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</si>
  <si>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</si>
  <si>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</si>
  <si>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</si>
  <si>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</si>
  <si>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</si>
  <si>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</si>
  <si>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</si>
  <si>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</si>
  <si>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</si>
  <si>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</si>
  <si>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</si>
  <si>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</si>
  <si>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</si>
  <si>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</si>
  <si>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</si>
  <si>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</si>
  <si>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</si>
  <si>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</si>
  <si>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</si>
  <si>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</si>
  <si>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</si>
  <si>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</si>
  <si>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</si>
  <si>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</si>
  <si>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</si>
  <si>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</si>
  <si>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</si>
  <si>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</si>
  <si>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</si>
  <si>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</si>
  <si>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</si>
  <si>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</si>
  <si>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</si>
  <si>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</si>
  <si>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</si>
  <si>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</si>
  <si>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</si>
  <si>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</si>
  <si>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</si>
  <si>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</si>
  <si>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</si>
  <si>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</si>
  <si>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</si>
  <si>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</si>
  <si>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</si>
  <si>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</si>
  <si>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</si>
  <si>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</si>
  <si>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</si>
  <si>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</si>
  <si>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</si>
  <si>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</si>
  <si>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</si>
  <si>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</si>
  <si>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</si>
  <si>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</si>
  <si>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</si>
  <si>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</si>
  <si>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</si>
  <si>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</si>
  <si>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</si>
  <si>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</si>
  <si>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</si>
  <si>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</si>
  <si>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</si>
  <si>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</si>
  <si>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</si>
  <si>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</si>
  <si>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</si>
  <si>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</si>
  <si>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</si>
  <si>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</si>
  <si>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</si>
  <si>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</si>
  <si>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</si>
  <si>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</si>
  <si>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</si>
  <si>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</si>
  <si>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</si>
  <si>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</si>
  <si>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</si>
  <si>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</si>
  <si>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</si>
  <si>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</si>
  <si>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</si>
  <si>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</si>
  <si>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</si>
  <si>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</si>
  <si>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</si>
  <si>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</si>
  <si>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</si>
  <si>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</si>
  <si>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</si>
  <si>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</si>
  <si>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</si>
  <si>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</si>
  <si>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</si>
  <si>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</si>
  <si>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</si>
  <si>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</si>
  <si>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</si>
  <si>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</si>
  <si>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</si>
  <si>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</si>
  <si>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</si>
  <si>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</si>
  <si>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</si>
  <si>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</si>
  <si>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</si>
  <si>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</si>
  <si>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</si>
  <si>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</si>
  <si>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</si>
  <si>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</si>
  <si>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</si>
  <si>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</si>
  <si>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</si>
  <si>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</si>
  <si>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</si>
  <si>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</si>
  <si>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</si>
  <si>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</si>
  <si>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</si>
  <si>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</si>
  <si>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</si>
  <si>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</si>
  <si>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</si>
  <si>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</si>
  <si>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</si>
  <si>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</si>
  <si>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</si>
  <si>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</si>
  <si>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</si>
  <si>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</si>
  <si>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</si>
  <si>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</si>
  <si>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</si>
  <si>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</si>
  <si>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</si>
  <si>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</si>
  <si>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</si>
  <si>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</si>
  <si>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</si>
  <si>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</si>
  <si>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</si>
  <si>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</si>
  <si>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</si>
  <si>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</si>
  <si>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</si>
  <si>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</si>
  <si>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</si>
  <si>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</si>
  <si>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</si>
  <si>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</si>
  <si>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</si>
  <si>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</si>
  <si>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</si>
  <si>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</si>
  <si>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</si>
  <si>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</si>
  <si>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</si>
  <si>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</si>
  <si>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</si>
  <si>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</si>
  <si>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</si>
  <si>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</si>
  <si>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</si>
  <si>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</si>
  <si>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</si>
  <si>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</si>
  <si>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</si>
  <si>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</si>
  <si>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</si>
  <si>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</si>
  <si>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</si>
  <si>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</si>
  <si>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</si>
  <si>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</si>
  <si>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</si>
  <si>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</si>
  <si>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</si>
  <si>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</si>
  <si>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</si>
  <si>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</si>
  <si>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</si>
  <si>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</si>
  <si>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</si>
  <si>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</si>
  <si>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</si>
  <si>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</si>
  <si>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</si>
  <si>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</si>
  <si>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</si>
  <si>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</si>
  <si>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</si>
  <si>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</si>
  <si>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</si>
  <si>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</si>
  <si>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</si>
  <si>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</si>
  <si>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</si>
  <si>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</si>
  <si>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</si>
  <si>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</si>
  <si>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</si>
  <si>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</si>
  <si>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</si>
  <si>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</si>
  <si>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</si>
  <si>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</si>
  <si>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</si>
  <si>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</si>
  <si>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</si>
  <si>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</si>
  <si>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</si>
  <si>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</si>
  <si>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</si>
  <si>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</si>
  <si>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</si>
  <si>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</si>
  <si>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</si>
  <si>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</si>
  <si>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</si>
  <si>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</si>
  <si>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</si>
  <si>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</si>
  <si>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</si>
  <si>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</si>
  <si>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</si>
  <si>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</si>
  <si>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</si>
  <si>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</si>
  <si>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</si>
  <si>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</si>
  <si>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</si>
  <si>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</si>
  <si>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</si>
  <si>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</si>
  <si>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</si>
  <si>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</si>
  <si>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</si>
  <si>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</si>
  <si>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</si>
  <si>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</si>
  <si>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</si>
  <si>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</si>
  <si>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</si>
  <si>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</si>
  <si>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</si>
  <si>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</si>
  <si>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</si>
  <si>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</si>
  <si>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</si>
  <si>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</si>
  <si>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</si>
  <si>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</si>
  <si>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</si>
  <si>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</si>
  <si>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</si>
  <si>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</si>
  <si>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</si>
  <si>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</si>
  <si>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</si>
  <si>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</si>
  <si>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</si>
  <si>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</si>
  <si>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</si>
  <si>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</si>
  <si>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</si>
  <si>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</si>
  <si>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</si>
  <si>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</si>
  <si>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</si>
  <si>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</si>
  <si>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</si>
  <si>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</si>
  <si>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</si>
  <si>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</si>
  <si>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</si>
  <si>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</si>
  <si>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</si>
  <si>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</si>
  <si>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</si>
  <si>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</si>
  <si>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</si>
  <si>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</si>
  <si>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</si>
  <si>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</si>
  <si>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</si>
  <si>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</si>
  <si>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</si>
  <si>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</si>
  <si>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</si>
  <si>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</si>
  <si>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</si>
  <si>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</si>
  <si>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</si>
  <si>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</si>
  <si>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</si>
  <si>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</si>
  <si>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</si>
  <si>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</si>
  <si>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</si>
  <si>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</si>
  <si>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</si>
  <si>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</si>
  <si>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</si>
  <si>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</si>
  <si>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</si>
  <si>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</si>
  <si>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</si>
  <si>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</si>
  <si>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</si>
  <si>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</si>
  <si>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</si>
  <si>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</si>
  <si>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</si>
  <si>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</si>
  <si>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</si>
  <si>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</si>
  <si>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</si>
  <si>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</si>
  <si>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</si>
  <si>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</si>
  <si>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</si>
  <si>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</si>
  <si>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</si>
  <si>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</si>
  <si>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</si>
  <si>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</si>
  <si>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</si>
  <si>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</si>
  <si>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</si>
  <si>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</si>
  <si>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</si>
  <si>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</si>
  <si>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</si>
  <si>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</si>
  <si>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</si>
  <si>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</si>
  <si>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</si>
  <si>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</si>
  <si>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</si>
  <si>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</si>
  <si>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</si>
  <si>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</si>
  <si>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</si>
  <si>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</si>
  <si>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</si>
  <si>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</si>
  <si>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</si>
  <si>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</si>
  <si>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</si>
  <si>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</si>
  <si>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</si>
  <si>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</si>
  <si>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</si>
  <si>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</si>
  <si>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</si>
  <si>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</si>
  <si>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</si>
  <si>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</si>
  <si>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</si>
  <si>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</si>
  <si>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</si>
  <si>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</si>
  <si>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</si>
  <si>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</si>
  <si>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</si>
  <si>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</si>
  <si>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</si>
  <si>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</si>
  <si>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</si>
  <si>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</si>
  <si>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</si>
  <si>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</si>
  <si>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</si>
  <si>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</si>
  <si>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</si>
  <si>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</si>
  <si>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</si>
  <si>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</si>
  <si>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</si>
  <si>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</si>
  <si>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</si>
  <si>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</si>
  <si>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</si>
  <si>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</si>
  <si>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</si>
  <si>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</si>
  <si>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</si>
  <si>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</si>
  <si>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</si>
  <si>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</si>
  <si>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</si>
  <si>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</si>
  <si>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</si>
  <si>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</si>
  <si>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</si>
  <si>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</si>
  <si>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</si>
  <si>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</si>
  <si>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</si>
  <si>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</si>
  <si>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</si>
  <si>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</si>
  <si>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</si>
  <si>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</si>
  <si>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</si>
  <si>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</si>
  <si>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</si>
  <si>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</si>
  <si>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</si>
  <si>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</si>
  <si>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</si>
  <si>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</si>
  <si>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</si>
  <si>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</si>
  <si>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</si>
  <si>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</si>
  <si>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</si>
  <si>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</si>
  <si>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</si>
  <si>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</si>
  <si>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</si>
  <si>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</si>
  <si>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</si>
  <si>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</si>
  <si>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</si>
  <si>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</si>
  <si>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</si>
  <si>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</si>
  <si>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</si>
  <si>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</si>
  <si>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</si>
  <si>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</si>
  <si>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</si>
  <si>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</si>
  <si>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</si>
  <si>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</si>
  <si>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</si>
  <si>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</si>
  <si>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</si>
  <si>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</si>
  <si>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</si>
  <si>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</si>
  <si>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</si>
  <si>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</si>
  <si>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</si>
  <si>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</si>
  <si>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</si>
  <si>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</si>
  <si>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</si>
  <si>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</si>
  <si>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</si>
  <si>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</si>
  <si>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</si>
  <si>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</si>
  <si>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</si>
  <si>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</si>
  <si>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</si>
  <si>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</si>
  <si>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</si>
  <si>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</si>
  <si>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</si>
  <si>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</si>
  <si>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</si>
  <si>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</si>
  <si>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</si>
  <si>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</si>
  <si>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</si>
  <si>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</si>
  <si>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</si>
  <si>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</si>
  <si>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</si>
  <si>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</si>
  <si>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</si>
  <si>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</si>
  <si>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</si>
  <si>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</si>
  <si>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</si>
  <si>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</si>
  <si>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</si>
  <si>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</si>
  <si>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</si>
  <si>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</si>
  <si>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</si>
  <si>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</si>
  <si>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</si>
  <si>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</si>
  <si>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</si>
  <si>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</si>
  <si>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</si>
  <si>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</si>
  <si>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</si>
  <si>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</si>
  <si>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</si>
  <si>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</si>
  <si>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</si>
  <si>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</si>
  <si>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</si>
  <si>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</si>
  <si>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</si>
  <si>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</si>
  <si>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</si>
  <si>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</si>
  <si>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</si>
  <si>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</si>
  <si>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</si>
  <si>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</si>
  <si>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</si>
  <si>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</si>
  <si>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</si>
  <si>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</si>
  <si>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</si>
  <si>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</si>
  <si>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</si>
  <si>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</si>
  <si>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</si>
  <si>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</si>
  <si>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</si>
  <si>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</si>
  <si>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</si>
  <si>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</si>
  <si>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</si>
  <si>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</si>
  <si>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</si>
  <si>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</si>
  <si>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</si>
  <si>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</si>
  <si>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</si>
  <si>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</si>
  <si>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</si>
  <si>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</si>
  <si>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</si>
  <si>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</si>
  <si>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</si>
  <si>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</si>
  <si>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</si>
  <si>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</si>
  <si>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</si>
  <si>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</si>
  <si>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</si>
  <si>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</si>
  <si>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</si>
  <si>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</si>
  <si>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</si>
  <si>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</si>
  <si>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</si>
  <si>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</si>
  <si>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</si>
  <si>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</si>
  <si>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</si>
  <si>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</si>
  <si>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</si>
  <si>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</si>
  <si>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</si>
  <si>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</si>
  <si>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</si>
  <si>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</si>
  <si>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</si>
  <si>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</si>
  <si>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</si>
  <si>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</si>
  <si>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</si>
  <si>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</si>
  <si>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</si>
  <si>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</si>
  <si>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</si>
  <si>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</si>
  <si>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</si>
  <si>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</si>
  <si>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</si>
  <si>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</si>
  <si>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</si>
  <si>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</si>
  <si>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</si>
  <si>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</si>
  <si>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</si>
  <si>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</si>
  <si>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</si>
  <si>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</si>
  <si>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</si>
  <si>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</si>
  <si>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</si>
  <si>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</si>
  <si>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</si>
  <si>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</si>
  <si>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</si>
  <si>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</si>
  <si>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</si>
  <si>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</si>
  <si>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</si>
  <si>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</si>
  <si>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</si>
  <si>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</si>
  <si>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</si>
  <si>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</si>
  <si>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</si>
  <si>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</si>
  <si>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</si>
  <si>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</si>
  <si>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</si>
  <si>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</si>
  <si>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</si>
  <si>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</si>
  <si>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</si>
  <si>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</si>
  <si>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</si>
  <si>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</si>
  <si>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</si>
  <si>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</si>
  <si>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</si>
  <si>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</si>
  <si>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</si>
  <si>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</si>
  <si>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</si>
  <si>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</si>
  <si>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</si>
  <si>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</si>
  <si>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</si>
  <si>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</si>
  <si>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</si>
  <si>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</si>
  <si>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</si>
  <si>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</si>
  <si>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</si>
  <si>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</si>
  <si>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</si>
  <si>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</si>
  <si>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</si>
  <si>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</si>
  <si>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</si>
  <si>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</si>
  <si>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</si>
  <si>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</si>
  <si>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</si>
  <si>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</si>
  <si>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</si>
  <si>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</si>
  <si>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</si>
  <si>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</si>
  <si>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</si>
  <si>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</si>
  <si>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</si>
  <si>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</si>
  <si>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</si>
  <si>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</si>
  <si>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</si>
  <si>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</si>
  <si>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</si>
  <si>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</si>
  <si>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</si>
  <si>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</si>
  <si>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</si>
  <si>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</si>
  <si>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</si>
  <si>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</si>
  <si>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</si>
  <si>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</si>
  <si>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</si>
  <si>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</si>
  <si>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</si>
  <si>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</si>
  <si>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</si>
  <si>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</si>
  <si>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</si>
  <si>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</si>
  <si>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</si>
  <si>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</si>
  <si>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</si>
  <si>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</si>
  <si>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</si>
  <si>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</si>
  <si>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</si>
  <si>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</si>
  <si>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</si>
  <si>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</si>
  <si>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</si>
  <si>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</si>
  <si>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</si>
  <si>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</si>
  <si>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</si>
  <si>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</si>
  <si>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</si>
  <si>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</si>
  <si>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</si>
  <si>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</si>
  <si>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</si>
  <si>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</si>
  <si>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</si>
  <si>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</si>
  <si>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</si>
  <si>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</si>
  <si>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</si>
  <si>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</si>
  <si>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</si>
  <si>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</si>
  <si>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</si>
  <si>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</si>
  <si>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</si>
  <si>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</si>
  <si>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</si>
  <si>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</si>
  <si>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</si>
  <si>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</si>
  <si>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</si>
  <si>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</si>
  <si>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</si>
  <si>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</si>
  <si>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</si>
  <si>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</si>
  <si>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</si>
  <si>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</si>
  <si>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</si>
  <si>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</si>
  <si>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</si>
  <si>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</si>
  <si>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</si>
  <si>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</si>
  <si>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</si>
  <si>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</si>
  <si>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</si>
  <si>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</si>
  <si>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</si>
  <si>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</si>
  <si>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</si>
  <si>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</si>
  <si>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</si>
  <si>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</si>
  <si>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</si>
  <si>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</si>
  <si>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</si>
  <si>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</si>
  <si>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</si>
  <si>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</si>
  <si>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</si>
  <si>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</si>
  <si>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</si>
  <si>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</si>
  <si>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</si>
  <si>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</si>
  <si>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</si>
  <si>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</si>
  <si>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</si>
  <si>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</si>
  <si>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</si>
  <si>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</si>
  <si>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</si>
  <si>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</si>
  <si>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</si>
  <si>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</si>
  <si>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</si>
  <si>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</si>
  <si>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</si>
  <si>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</si>
  <si>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</si>
  <si>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</si>
  <si>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</si>
  <si>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</si>
  <si>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</si>
  <si>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</si>
  <si>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</si>
  <si>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</si>
  <si>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</si>
  <si>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</si>
  <si>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</si>
  <si>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</si>
  <si>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</si>
  <si>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</si>
  <si>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</si>
  <si>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</si>
  <si>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</si>
  <si>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</si>
  <si>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</si>
  <si>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</si>
  <si>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</si>
  <si>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</si>
  <si>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</si>
  <si>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</si>
  <si>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</si>
  <si>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</si>
  <si>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</si>
  <si>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</si>
  <si>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</si>
  <si>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</si>
  <si>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</si>
  <si>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</si>
  <si>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</si>
  <si>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</si>
  <si>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</si>
  <si>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</si>
  <si>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</si>
  <si>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</si>
  <si>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</si>
  <si>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</si>
  <si>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</si>
  <si>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</si>
  <si>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</si>
  <si>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</si>
  <si>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</si>
  <si>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</si>
  <si>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</si>
  <si>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</si>
  <si>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</si>
  <si>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</si>
  <si>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</si>
  <si>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</si>
  <si>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</si>
  <si>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</si>
  <si>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</si>
  <si>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</si>
  <si>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</si>
  <si>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</si>
  <si>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</si>
  <si>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</si>
  <si>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</si>
  <si>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</si>
  <si>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</si>
  <si>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</si>
  <si>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</si>
  <si>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</si>
  <si>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</si>
  <si>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</si>
  <si>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</si>
  <si>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</si>
  <si>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</si>
  <si>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</si>
  <si>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</si>
  <si>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</si>
  <si>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</si>
  <si>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</si>
  <si>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</si>
  <si>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</si>
  <si>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</si>
  <si>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</si>
  <si>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</si>
  <si>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</si>
  <si>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</si>
  <si>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</si>
  <si>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</si>
  <si>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</si>
  <si>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</si>
  <si>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</si>
  <si>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</si>
  <si>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</si>
  <si>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</si>
  <si>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</si>
  <si>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</si>
  <si>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</si>
  <si>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</si>
  <si>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</si>
  <si>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</si>
  <si>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</si>
  <si>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</si>
  <si>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</si>
  <si>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</si>
  <si>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</si>
  <si>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</si>
  <si>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</si>
  <si>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</si>
  <si>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</si>
  <si>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</si>
  <si>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</si>
  <si>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</si>
  <si>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</si>
  <si>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</si>
  <si>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</si>
  <si>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</si>
  <si>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</si>
  <si>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</si>
  <si>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</si>
  <si>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</si>
  <si>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</si>
  <si>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</si>
  <si>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</si>
  <si>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</si>
  <si>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</si>
  <si>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</si>
  <si>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</si>
  <si>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</si>
  <si>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</si>
  <si>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</si>
  <si>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</si>
  <si>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</si>
  <si>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</si>
  <si>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</si>
  <si>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</si>
  <si>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</si>
  <si>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</si>
  <si>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</si>
  <si>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</si>
  <si>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</si>
  <si>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</si>
  <si>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</si>
  <si>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</si>
  <si>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</si>
  <si>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</si>
  <si>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</si>
  <si>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</si>
  <si>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</si>
  <si>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</si>
  <si>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</si>
  <si>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</si>
  <si>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</si>
  <si>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</si>
  <si>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</si>
  <si>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</si>
  <si>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</si>
  <si>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</si>
  <si>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</si>
  <si>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</si>
  <si>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</si>
  <si>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</si>
  <si>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</si>
  <si>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</si>
  <si>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</si>
  <si>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</si>
  <si>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</si>
  <si>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</si>
  <si>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</si>
  <si>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</si>
  <si>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</si>
  <si>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</si>
  <si>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</si>
  <si>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</si>
  <si>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</si>
  <si>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</si>
  <si>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</si>
  <si>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</si>
  <si>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</si>
  <si>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</si>
  <si>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</si>
  <si>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</si>
  <si>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</si>
  <si>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</si>
  <si>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</si>
  <si>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</si>
  <si>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</si>
  <si>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</si>
  <si>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</si>
  <si>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</si>
  <si>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</si>
  <si>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</si>
  <si>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</si>
  <si>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</si>
  <si>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</si>
  <si>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</si>
  <si>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</si>
  <si>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</si>
  <si>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</si>
  <si>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</si>
  <si>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</si>
  <si>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</si>
  <si>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</si>
  <si>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</si>
  <si>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</si>
  <si>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</si>
  <si>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</si>
  <si>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</si>
  <si>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</si>
  <si>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</si>
  <si>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</si>
  <si>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</si>
  <si>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</si>
  <si>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</si>
  <si>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</si>
  <si>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</si>
  <si>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</si>
  <si>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</si>
  <si>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</si>
  <si>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</si>
  <si>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</si>
  <si>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</si>
  <si>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</si>
  <si>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</si>
  <si>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</si>
  <si>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</si>
  <si>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</si>
  <si>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</si>
  <si>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</si>
  <si>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</si>
  <si>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</si>
  <si>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</si>
  <si>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</si>
  <si>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</si>
  <si>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</si>
  <si>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</si>
  <si>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</si>
  <si>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</si>
  <si>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</si>
  <si>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</si>
  <si>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</si>
  <si>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</si>
  <si>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</si>
  <si>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</si>
  <si>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</si>
  <si>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</si>
  <si>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</si>
  <si>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</si>
  <si>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</si>
  <si>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</si>
  <si>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</si>
  <si>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</si>
  <si>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</si>
  <si>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</si>
  <si>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</si>
  <si>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</si>
  <si>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</si>
  <si>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</si>
  <si>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</si>
  <si>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</si>
  <si>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</si>
  <si>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</si>
  <si>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</si>
  <si>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</si>
  <si>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</si>
  <si>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</si>
  <si>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</si>
  <si>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</si>
  <si>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</si>
  <si>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</si>
  <si>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</si>
  <si>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</si>
  <si>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</si>
  <si>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</si>
  <si>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</si>
  <si>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</si>
  <si>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</si>
  <si>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</si>
  <si>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</si>
  <si>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</si>
  <si>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</si>
  <si>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</si>
  <si>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</si>
  <si>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</si>
  <si>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</si>
  <si>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</si>
  <si>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</si>
  <si>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</si>
  <si>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</si>
  <si>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</si>
  <si>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</si>
  <si>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</si>
  <si>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</si>
  <si>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</si>
  <si>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</si>
  <si>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</si>
  <si>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</si>
  <si>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</si>
  <si>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</si>
  <si>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</si>
  <si>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</si>
  <si>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</si>
  <si>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</si>
  <si>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</si>
  <si>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</si>
  <si>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</si>
  <si>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</si>
  <si>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</si>
  <si>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</si>
  <si>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</si>
  <si>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</si>
  <si>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</si>
  <si>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</si>
  <si>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</si>
  <si>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</si>
  <si>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</si>
  <si>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</si>
  <si>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</si>
  <si>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</si>
  <si>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</si>
  <si>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</si>
  <si>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</si>
  <si>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</si>
  <si>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</si>
  <si>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</si>
  <si>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</si>
  <si>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</si>
  <si>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</si>
  <si>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</si>
  <si>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</si>
  <si>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</si>
  <si>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</si>
  <si>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</si>
  <si>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</si>
  <si>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</si>
  <si>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</si>
  <si>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</si>
  <si>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</si>
  <si>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</si>
  <si>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</si>
  <si>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</si>
  <si>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</si>
  <si>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</si>
  <si>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</si>
  <si>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</si>
  <si>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</si>
  <si>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</si>
  <si>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</si>
  <si>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</si>
  <si>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</si>
  <si>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</si>
  <si>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</si>
  <si>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</si>
  <si>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</si>
  <si>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</si>
  <si>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</si>
  <si>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</si>
  <si>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</si>
  <si>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</si>
  <si>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</si>
  <si>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</si>
  <si>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</si>
  <si>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</si>
  <si>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</si>
  <si>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</si>
  <si>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</si>
  <si>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</si>
  <si>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</si>
  <si>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</si>
  <si>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</si>
  <si>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</si>
  <si>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</si>
  <si>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</si>
  <si>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</si>
  <si>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</si>
  <si>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</si>
  <si>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</si>
  <si>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</si>
  <si>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</si>
  <si>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</si>
  <si>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</si>
  <si>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</si>
  <si>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</si>
  <si>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</si>
  <si>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</si>
  <si>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</si>
  <si>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</si>
  <si>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</si>
  <si>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</si>
  <si>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</si>
  <si>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</si>
  <si>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</si>
  <si>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</si>
  <si>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</si>
  <si>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</si>
  <si>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</si>
  <si>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</si>
  <si>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</si>
  <si>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</si>
  <si>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</si>
  <si>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</si>
  <si>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</si>
  <si>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</si>
  <si>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</si>
  <si>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</si>
  <si>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</si>
  <si>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</si>
  <si>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</si>
  <si>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</si>
  <si>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</si>
  <si>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</si>
  <si>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</si>
  <si>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</si>
  <si>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</si>
  <si>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</si>
  <si>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</si>
  <si>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</si>
  <si>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</si>
  <si>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</si>
  <si>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</si>
  <si>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</si>
  <si>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</si>
  <si>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</si>
  <si>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</si>
  <si>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</si>
  <si>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</si>
  <si>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</si>
  <si>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</si>
  <si>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</si>
  <si>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</si>
  <si>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</si>
  <si>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</si>
  <si>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</si>
  <si>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</si>
  <si>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</si>
  <si>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</si>
  <si>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</si>
  <si>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</si>
  <si>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</si>
  <si>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</si>
  <si>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</si>
  <si>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</si>
  <si>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</si>
  <si>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</si>
  <si>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</si>
  <si>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</si>
  <si>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</si>
  <si>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</si>
  <si>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</si>
  <si>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</si>
  <si>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</si>
  <si>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</si>
  <si>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</si>
  <si>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</si>
  <si>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</si>
  <si>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</si>
  <si>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</si>
  <si>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</si>
  <si>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</si>
  <si>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</si>
  <si>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</si>
  <si>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</si>
  <si>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</si>
  <si>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</si>
  <si>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</si>
  <si>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</si>
  <si>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</si>
  <si>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</si>
  <si>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</si>
  <si>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</si>
  <si>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</si>
  <si>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</si>
  <si>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</si>
  <si>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</si>
  <si>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</si>
  <si>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</si>
  <si>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</si>
  <si>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</si>
  <si>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</si>
  <si>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</si>
  <si>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</si>
  <si>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</si>
  <si>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</si>
  <si>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</si>
  <si>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</si>
  <si>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</si>
  <si>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</si>
  <si>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</si>
  <si>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</si>
  <si>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</si>
  <si>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</si>
  <si>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</si>
  <si>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</si>
  <si>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</si>
  <si>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</si>
  <si>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</si>
  <si>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</si>
  <si>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</si>
  <si>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</si>
  <si>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</si>
  <si>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</si>
  <si>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</si>
  <si>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</si>
  <si>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</si>
  <si>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</si>
  <si>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</si>
  <si>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</si>
  <si>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</si>
  <si>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</si>
  <si>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</si>
  <si>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</si>
  <si>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</si>
  <si>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</si>
  <si>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</si>
  <si>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</si>
  <si>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</si>
  <si>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</si>
  <si>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</si>
  <si>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</si>
  <si>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</si>
  <si>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</si>
  <si>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</si>
  <si>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</si>
  <si>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</si>
  <si>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</si>
  <si>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</si>
  <si>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</si>
  <si>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</si>
  <si>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</si>
  <si>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</si>
  <si>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</si>
  <si>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</si>
  <si>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</si>
  <si>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</si>
  <si>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</si>
  <si>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</si>
  <si>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</si>
  <si>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</si>
  <si>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</si>
  <si>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</si>
  <si>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</si>
  <si>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</si>
  <si>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</si>
  <si>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</si>
  <si>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</si>
  <si>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</si>
  <si>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</si>
  <si>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</si>
  <si>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</si>
  <si>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</si>
  <si>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</si>
  <si>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</si>
  <si>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</si>
  <si>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</si>
  <si>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</si>
  <si>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</si>
  <si>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</si>
  <si>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</si>
  <si>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</si>
  <si>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</si>
  <si>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</si>
  <si>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</si>
  <si>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</si>
  <si>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</si>
  <si>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</si>
  <si>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</si>
  <si>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</si>
  <si>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</si>
  <si>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</si>
  <si>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</si>
  <si>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</si>
  <si>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</si>
  <si>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</si>
  <si>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</si>
  <si>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</si>
  <si>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</si>
  <si>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</si>
  <si>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</si>
  <si>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</si>
  <si>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</si>
  <si>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</si>
  <si>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</si>
  <si>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</si>
  <si>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</si>
  <si>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</si>
  <si>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</si>
  <si>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</si>
  <si>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</si>
  <si>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</si>
  <si>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</si>
  <si>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</si>
  <si>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</si>
  <si>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</si>
  <si>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</si>
  <si>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</si>
  <si>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</si>
  <si>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</si>
  <si>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</si>
  <si>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</si>
  <si>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</si>
  <si>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</si>
  <si>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</si>
  <si>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</si>
  <si>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</si>
  <si>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</si>
  <si>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</si>
  <si>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</si>
  <si>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</si>
  <si>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</si>
  <si>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</si>
  <si>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</si>
  <si>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</si>
  <si>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</si>
  <si>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</si>
  <si>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</si>
  <si>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</si>
  <si>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</si>
  <si>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</si>
  <si>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</si>
  <si>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</si>
  <si>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</si>
  <si>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</si>
  <si>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</si>
  <si>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</si>
  <si>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</si>
  <si>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</si>
  <si>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</si>
  <si>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</si>
  <si>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</si>
  <si>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</si>
  <si>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</si>
  <si>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</si>
  <si>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</si>
  <si>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</si>
  <si>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</si>
  <si>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</si>
  <si>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</si>
  <si>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</si>
  <si>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</si>
  <si>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</si>
  <si>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</si>
  <si>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</si>
  <si>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</si>
  <si>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</si>
  <si>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</si>
  <si>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</si>
  <si>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</si>
  <si>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</si>
  <si>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</si>
  <si>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</si>
  <si>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</si>
  <si>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</si>
  <si>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</si>
  <si>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</si>
  <si>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</si>
  <si>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</si>
  <si>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</si>
  <si>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</si>
  <si>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</si>
  <si>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</si>
  <si>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</si>
  <si>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</si>
  <si>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</si>
  <si>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</si>
  <si>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</si>
  <si>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</si>
  <si>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</si>
  <si>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</si>
  <si>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</si>
  <si>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</si>
  <si>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</si>
  <si>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</si>
  <si>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</si>
  <si>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</si>
  <si>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</si>
  <si>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</si>
  <si>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</si>
  <si>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</si>
  <si>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</si>
  <si>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</si>
  <si>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</si>
  <si>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</si>
  <si>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</si>
  <si>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</si>
  <si>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</si>
  <si>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</si>
  <si>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</si>
  <si>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</si>
  <si>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</si>
  <si>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</si>
  <si>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</si>
  <si>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</si>
  <si>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</si>
  <si>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</si>
  <si>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</si>
  <si>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</si>
  <si>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</si>
  <si>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</si>
  <si>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</si>
  <si>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</si>
  <si>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</si>
  <si>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</si>
  <si>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</si>
  <si>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</si>
  <si>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</si>
  <si>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</si>
  <si>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</si>
  <si>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</si>
  <si>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</si>
  <si>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</si>
  <si>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</si>
  <si>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</si>
  <si>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</si>
  <si>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</si>
  <si>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</si>
  <si>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</si>
  <si>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</si>
  <si>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</si>
  <si>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</si>
  <si>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</si>
  <si>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</si>
  <si>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</si>
  <si>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</si>
  <si>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</si>
  <si>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</si>
  <si>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</si>
  <si>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</si>
  <si>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</si>
  <si>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</si>
  <si>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</si>
  <si>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</si>
  <si>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</si>
  <si>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</si>
  <si>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</si>
  <si>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</si>
  <si>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</si>
  <si>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</si>
  <si>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</si>
  <si>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</si>
  <si>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</si>
  <si>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</si>
  <si>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</si>
  <si>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</si>
  <si>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</si>
  <si>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</si>
  <si>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</si>
  <si>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</si>
  <si>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</si>
  <si>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</si>
  <si>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</si>
  <si>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</si>
  <si>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</si>
  <si>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</si>
  <si>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</si>
  <si>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</si>
  <si>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</si>
  <si>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</si>
  <si>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</si>
  <si>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</si>
  <si>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</si>
  <si>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</si>
  <si>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</si>
  <si>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</si>
  <si>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</si>
  <si>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</si>
  <si>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</si>
  <si>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</si>
  <si>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</si>
  <si>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</si>
  <si>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</si>
  <si>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</si>
  <si>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</si>
  <si>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</si>
  <si>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</si>
  <si>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</si>
  <si>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</si>
  <si>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</si>
  <si>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</si>
  <si>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</si>
  <si>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</si>
  <si>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</si>
  <si>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</si>
  <si>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</si>
  <si>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</si>
  <si>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</si>
  <si>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</si>
  <si>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</si>
  <si>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</si>
  <si>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</si>
  <si>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</si>
  <si>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</si>
  <si>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</si>
  <si>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</si>
  <si>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</si>
  <si>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</si>
  <si>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</si>
  <si>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</si>
  <si>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</si>
  <si>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</si>
  <si>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</si>
  <si>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</si>
  <si>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</si>
  <si>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</si>
  <si>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</si>
  <si>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</si>
  <si>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</si>
  <si>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</si>
  <si>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</si>
  <si>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</si>
  <si>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</si>
  <si>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</si>
  <si>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</si>
  <si>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</si>
  <si>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</si>
  <si>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</si>
  <si>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</si>
  <si>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</si>
  <si>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</si>
  <si>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</si>
  <si>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</si>
  <si>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</si>
  <si>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</si>
  <si>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</si>
  <si>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</si>
  <si>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</si>
  <si>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</si>
  <si>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</si>
  <si>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</si>
  <si>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</si>
  <si>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</si>
  <si>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</si>
  <si>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</si>
  <si>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</si>
  <si>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</si>
  <si>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</si>
  <si>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</si>
  <si>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</si>
  <si>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</si>
  <si>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</si>
  <si>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</si>
  <si>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</si>
  <si>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</si>
  <si>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</si>
  <si>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</si>
  <si>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</si>
  <si>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</si>
  <si>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</si>
  <si>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</si>
  <si>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</si>
  <si>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</si>
  <si>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</si>
  <si>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</si>
  <si>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</si>
  <si>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</si>
  <si>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</si>
  <si>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</si>
  <si>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</si>
  <si>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</si>
  <si>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</si>
  <si>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</si>
  <si>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</si>
  <si>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</si>
  <si>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</si>
  <si>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</si>
  <si>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</si>
  <si>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</si>
  <si>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</si>
  <si>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</si>
  <si>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</si>
  <si>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</si>
  <si>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</si>
  <si>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</si>
  <si>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</si>
  <si>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</si>
  <si>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</si>
  <si>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</si>
  <si>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</si>
  <si>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 xml:space="preserve"> </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</si>
  <si>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</si>
  <si>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</si>
  <si>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</si>
  <si>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</si>
  <si>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</si>
  <si>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</si>
  <si>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</si>
  <si>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</si>
  <si>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</si>
  <si>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</si>
  <si>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</si>
  <si>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</si>
  <si>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</si>
  <si>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</si>
  <si>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</si>
  <si>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</si>
  <si>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</si>
  <si>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</si>
  <si>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</si>
  <si>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</si>
  <si>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</si>
  <si>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</si>
  <si>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</si>
  <si>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</si>
  <si>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</si>
  <si>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</si>
  <si>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</si>
  <si>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</si>
  <si>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</si>
  <si>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</si>
  <si>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</si>
  <si>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</si>
  <si>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</si>
  <si>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</si>
  <si>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</si>
  <si>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</si>
  <si>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</si>
  <si>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</si>
  <si>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</si>
  <si>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</si>
  <si>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</si>
  <si>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</si>
  <si>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</si>
  <si>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</si>
  <si>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</si>
  <si>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</si>
  <si>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</si>
  <si>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</si>
  <si>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</si>
  <si>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</si>
  <si>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</si>
  <si>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</si>
  <si>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</si>
  <si>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</si>
  <si>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</si>
  <si>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</si>
  <si>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</si>
  <si>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</si>
  <si>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</si>
  <si>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</si>
  <si>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</si>
  <si>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</si>
  <si>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</si>
  <si>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</si>
  <si>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</si>
  <si>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</si>
  <si>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</si>
  <si>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</si>
  <si>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</si>
  <si>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</si>
  <si>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</si>
  <si>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</si>
  <si>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</si>
  <si>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</si>
  <si>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</si>
  <si>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</si>
  <si>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</si>
  <si>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</si>
  <si>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Poplatník:</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</si>
  <si>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</si>
  <si>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</si>
  <si>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</si>
  <si>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</si>
  <si>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</si>
  <si>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</si>
  <si>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</si>
  <si>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</si>
  <si>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</si>
  <si>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</si>
  <si>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</si>
  <si>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</si>
  <si>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</si>
  <si>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</si>
  <si>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</si>
  <si>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</si>
  <si>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</si>
  <si>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</si>
  <si>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</si>
  <si>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</si>
  <si>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</si>
  <si>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</si>
  <si>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</si>
  <si>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</si>
  <si>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</si>
  <si>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</si>
  <si>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</si>
  <si>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</si>
  <si>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</si>
  <si>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</si>
  <si>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</si>
  <si>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</si>
  <si>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</si>
  <si>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</si>
  <si>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</si>
  <si>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</si>
  <si>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</si>
  <si>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</si>
  <si>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</si>
  <si>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</si>
  <si>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</si>
  <si>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</si>
  <si>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</si>
  <si>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</si>
  <si>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</si>
  <si>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</si>
  <si>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</si>
  <si>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</si>
  <si>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</si>
  <si>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</si>
  <si>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</si>
  <si>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</si>
  <si>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</si>
  <si>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</si>
  <si>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</si>
  <si>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</si>
  <si>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</si>
  <si>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</si>
  <si>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</si>
  <si>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</si>
  <si>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</si>
  <si>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</si>
  <si>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</si>
  <si>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</si>
  <si>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</si>
  <si>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</si>
  <si>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17 E-mail</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</si>
  <si>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</si>
  <si>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</si>
  <si>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</si>
  <si>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</si>
  <si>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</si>
  <si>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</si>
  <si>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</si>
  <si>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</si>
  <si>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</si>
  <si>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</si>
  <si>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</si>
  <si>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</si>
  <si>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</si>
  <si>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</si>
  <si>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</si>
  <si>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</si>
  <si>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</si>
  <si>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</si>
  <si>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</si>
  <si>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</si>
  <si>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</si>
  <si>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</si>
  <si>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</si>
  <si>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</si>
  <si>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</si>
  <si>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</si>
  <si>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</si>
  <si>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</si>
  <si>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</si>
  <si>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</si>
  <si>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</si>
  <si>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</si>
  <si>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</si>
  <si>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</si>
  <si>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</si>
  <si>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</si>
  <si>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</si>
  <si>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</si>
  <si>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</si>
  <si>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</si>
  <si>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</si>
  <si>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</si>
  <si>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</si>
  <si>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</si>
  <si>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</si>
  <si>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</si>
  <si>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</si>
  <si>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</si>
  <si>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</si>
  <si>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</si>
  <si>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</si>
  <si>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</si>
  <si>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</si>
  <si>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</si>
  <si>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</si>
  <si>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</si>
  <si>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</si>
  <si>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</si>
  <si>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</si>
  <si>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</si>
  <si>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</si>
  <si>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</si>
  <si>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</si>
  <si>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</si>
  <si>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</si>
  <si>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</si>
  <si>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</si>
  <si>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</si>
  <si>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</si>
  <si>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</si>
  <si>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</si>
  <si>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</si>
  <si>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</si>
  <si>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</si>
  <si>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</si>
  <si>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</si>
  <si>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</si>
  <si>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</si>
  <si>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</si>
  <si>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</si>
  <si>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</si>
  <si>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</si>
  <si>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</si>
  <si>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</si>
  <si>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</si>
  <si>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</si>
  <si>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</si>
  <si>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</si>
  <si>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</si>
  <si>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</si>
  <si>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</si>
  <si>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</si>
  <si>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</si>
  <si>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</si>
  <si>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</si>
  <si>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</si>
  <si>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</si>
  <si>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</si>
  <si>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</si>
  <si>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</si>
  <si>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</si>
  <si>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</si>
  <si>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Zjištěná daň podle § 141 zákona č. 280/2009 Sb., daňového řádu (ř. 74 nebo ř. 75)</t>
  </si>
  <si>
    <t xml:space="preserve">nebo vraťte na účet vedený u </t>
  </si>
  <si>
    <t xml:space="preserve">PŘIZNÁNÍ K DANI Z PŘÍJMŮ FYZICKÝCH OSOB </t>
  </si>
  <si>
    <t>XXX</t>
  </si>
  <si>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</si>
  <si>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</si>
  <si>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r>
      <t xml:space="preserve">omezená verze - šablona umožňuje xml export - sledujte list </t>
    </r>
    <r>
      <rPr>
        <b/>
        <i/>
        <sz val="12"/>
        <rFont val="Arial CE"/>
        <family val="2"/>
        <charset val="-18"/>
      </rPr>
      <t>XML_export</t>
    </r>
  </si>
  <si>
    <t xml:space="preserve">* součet všech zdanitelných příjmů za zdaňovací období nepřekročí částku 800.000,- Kč </t>
  </si>
  <si>
    <t>* daňový základ nepřekročí částku 300.000,- Kč ( řádek 42 )</t>
  </si>
  <si>
    <t>písm. h) zákona (sleva na evidenci tržeb)</t>
  </si>
  <si>
    <r>
      <t>Podpis daňového subjektu (podepisující osoby</t>
    </r>
    <r>
      <rPr>
        <vertAlign val="superscript"/>
        <sz val="8"/>
        <rFont val="Arial"/>
        <family val="2"/>
        <charset val="-18"/>
      </rPr>
      <t>3)</t>
    </r>
    <r>
      <rPr>
        <sz val="8"/>
        <rFont val="Arial"/>
        <family val="2"/>
        <charset val="-18"/>
      </rPr>
      <t>)</t>
    </r>
  </si>
  <si>
    <t>25 5405 Mfin 5405 vzor č. 26, formulář je platný pro zdaňovací období započatá v roce 2020</t>
  </si>
  <si>
    <t>05 DAP podává daňový poradce na základě plné moci k zastupování</t>
  </si>
  <si>
    <t>25 5405 MFin 5405 vzor č.26</t>
  </si>
  <si>
    <t>Uplatňovaná výše pravomocně stanovené ztráty (maximálně do výše ř. 41a)</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</si>
  <si>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</si>
  <si>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</si>
  <si>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</si>
  <si>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ke dni  31.12.2020</t>
  </si>
  <si>
    <t>je součástí tiskopisu P Ř I Z N Á N Í k dani z příjmů fyzických osob za zdaňovací období 2020 - 25 5405 MFin 5405 vzor č. 26 („dále jen DAP")</t>
  </si>
  <si>
    <t>25 5405/P1 MFin 5405/P1 - vzor č. 16</t>
  </si>
  <si>
    <t>je součástí tiskopisu P Ř I Z N Á N Í k dani z příjmů fyzických osob za zdaňovací období 2020 - 25 5405 MFin 5405 vzor č. 26 (dále jen „DAP")</t>
  </si>
  <si>
    <t>Dílčí základ daně, daňová ztráta z nájmu podle § 9 zákona                                          (ř. 203 + ř. 204 - ř. 205)</t>
  </si>
  <si>
    <t>25 5405/P2 MFin 5405/P2 - vzor č. 16</t>
  </si>
  <si>
    <t>je součástí tiskopisu P Ř I Z N Á N Í k dani z příjmů fyzických osob za zdaňovací období 2020 - 25 5405 MFin 5405 vzor č. 26 (dále jen „DAP").</t>
  </si>
  <si>
    <t>25 5405/P3 MFin 5405/P3 - vzor č. 16</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</si>
  <si>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</si>
  <si>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</si>
  <si>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</si>
  <si>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</si>
  <si>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</si>
  <si>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</si>
  <si>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</si>
  <si>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prohlašuji, že jsem v roce 2020 neuplatnil / neuplatnila daňové zvýhodnění na vyživované děti:</t>
  </si>
  <si>
    <t>Platební kalendář daňových povinností 2021 - 2022</t>
  </si>
  <si>
    <t>PRO POPLATNÍKY, KTEŘÍ MAJÍ TERMÍN PRO ODEVZDÁNÍ DAŇOVÉHO PŘIZNÁNÍ STANOVEN NA BŘEZEN 2021</t>
  </si>
  <si>
    <t>PRO POPLATNÍKY, KTEŘÍ MAJÍ TERMÍN PRO ODEVZDÁNÍ DAŇOVÉHO PŘIZNÁNÍ STANOVEN NA ČERVEN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</si>
</sst>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Kč&quot;;\-#,##0\ &quot;Kč&quot;"/>
    <numFmt numFmtId="164" formatCode="mmmm\ d\,\ yyyy"/>
    <numFmt numFmtId="165" formatCode="d\.\ mmmm\ yyyy"/>
    <numFmt numFmtId="166" formatCode="???,???,???"/>
    <numFmt numFmtId="177" formatCode="#,##0"/>
  </numFmts>
  <fonts count="91">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sz val="9"/>
      <name val="Tahoma"/>
      <family val="2"/>
      <charset val="-18"/>
    </font>
    <font>
      <b/>
      <sz val="9"/>
      <name val="Tahoma"/>
      <family val="2"/>
      <charset val="-18"/>
    </font>
    <font>
      <i/>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b/>
      <sz val="10"/>
      <color rgb="FFFF0000"/>
      <name val="Arial"/>
      <family val="2"/>
      <charset val="-18"/>
    </font>
  </fonts>
  <fills count="23">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
        <bgColor indexed="64"/>
      </patternFill>
    </fill>
    <fill>
      <patternFill patternType="solid">
        <fgColor indexed="31"/>
        <bgColor indexed="64"/>
      </patternFill>
    </fill>
    <fill>
      <patternFill patternType="solid">
        <fgColor indexed="29"/>
        <bgColor indexed="64"/>
      </patternFill>
    </fill>
    <fill>
      <patternFill patternType="solid">
        <fgColor theme="0"/>
        <bgColor indexed="64"/>
      </patternFill>
    </fill>
  </fills>
  <borders count="98">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style="thin">
        <color auto="1"/>
      </right>
      <top style="medium">
        <color auto="1"/>
      </top>
      <bottom/>
    </border>
    <border>
      <left style="medium">
        <color auto="1"/>
      </left>
      <right style="thin">
        <color auto="1"/>
      </right>
      <top/>
      <bottom/>
    </border>
    <border>
      <left/>
      <right/>
      <top style="hair">
        <color auto="1"/>
      </top>
      <bottom style="hair">
        <color auto="1"/>
      </bottom>
    </border>
    <border>
      <left style="medium">
        <color auto="1"/>
      </left>
      <right/>
      <top/>
      <bottom style="medium">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right style="medium">
        <color auto="1"/>
      </right>
      <top style="thin">
        <color auto="1"/>
      </top>
      <bottom/>
    </border>
    <border>
      <left/>
      <right style="medium">
        <color auto="1"/>
      </right>
      <top/>
      <bottom style="medium">
        <color auto="1"/>
      </bottom>
    </border>
    <border>
      <left style="medium">
        <color auto="1"/>
      </left>
      <right/>
      <top style="medium">
        <color auto="1"/>
      </top>
      <bottom/>
    </border>
    <border>
      <left/>
      <right style="medium">
        <color auto="1"/>
      </right>
      <top style="medium">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s>
  <cellStyleXfs count="19">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6" fillId="0" borderId="0" applyNumberFormat="0" applyFill="0" applyBorder="0" applyAlignment="0" applyProtection="0">
      <alignment/>
    </xf>
    <xf numFmtId="0" fontId="60" fillId="0" borderId="0" applyNumberFormat="0" applyFill="0" applyBorder="0" applyAlignment="0" applyProtection="0">
      <alignment/>
    </xf>
    <xf numFmtId="0" fontId="6" fillId="0" borderId="0">
      <alignment/>
      <protection/>
    </xf>
    <xf numFmtId="0" fontId="6" fillId="0" borderId="0">
      <alignment/>
      <protection/>
    </xf>
    <xf numFmtId="0" fontId="60" fillId="0" borderId="0" applyNumberFormat="0" applyFill="0" applyBorder="0" applyAlignment="0" applyProtection="0">
      <alignment/>
    </xf>
    <xf numFmtId="0" fontId="0" fillId="0" borderId="0">
      <alignment/>
      <protection/>
    </xf>
    <xf numFmtId="0" fontId="2" fillId="0" borderId="0">
      <alignment/>
      <protection/>
    </xf>
    <xf numFmtId="0" fontId="85" fillId="2" borderId="0" applyNumberFormat="0" applyBorder="0" applyAlignment="0" applyProtection="0">
      <alignment/>
    </xf>
    <xf numFmtId="0" fontId="0" fillId="0" borderId="0" applyNumberFormat="0" applyFill="0" applyBorder="0" applyAlignment="0" applyProtection="0">
      <alignment/>
    </xf>
  </cellStyleXfs>
  <cellXfs count="1392">
    <xf numFmtId="0" fontId="0" fillId="0" borderId="0" xfId="0">
      <alignment/>
    </xf>
    <xf numFmtId="0" fontId="0" fillId="0" borderId="0" xfId="0" applyFill="1">
      <alignment/>
    </xf>
    <xf numFmtId="0" fontId="16" fillId="0" borderId="0" xfId="0" applyFont="1" applyFill="1">
      <alignment/>
    </xf>
    <xf numFmtId="0" fontId="0" fillId="3" borderId="0" xfId="0" applyFill="1">
      <alignment/>
    </xf>
    <xf numFmtId="0" fontId="6" fillId="3" borderId="0" xfId="0" applyFont="1" applyFill="1">
      <alignment/>
    </xf>
    <xf numFmtId="0" fontId="7" fillId="3" borderId="0" xfId="0" applyFont="1" applyFill="1">
      <alignment/>
    </xf>
    <xf numFmtId="0" fontId="3" fillId="3" borderId="0" xfId="0" applyFont="1" applyFill="1">
      <alignment/>
    </xf>
    <xf numFmtId="0" fontId="16" fillId="3" borderId="0" xfId="0" applyFont="1" applyFill="1">
      <alignment/>
    </xf>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3" xfId="0" applyNumberFormat="1" applyFont="1" applyFill="1" applyBorder="1" applyAlignment="1">
      <alignment horizontal="left" vertical="top"/>
    </xf>
    <xf numFmtId="49" fontId="9" fillId="3" borderId="4" xfId="0" applyNumberFormat="1" applyFont="1" applyFill="1" applyBorder="1" applyAlignment="1">
      <alignment horizontal="left" vertical="top"/>
    </xf>
    <xf numFmtId="49" fontId="6" fillId="3" borderId="5" xfId="0" applyNumberFormat="1" applyFont="1" applyFill="1" applyBorder="1" applyAlignment="1" applyProtection="1">
      <alignment horizontal="center"/>
      <protection locked="0"/>
    </xf>
    <xf numFmtId="49" fontId="9" fillId="3" borderId="6" xfId="0" applyNumberFormat="1" applyFont="1" applyFill="1" applyBorder="1" applyAlignment="1">
      <alignment horizontal="left" vertical="top" wrapText="1"/>
    </xf>
    <xf numFmtId="0" fontId="9" fillId="4" borderId="7"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7" xfId="0" applyFont="1" applyFill="1" applyBorder="1" applyAlignment="1" applyProtection="1">
      <alignment horizontal="center" vertical="center"/>
      <protection/>
    </xf>
    <xf numFmtId="0" fontId="9" fillId="4" borderId="4" xfId="0" applyFont="1" applyFill="1" applyBorder="1" applyAlignment="1" applyProtection="1">
      <alignment horizontal="center" vertical="center"/>
      <protection/>
    </xf>
    <xf numFmtId="0" fontId="0" fillId="3" borderId="0" xfId="0" applyFill="1" applyProtection="1">
      <alignment/>
      <protection/>
    </xf>
    <xf numFmtId="0" fontId="6" fillId="3" borderId="0" xfId="0" applyFont="1" applyFill="1" applyProtection="1">
      <alignment/>
      <protection/>
    </xf>
    <xf numFmtId="0" fontId="12" fillId="3" borderId="0" xfId="0" applyFont="1" applyFill="1" applyProtection="1">
      <alignment/>
      <protection/>
    </xf>
    <xf numFmtId="0" fontId="0" fillId="5" borderId="0" xfId="0" applyFill="1">
      <alignment/>
    </xf>
    <xf numFmtId="0" fontId="0" fillId="6" borderId="0" xfId="0" applyFill="1">
      <alignment/>
    </xf>
    <xf numFmtId="0" fontId="6" fillId="5" borderId="0" xfId="0" applyFont="1" applyFill="1">
      <alignment/>
    </xf>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9"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9" xfId="0" applyNumberFormat="1" applyFon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8" xfId="0" applyNumberFormat="1"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7" xfId="0" applyFont="1" applyFill="1" applyBorder="1" applyAlignment="1" applyProtection="1">
      <alignment horizontal="center" vertical="center"/>
      <protection/>
    </xf>
    <xf numFmtId="0" fontId="9" fillId="4" borderId="4"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alignment/>
    </xf>
    <xf numFmtId="0" fontId="6" fillId="9" borderId="0" xfId="0" applyFont="1" applyFill="1">
      <alignment/>
    </xf>
    <xf numFmtId="0" fontId="19" fillId="10" borderId="0" xfId="0" applyFont="1" applyFill="1">
      <alignment/>
    </xf>
    <xf numFmtId="0" fontId="7" fillId="10" borderId="16" xfId="0" applyFont="1" applyFill="1" applyBorder="1">
      <alignment/>
    </xf>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3" xfId="0" applyFont="1" applyFill="1" applyBorder="1">
      <alignment/>
    </xf>
    <xf numFmtId="0" fontId="6" fillId="10" borderId="7" xfId="0" applyFont="1" applyFill="1" applyBorder="1">
      <alignment/>
    </xf>
    <xf numFmtId="0" fontId="25" fillId="10" borderId="7" xfId="0" applyFont="1" applyFill="1" applyBorder="1">
      <alignment/>
    </xf>
    <xf numFmtId="0" fontId="6" fillId="10" borderId="4" xfId="0" applyFont="1" applyFill="1" applyBorder="1">
      <alignment/>
    </xf>
    <xf numFmtId="0" fontId="7" fillId="10" borderId="19" xfId="0" applyFont="1" applyFill="1" applyBorder="1">
      <alignment/>
    </xf>
    <xf numFmtId="0" fontId="6" fillId="10" borderId="20" xfId="0" applyFont="1" applyFill="1" applyBorder="1">
      <alignment/>
    </xf>
    <xf numFmtId="0" fontId="7" fillId="10" borderId="21" xfId="0" applyFont="1" applyFill="1" applyBorder="1" applyAlignment="1">
      <alignment horizontal="center"/>
    </xf>
    <xf numFmtId="0" fontId="6" fillId="10" borderId="22" xfId="0" applyFont="1" applyFill="1" applyBorder="1">
      <alignment/>
    </xf>
    <xf numFmtId="0" fontId="6" fillId="10" borderId="23" xfId="0" applyFont="1" applyFill="1" applyBorder="1">
      <alignment/>
    </xf>
    <xf numFmtId="0" fontId="6" fillId="10" borderId="24" xfId="0" applyFont="1" applyFill="1" applyBorder="1">
      <alignment/>
    </xf>
    <xf numFmtId="0" fontId="6" fillId="10" borderId="0" xfId="0" applyFont="1" applyFill="1" applyBorder="1">
      <alignment/>
    </xf>
    <xf numFmtId="0" fontId="26" fillId="10" borderId="7" xfId="0" applyFont="1" applyFill="1" applyBorder="1">
      <alignment/>
    </xf>
    <xf numFmtId="0" fontId="26" fillId="10" borderId="25" xfId="0" applyFont="1" applyFill="1" applyBorder="1">
      <alignment/>
    </xf>
    <xf numFmtId="0" fontId="25" fillId="10" borderId="15" xfId="0" applyFont="1" applyFill="1" applyBorder="1">
      <alignment/>
    </xf>
    <xf numFmtId="3" fontId="6" fillId="8" borderId="9" xfId="0" applyNumberFormat="1" applyFont="1" applyFill="1" applyBorder="1" applyAlignment="1" applyProtection="1">
      <alignment horizontal="center" vertical="center"/>
      <protection/>
    </xf>
    <xf numFmtId="3" fontId="6" fillId="8" borderId="2"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9"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alignment/>
    </xf>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5"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alignment/>
    </xf>
    <xf numFmtId="0" fontId="23" fillId="8" borderId="0" xfId="0" applyFont="1" applyFill="1">
      <alignment/>
    </xf>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9"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8"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9" xfId="0" applyNumberFormat="1" applyFon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10" fontId="0" fillId="8" borderId="9"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alignment/>
      <protection locked="0"/>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9"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9"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3"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3"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12" fillId="7" borderId="37" xfId="0" applyFont="1" applyFill="1" applyBorder="1" applyAlignment="1">
      <alignment horizontal="right" vertical="center" wrapText="1"/>
    </xf>
    <xf numFmtId="0" fontId="6" fillId="7" borderId="9" xfId="0" applyFont="1" applyFill="1" applyBorder="1" applyAlignment="1" applyProtection="1">
      <alignment horizontal="center" vertical="center"/>
      <protection/>
    </xf>
    <xf numFmtId="0" fontId="6" fillId="7" borderId="2"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9"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2"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9" xfId="0" applyFill="1" applyBorder="1" applyAlignment="1" applyProtection="1">
      <alignment vertical="center"/>
      <protection locked="0"/>
    </xf>
    <xf numFmtId="0" fontId="0" fillId="4" borderId="0" xfId="0" applyFill="1">
      <alignment/>
    </xf>
    <xf numFmtId="0" fontId="0" fillId="7" borderId="9" xfId="0" applyFill="1" applyBorder="1" applyAlignment="1">
      <alignment vertical="center"/>
    </xf>
    <xf numFmtId="4" fontId="6" fillId="3" borderId="27" xfId="0" applyNumberFormat="1" applyFont="1" applyFill="1" applyBorder="1" applyProtection="1">
      <alignment/>
      <protection locked="0"/>
    </xf>
    <xf numFmtId="4" fontId="6" fillId="3" borderId="5" xfId="0" applyNumberFormat="1" applyFont="1" applyFill="1" applyBorder="1" applyProtection="1">
      <alignment/>
      <protection locked="0"/>
    </xf>
    <xf numFmtId="4" fontId="6" fillId="3" borderId="9" xfId="0" applyNumberFormat="1" applyFont="1" applyFill="1" applyBorder="1" applyProtection="1">
      <alignment/>
      <protection locked="0"/>
    </xf>
    <xf numFmtId="4" fontId="6" fillId="3" borderId="43" xfId="0" applyNumberFormat="1" applyFont="1" applyFill="1" applyBorder="1" applyProtection="1">
      <alignment/>
      <protection locked="0"/>
    </xf>
    <xf numFmtId="4" fontId="7" fillId="3" borderId="9" xfId="0" applyNumberFormat="1" applyFont="1" applyFill="1" applyBorder="1">
      <alignment/>
    </xf>
    <xf numFmtId="4" fontId="7" fillId="3" borderId="43" xfId="0" applyNumberFormat="1" applyFont="1" applyFill="1" applyBorder="1">
      <alignment/>
    </xf>
    <xf numFmtId="4" fontId="6" fillId="3" borderId="2" xfId="0" applyNumberFormat="1" applyFont="1" applyFill="1" applyBorder="1">
      <alignment/>
    </xf>
    <xf numFmtId="4" fontId="6" fillId="3" borderId="44" xfId="0" applyNumberFormat="1" applyFont="1" applyFill="1" applyBorder="1">
      <alignment/>
    </xf>
    <xf numFmtId="4" fontId="6" fillId="10" borderId="45" xfId="0" applyNumberFormat="1" applyFont="1" applyFill="1" applyBorder="1">
      <alignment/>
    </xf>
    <xf numFmtId="4" fontId="6" fillId="10" borderId="32" xfId="0" applyNumberFormat="1" applyFont="1" applyFill="1" applyBorder="1">
      <alignment/>
    </xf>
    <xf numFmtId="4" fontId="6" fillId="3" borderId="36" xfId="0" applyNumberFormat="1" applyFont="1" applyFill="1" applyBorder="1" applyProtection="1">
      <alignment/>
      <protection locked="0"/>
    </xf>
    <xf numFmtId="4" fontId="6" fillId="3" borderId="1" xfId="0" applyNumberFormat="1" applyFont="1" applyFill="1" applyBorder="1" applyProtection="1">
      <alignment/>
      <protection locked="0"/>
    </xf>
    <xf numFmtId="4" fontId="7" fillId="3" borderId="29" xfId="0" applyNumberFormat="1" applyFont="1" applyFill="1" applyBorder="1" applyProtection="1">
      <alignment/>
      <protection/>
    </xf>
    <xf numFmtId="4" fontId="6" fillId="3" borderId="8" xfId="0" applyNumberFormat="1" applyFont="1" applyFill="1" applyBorder="1">
      <alignment/>
    </xf>
    <xf numFmtId="4" fontId="6" fillId="10" borderId="46" xfId="0" applyNumberFormat="1" applyFont="1" applyFill="1" applyBorder="1">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alignment/>
    </xf>
    <xf numFmtId="0" fontId="20" fillId="0" borderId="0" xfId="0" applyFont="1">
      <alignment/>
    </xf>
    <xf numFmtId="10" fontId="6" fillId="3" borderId="9"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9" xfId="0" applyNumberFormat="1" applyFont="1" applyFill="1" applyBorder="1" applyAlignment="1" applyProtection="1">
      <alignment horizontal="center" vertical="center"/>
      <protection locked="0"/>
    </xf>
    <xf numFmtId="0" fontId="45" fillId="6" borderId="0" xfId="0" applyFont="1" applyFill="1">
      <alignment/>
    </xf>
    <xf numFmtId="0" fontId="45" fillId="0" borderId="0" xfId="0" applyFont="1">
      <alignment/>
    </xf>
    <xf numFmtId="0" fontId="48"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48" fillId="8" borderId="9" xfId="0" applyFont="1" applyFill="1" applyBorder="1" applyAlignment="1">
      <alignment horizontal="center" vertical="center"/>
    </xf>
    <xf numFmtId="0" fontId="46" fillId="3" borderId="0" xfId="0" applyFont="1" applyFill="1">
      <alignment/>
    </xf>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3" fillId="6" borderId="0" xfId="0" applyFont="1" applyFill="1">
      <alignment/>
    </xf>
    <xf numFmtId="0" fontId="3" fillId="8" borderId="0" xfId="0" applyFont="1" applyFill="1" applyAlignment="1">
      <alignment horizontal="center" vertical="center"/>
    </xf>
    <xf numFmtId="0" fontId="54"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lignment vertical="center"/>
    </xf>
    <xf numFmtId="0" fontId="53"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1" borderId="0" xfId="0" applyFont="1" applyFill="1" applyAlignment="1">
      <alignment vertical="center"/>
    </xf>
    <xf numFmtId="0" fontId="23" fillId="11"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8"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9" xfId="0" applyNumberFormat="1" applyFont="1" applyFill="1" applyBorder="1" applyAlignment="1" applyProtection="1">
      <alignment horizontal="center" vertical="center"/>
      <protection locked="0"/>
    </xf>
    <xf numFmtId="3" fontId="6" fillId="3" borderId="9"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9"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0" fontId="9" fillId="3" borderId="3"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4"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6"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7"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48" fillId="8" borderId="0" xfId="0" applyFont="1" applyFill="1" applyAlignment="1">
      <alignment horizontal="center" vertical="center"/>
    </xf>
    <xf numFmtId="0" fontId="56"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9" fillId="13" borderId="4" xfId="0" applyFont="1" applyFill="1" applyBorder="1" applyAlignment="1" applyProtection="1">
      <alignment horizontal="center" vertical="center"/>
      <protection/>
    </xf>
    <xf numFmtId="0" fontId="9" fillId="13" borderId="4" xfId="0" applyFont="1" applyFill="1" applyBorder="1" applyAlignment="1" applyProtection="1">
      <alignment horizontal="center" vertical="center"/>
      <protection/>
    </xf>
    <xf numFmtId="10" fontId="6" fillId="3" borderId="9" xfId="0" applyNumberFormat="1" applyFont="1" applyFill="1" applyBorder="1" applyAlignment="1" applyProtection="1">
      <alignment horizontal="center" vertical="center"/>
      <protection locked="0"/>
    </xf>
    <xf numFmtId="0" fontId="56"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1"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8"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8"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9" xfId="0" applyNumberFormat="1" applyFill="1" applyBorder="1" applyAlignment="1">
      <alignment horizontal="center" vertical="center"/>
    </xf>
    <xf numFmtId="3" fontId="6" fillId="3" borderId="38"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3" borderId="0" xfId="0" applyFill="1" applyProtection="1">
      <alignment/>
      <protection locked="0"/>
    </xf>
    <xf numFmtId="4" fontId="6" fillId="3" borderId="9"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60" fillId="12" borderId="53" xfId="11" applyFill="1" applyBorder="1" applyAlignment="1" applyProtection="1">
      <alignment vertical="center"/>
      <protection locked="0"/>
    </xf>
    <xf numFmtId="0" fontId="61" fillId="0" borderId="0" xfId="0" applyFont="1">
      <alignment/>
    </xf>
    <xf numFmtId="49" fontId="0" fillId="0" borderId="0" xfId="0" applyNumberFormat="1">
      <alignment/>
    </xf>
    <xf numFmtId="0" fontId="62" fillId="0" borderId="0" xfId="0" applyFont="1">
      <alignment/>
    </xf>
    <xf numFmtId="0" fontId="61" fillId="0" borderId="0" xfId="0" applyFont="1">
      <alignment/>
    </xf>
    <xf numFmtId="0" fontId="62" fillId="0" borderId="0" xfId="0" applyFont="1">
      <alignment/>
    </xf>
    <xf numFmtId="0" fontId="6" fillId="0" borderId="0" xfId="12">
      <alignment/>
      <protection/>
    </xf>
    <xf numFmtId="0" fontId="6" fillId="0" borderId="0" xfId="12" applyAlignment="1">
      <alignment horizontal="center" vertical="center"/>
      <protection/>
    </xf>
    <xf numFmtId="0" fontId="0" fillId="0" borderId="0" xfId="0" applyFont="1">
      <alignment/>
    </xf>
    <xf numFmtId="0" fontId="6" fillId="0" borderId="16" xfId="12" applyBorder="1" applyAlignment="1">
      <alignment horizontal="center" vertical="center"/>
      <protection/>
    </xf>
    <xf numFmtId="0" fontId="6" fillId="0" borderId="20" xfId="12" applyBorder="1" applyAlignment="1">
      <alignment horizontal="center" vertical="center"/>
      <protection/>
    </xf>
    <xf numFmtId="0" fontId="6" fillId="0" borderId="59" xfId="12" applyBorder="1" applyAlignment="1">
      <alignment horizontal="center" vertical="center"/>
      <protection/>
    </xf>
    <xf numFmtId="0" fontId="6" fillId="0" borderId="17" xfId="12" applyBorder="1" applyAlignment="1">
      <alignment horizontal="center" vertical="center"/>
      <protection/>
    </xf>
    <xf numFmtId="0" fontId="6" fillId="0" borderId="39" xfId="12" applyBorder="1" applyAlignment="1">
      <alignment horizontal="center" vertical="center"/>
      <protection/>
    </xf>
    <xf numFmtId="0" fontId="6" fillId="0" borderId="21" xfId="12" applyBorder="1">
      <alignment/>
      <protection/>
    </xf>
    <xf numFmtId="0" fontId="0" fillId="0" borderId="41" xfId="0" applyBorder="1">
      <alignment/>
    </xf>
    <xf numFmtId="0" fontId="0" fillId="0" borderId="16" xfId="0" applyFont="1" applyBorder="1">
      <alignment/>
    </xf>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alignment/>
    </xf>
    <xf numFmtId="0" fontId="6" fillId="0" borderId="30" xfId="12" applyBorder="1">
      <alignment/>
      <protection/>
    </xf>
    <xf numFmtId="0" fontId="6" fillId="0" borderId="47" xfId="12" applyBorder="1" applyAlignment="1">
      <alignment horizontal="center" vertical="center"/>
      <protection/>
    </xf>
    <xf numFmtId="0" fontId="6" fillId="0" borderId="30" xfId="12" applyBorder="1" applyAlignment="1">
      <alignment horizontal="center" vertical="center"/>
      <protection/>
    </xf>
    <xf numFmtId="0" fontId="63" fillId="3" borderId="64" xfId="12" applyFont="1" applyFill="1" applyBorder="1" applyAlignment="1">
      <alignment vertical="center" wrapText="1"/>
      <protection/>
    </xf>
    <xf numFmtId="0" fontId="63" fillId="3" borderId="47" xfId="12" applyFont="1" applyFill="1" applyBorder="1" applyAlignment="1">
      <alignment horizontal="center" vertical="center" wrapText="1"/>
      <protection/>
    </xf>
    <xf numFmtId="0" fontId="6" fillId="0" borderId="64" xfId="12" applyBorder="1">
      <alignment/>
      <protection/>
    </xf>
    <xf numFmtId="0" fontId="6" fillId="0" borderId="65" xfId="12" applyBorder="1">
      <alignment/>
      <protection/>
    </xf>
    <xf numFmtId="1" fontId="6" fillId="0" borderId="66" xfId="13" applyNumberFormat="1" applyFont="1" applyFill="1" applyBorder="1" applyAlignment="1">
      <alignment horizontal="left"/>
      <protection/>
    </xf>
    <xf numFmtId="49" fontId="6" fillId="0" borderId="0" xfId="13" applyNumberFormat="1" applyFont="1" applyFill="1" applyAlignment="1">
      <alignment horizontal="center"/>
      <protection/>
    </xf>
    <xf numFmtId="0" fontId="0" fillId="0" borderId="19" xfId="0" applyBorder="1">
      <alignment/>
    </xf>
    <xf numFmtId="49" fontId="0" fillId="0" borderId="9" xfId="0" applyNumberFormat="1" applyBorder="1">
      <alignment/>
    </xf>
    <xf numFmtId="49" fontId="64" fillId="0" borderId="67" xfId="0" applyNumberFormat="1" applyFont="1" applyBorder="1" applyAlignment="1">
      <alignment horizontal="center" vertical="center"/>
    </xf>
    <xf numFmtId="0" fontId="0" fillId="0" borderId="0" xfId="0" applyBorder="1">
      <alignment/>
    </xf>
    <xf numFmtId="0" fontId="0" fillId="0" borderId="66" xfId="0" applyBorder="1">
      <alignment/>
    </xf>
    <xf numFmtId="0" fontId="6" fillId="0" borderId="10" xfId="12" applyBorder="1">
      <alignment/>
      <protection/>
    </xf>
    <xf numFmtId="0" fontId="6" fillId="0" borderId="26" xfId="12" applyBorder="1" applyAlignment="1">
      <alignment horizontal="center" vertical="center"/>
      <protection/>
    </xf>
    <xf numFmtId="0" fontId="63" fillId="3" borderId="9" xfId="12" applyFont="1" applyFill="1" applyBorder="1" applyAlignment="1">
      <alignment vertical="center" wrapText="1"/>
      <protection/>
    </xf>
    <xf numFmtId="0" fontId="63" fillId="3" borderId="26" xfId="12" applyFont="1" applyFill="1" applyBorder="1" applyAlignment="1">
      <alignment horizontal="center" vertical="center" wrapText="1"/>
      <protection/>
    </xf>
    <xf numFmtId="0" fontId="6" fillId="0" borderId="9" xfId="12" applyBorder="1">
      <alignment/>
      <protection/>
    </xf>
    <xf numFmtId="0" fontId="6" fillId="0" borderId="1" xfId="12" applyBorder="1">
      <alignment/>
      <protection/>
    </xf>
    <xf numFmtId="0" fontId="6" fillId="0" borderId="68" xfId="13" applyFont="1" applyFill="1" applyBorder="1" applyAlignment="1">
      <alignment horizontal="left"/>
      <protection/>
    </xf>
    <xf numFmtId="1" fontId="6" fillId="0" borderId="68" xfId="13" applyNumberFormat="1" applyFont="1" applyFill="1" applyBorder="1" applyAlignment="1">
      <alignment horizontal="left"/>
      <protection/>
    </xf>
    <xf numFmtId="0" fontId="6" fillId="0" borderId="0" xfId="12" applyBorder="1" applyAlignment="1">
      <alignment horizontal="center" vertical="center"/>
      <protection/>
    </xf>
    <xf numFmtId="0" fontId="6" fillId="0" borderId="11" xfId="12" applyBorder="1">
      <alignment/>
      <protection/>
    </xf>
    <xf numFmtId="0" fontId="6" fillId="0" borderId="6" xfId="12" applyBorder="1" applyAlignment="1">
      <alignment horizontal="center" vertical="center"/>
      <protection/>
    </xf>
    <xf numFmtId="1" fontId="6" fillId="0" borderId="68" xfId="13" applyNumberFormat="1" applyFont="1" applyFill="1" applyBorder="1" applyAlignment="1">
      <alignment horizontal="left" vertical="top" wrapText="1"/>
      <protection/>
    </xf>
    <xf numFmtId="49" fontId="6" fillId="0" borderId="0" xfId="13" applyNumberFormat="1" applyFont="1" applyFill="1" applyAlignment="1">
      <alignment horizontal="center" vertical="top"/>
      <protection/>
    </xf>
    <xf numFmtId="49" fontId="65" fillId="0" borderId="67" xfId="0" applyNumberFormat="1" applyFont="1" applyBorder="1" applyAlignment="1">
      <alignment horizontal="center" vertical="center"/>
    </xf>
    <xf numFmtId="1" fontId="66" fillId="0" borderId="68" xfId="0" applyNumberFormat="1" applyFont="1" applyFill="1" applyBorder="1" applyAlignment="1">
      <alignment horizontal="left"/>
    </xf>
    <xf numFmtId="49" fontId="66" fillId="0" borderId="0" xfId="0" applyNumberFormat="1" applyFont="1" applyFill="1" applyAlignment="1">
      <alignment horizontal="center"/>
    </xf>
    <xf numFmtId="0" fontId="63" fillId="3" borderId="2" xfId="12" applyFont="1" applyFill="1" applyBorder="1" applyAlignment="1">
      <alignment vertical="center" wrapText="1"/>
      <protection/>
    </xf>
    <xf numFmtId="0" fontId="63" fillId="3" borderId="6" xfId="12" applyFont="1" applyFill="1" applyBorder="1" applyAlignment="1">
      <alignment horizontal="center" vertical="center" wrapText="1"/>
      <protection/>
    </xf>
    <xf numFmtId="0" fontId="6" fillId="0" borderId="2" xfId="12" applyBorder="1">
      <alignment/>
      <protection/>
    </xf>
    <xf numFmtId="0" fontId="6" fillId="0" borderId="8" xfId="12" applyBorder="1">
      <alignment/>
      <protection/>
    </xf>
    <xf numFmtId="1" fontId="6" fillId="0" borderId="69" xfId="13" applyNumberFormat="1" applyFont="1" applyFill="1" applyBorder="1" applyAlignment="1">
      <alignment horizontal="left"/>
      <protection/>
    </xf>
    <xf numFmtId="49" fontId="0" fillId="0" borderId="2" xfId="0" applyNumberFormat="1" applyBorder="1">
      <alignment/>
    </xf>
    <xf numFmtId="49" fontId="65" fillId="0" borderId="58" xfId="0" applyNumberFormat="1" applyFont="1" applyBorder="1" applyAlignment="1">
      <alignment horizontal="center" vertical="center"/>
    </xf>
    <xf numFmtId="0" fontId="0" fillId="0" borderId="69" xfId="0" applyBorder="1">
      <alignment/>
    </xf>
    <xf numFmtId="0" fontId="3" fillId="0" borderId="0" xfId="0" applyFont="1">
      <alignment/>
    </xf>
    <xf numFmtId="49" fontId="0" fillId="0" borderId="0" xfId="0" applyNumberFormat="1" applyFont="1">
      <alignment/>
    </xf>
    <xf numFmtId="0" fontId="0" fillId="0" borderId="0" xfId="0" applyNumberFormat="1" applyFont="1">
      <alignment/>
    </xf>
    <xf numFmtId="0" fontId="0" fillId="14" borderId="0" xfId="0" applyFill="1">
      <alignment/>
    </xf>
    <xf numFmtId="3" fontId="0" fillId="0" borderId="0" xfId="0" applyNumberFormat="1">
      <alignment/>
    </xf>
    <xf numFmtId="4" fontId="0" fillId="0" borderId="0" xfId="0" applyNumberFormat="1">
      <alignment/>
    </xf>
    <xf numFmtId="0" fontId="67" fillId="0" borderId="0" xfId="0" applyFont="1">
      <alignment/>
    </xf>
    <xf numFmtId="0" fontId="0" fillId="14" borderId="0" xfId="0" applyFont="1" applyFill="1">
      <alignment/>
    </xf>
    <xf numFmtId="0" fontId="0" fillId="0" borderId="0" xfId="0" applyNumberFormat="1">
      <alignment/>
    </xf>
    <xf numFmtId="1" fontId="0" fillId="0" borderId="0" xfId="0" applyNumberFormat="1">
      <alignment/>
    </xf>
    <xf numFmtId="0" fontId="68" fillId="0" borderId="0" xfId="0" applyFont="1" applyFill="1">
      <alignment/>
    </xf>
    <xf numFmtId="0" fontId="0" fillId="0" borderId="0" xfId="0" applyFont="1" applyFill="1">
      <alignment/>
    </xf>
    <xf numFmtId="0" fontId="0" fillId="15" borderId="0" xfId="0" applyFill="1" applyAlignment="1">
      <alignment horizontal="right" vertical="center"/>
    </xf>
    <xf numFmtId="0" fontId="6" fillId="16" borderId="0" xfId="12" applyFill="1">
      <alignment/>
      <protection/>
    </xf>
    <xf numFmtId="0" fontId="68" fillId="0" borderId="0" xfId="0" applyFont="1">
      <alignment/>
    </xf>
    <xf numFmtId="0" fontId="5" fillId="3" borderId="0" xfId="0" applyFont="1" applyFill="1" applyAlignment="1">
      <alignment horizontal="right" vertical="center"/>
    </xf>
    <xf numFmtId="0" fontId="0" fillId="0" borderId="2" xfId="0" applyBorder="1" applyAlignment="1" applyProtection="1">
      <alignment horizontal="center" vertical="center"/>
      <protection/>
    </xf>
    <xf numFmtId="0" fontId="12" fillId="7" borderId="64" xfId="0" applyFont="1" applyFill="1" applyBorder="1" applyAlignment="1">
      <alignment horizontal="center" vertical="center" wrapText="1"/>
    </xf>
    <xf numFmtId="0" fontId="12" fillId="7" borderId="65" xfId="0" applyFont="1" applyFill="1" applyBorder="1" applyAlignment="1">
      <alignment horizontal="center" vertical="center" wrapText="1"/>
    </xf>
    <xf numFmtId="49" fontId="67" fillId="0" borderId="0" xfId="0" applyNumberFormat="1" applyFont="1">
      <alignment/>
    </xf>
    <xf numFmtId="0" fontId="0" fillId="17" borderId="0" xfId="0" applyFill="1">
      <alignment/>
    </xf>
    <xf numFmtId="0" fontId="6" fillId="18" borderId="0" xfId="12" applyFill="1">
      <alignment/>
      <protection/>
    </xf>
    <xf numFmtId="0" fontId="70" fillId="18" borderId="0" xfId="12" applyFont="1" applyFill="1" applyAlignment="1">
      <alignment vertical="top"/>
      <protection/>
    </xf>
    <xf numFmtId="0" fontId="71" fillId="18" borderId="0" xfId="12" applyFont="1" applyFill="1" applyAlignment="1">
      <alignment wrapText="1"/>
      <protection/>
    </xf>
    <xf numFmtId="0" fontId="70" fillId="18" borderId="0" xfId="12" applyFont="1" applyFill="1" applyAlignment="1">
      <alignment wrapText="1"/>
      <protection/>
    </xf>
    <xf numFmtId="0" fontId="70" fillId="18" borderId="0" xfId="12" applyFont="1" applyFill="1">
      <alignment/>
      <protection/>
    </xf>
    <xf numFmtId="0" fontId="72" fillId="18" borderId="0" xfId="10" applyFont="1" applyFill="1" applyAlignment="1" applyProtection="1">
      <alignment wrapText="1"/>
      <protection/>
    </xf>
    <xf numFmtId="0" fontId="70" fillId="18" borderId="0" xfId="13" applyFont="1" applyFill="1" applyAlignment="1">
      <alignment wrapText="1"/>
      <protection/>
    </xf>
    <xf numFmtId="0" fontId="73" fillId="18" borderId="0" xfId="14" applyFont="1" applyFill="1" applyAlignment="1" applyProtection="1">
      <alignment/>
      <protection/>
    </xf>
    <xf numFmtId="0" fontId="70" fillId="18" borderId="0" xfId="12" applyFont="1" applyFill="1" applyBorder="1" applyAlignment="1">
      <alignment wrapText="1"/>
      <protection/>
    </xf>
    <xf numFmtId="0" fontId="19" fillId="18" borderId="0" xfId="12" applyFont="1" applyFill="1" applyBorder="1" applyAlignment="1">
      <alignment horizontal="right" wrapText="1"/>
      <protection/>
    </xf>
    <xf numFmtId="0" fontId="70" fillId="18"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28" fillId="8" borderId="58" xfId="0" applyNumberFormat="1" applyFont="1" applyFill="1" applyBorder="1" applyAlignment="1" applyProtection="1">
      <alignment horizontal="center" vertical="center" wrapText="1"/>
      <protection locked="0"/>
    </xf>
    <xf numFmtId="9" fontId="0" fillId="0" borderId="9" xfId="0" applyNumberFormat="1" applyBorder="1" applyAlignment="1" applyProtection="1">
      <alignment horizontal="center" vertical="center"/>
      <protection locked="0"/>
    </xf>
    <xf numFmtId="9" fontId="0" fillId="7" borderId="2"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64" fillId="19" borderId="0" xfId="16" applyFont="1" applyFill="1">
      <alignment/>
      <protection/>
    </xf>
    <xf numFmtId="0" fontId="64" fillId="19" borderId="0" xfId="16" applyFont="1" applyFill="1" applyAlignment="1">
      <alignment wrapText="1"/>
      <protection/>
    </xf>
    <xf numFmtId="0" fontId="64" fillId="16" borderId="28" xfId="16" applyFont="1" applyFill="1" applyBorder="1" applyAlignment="1" applyProtection="1">
      <alignment horizontal="center" vertical="center"/>
      <protection/>
    </xf>
    <xf numFmtId="0" fontId="64" fillId="16" borderId="27" xfId="16" applyFont="1" applyFill="1" applyBorder="1" applyAlignment="1" applyProtection="1">
      <alignment horizontal="center" vertical="center"/>
      <protection/>
    </xf>
    <xf numFmtId="0" fontId="64" fillId="16" borderId="36" xfId="16" applyFont="1" applyFill="1" applyBorder="1" applyAlignment="1" applyProtection="1">
      <alignment horizontal="center" vertical="center" wrapText="1"/>
      <protection/>
    </xf>
    <xf numFmtId="0" fontId="64" fillId="19" borderId="0" xfId="16" applyFont="1" applyFill="1" applyAlignment="1">
      <alignment horizontal="center" vertical="center"/>
      <protection/>
    </xf>
    <xf numFmtId="0" fontId="77" fillId="16" borderId="9" xfId="16" applyNumberFormat="1" applyFont="1" applyFill="1" applyBorder="1" applyAlignment="1" applyProtection="1">
      <alignment horizontal="left" vertical="center" indent="1"/>
      <protection locked="0"/>
    </xf>
    <xf numFmtId="49" fontId="77" fillId="16" borderId="1" xfId="16" applyNumberFormat="1" applyFont="1" applyFill="1" applyBorder="1" applyAlignment="1" applyProtection="1">
      <alignment horizontal="center" vertical="center"/>
      <protection locked="0"/>
    </xf>
    <xf numFmtId="49" fontId="77" fillId="16" borderId="9" xfId="16" applyNumberFormat="1" applyFont="1" applyFill="1" applyBorder="1" applyAlignment="1" applyProtection="1">
      <alignment horizontal="left" vertical="center" indent="1"/>
      <protection locked="0"/>
    </xf>
    <xf numFmtId="49" fontId="77" fillId="16" borderId="9" xfId="16" applyNumberFormat="1" applyFont="1" applyFill="1" applyBorder="1" applyAlignment="1" applyProtection="1">
      <alignment horizontal="center" vertical="center"/>
      <protection locked="0"/>
    </xf>
    <xf numFmtId="49" fontId="77" fillId="16" borderId="2" xfId="16" applyNumberFormat="1" applyFont="1" applyFill="1" applyBorder="1" applyAlignment="1" applyProtection="1">
      <alignment horizontal="left" vertical="center" indent="1"/>
      <protection locked="0"/>
    </xf>
    <xf numFmtId="49" fontId="77" fillId="16" borderId="2" xfId="16" applyNumberFormat="1" applyFont="1" applyFill="1" applyBorder="1" applyAlignment="1" applyProtection="1">
      <alignment horizontal="center" vertical="center"/>
      <protection locked="0"/>
    </xf>
    <xf numFmtId="49" fontId="77" fillId="16" borderId="8" xfId="16" applyNumberFormat="1" applyFont="1" applyFill="1" applyBorder="1" applyAlignment="1" applyProtection="1">
      <alignment horizontal="center" vertical="center"/>
      <protection locked="0"/>
    </xf>
    <xf numFmtId="0" fontId="78" fillId="16" borderId="0" xfId="16" applyFont="1" applyFill="1" applyAlignment="1">
      <alignment vertical="center"/>
      <protection/>
    </xf>
    <xf numFmtId="0" fontId="64" fillId="16" borderId="0" xfId="16" applyFont="1" applyFill="1" applyAlignment="1" applyProtection="1">
      <alignment horizontal="right" vertical="center"/>
      <protection/>
    </xf>
    <xf numFmtId="14" fontId="77" fillId="16" borderId="0" xfId="16" applyNumberFormat="1" applyFont="1" applyFill="1" applyBorder="1" applyAlignment="1" applyProtection="1">
      <alignment horizontal="center" vertical="center"/>
      <protection/>
    </xf>
    <xf numFmtId="0" fontId="64" fillId="16" borderId="0" xfId="16" applyFont="1" applyFill="1">
      <alignment/>
      <protection/>
    </xf>
    <xf numFmtId="0" fontId="3" fillId="19" borderId="0" xfId="16" applyFont="1" applyFill="1" applyAlignment="1" applyProtection="1">
      <alignment/>
      <protection/>
    </xf>
    <xf numFmtId="0" fontId="2" fillId="19" borderId="0" xfId="16" applyFill="1" applyAlignment="1" applyProtection="1">
      <alignment wrapText="1"/>
      <protection/>
    </xf>
    <xf numFmtId="0" fontId="64" fillId="16" borderId="0" xfId="16" applyFont="1" applyFill="1" applyProtection="1">
      <alignment/>
      <protection/>
    </xf>
    <xf numFmtId="0" fontId="64" fillId="19" borderId="0" xfId="16" applyFont="1" applyFill="1" applyProtection="1">
      <alignment/>
      <protection/>
    </xf>
    <xf numFmtId="0" fontId="2" fillId="19" borderId="0" xfId="16" applyFill="1">
      <alignment/>
      <protection/>
    </xf>
    <xf numFmtId="0" fontId="75" fillId="19" borderId="0" xfId="16" applyFont="1" applyFill="1" applyAlignment="1" applyProtection="1">
      <alignment vertical="center"/>
      <protection/>
    </xf>
    <xf numFmtId="0" fontId="64" fillId="16" borderId="0" xfId="16" applyFont="1" applyFill="1" applyAlignment="1">
      <alignment vertical="center"/>
      <protection/>
    </xf>
    <xf numFmtId="0" fontId="77" fillId="16" borderId="70" xfId="16" applyNumberFormat="1" applyFont="1" applyFill="1" applyBorder="1" applyAlignment="1" applyProtection="1">
      <alignment horizontal="center" vertical="center"/>
      <protection locked="0"/>
    </xf>
    <xf numFmtId="0" fontId="64" fillId="16" borderId="0" xfId="16" applyFont="1" applyFill="1" applyAlignment="1">
      <alignment horizontal="right" vertical="center"/>
      <protection/>
    </xf>
    <xf numFmtId="49" fontId="78" fillId="16" borderId="42" xfId="16" applyNumberFormat="1" applyFont="1" applyFill="1" applyBorder="1" applyAlignment="1" applyProtection="1">
      <alignment horizontal="center" vertical="center"/>
      <protection/>
    </xf>
    <xf numFmtId="49" fontId="78" fillId="16" borderId="0" xfId="16" applyNumberFormat="1" applyFont="1" applyFill="1" applyBorder="1" applyAlignment="1" applyProtection="1">
      <alignment vertical="center"/>
      <protection/>
    </xf>
    <xf numFmtId="0" fontId="77" fillId="16" borderId="70" xfId="16" applyNumberFormat="1" applyFont="1" applyFill="1" applyBorder="1" applyAlignment="1" applyProtection="1">
      <alignment horizontal="left" vertical="center" indent="1"/>
      <protection locked="0"/>
    </xf>
    <xf numFmtId="49" fontId="77" fillId="16" borderId="0" xfId="16" applyNumberFormat="1" applyFont="1" applyFill="1" applyBorder="1" applyAlignment="1" applyProtection="1">
      <alignment vertical="center"/>
      <protection/>
    </xf>
    <xf numFmtId="14" fontId="77" fillId="16" borderId="70" xfId="16" applyNumberFormat="1" applyFont="1" applyFill="1" applyBorder="1" applyAlignment="1" applyProtection="1">
      <alignment horizontal="center" vertical="center"/>
      <protection locked="0"/>
    </xf>
    <xf numFmtId="0" fontId="2" fillId="16" borderId="0" xfId="16"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5" borderId="0" xfId="0" applyFont="1" applyFill="1" applyAlignment="1">
      <alignment horizontal="right" vertical="center"/>
    </xf>
    <xf numFmtId="0" fontId="64" fillId="16" borderId="0" xfId="16" applyFont="1" applyFill="1" applyAlignment="1" applyProtection="1">
      <alignment horizontal="center"/>
      <protection/>
    </xf>
    <xf numFmtId="0" fontId="64" fillId="16" borderId="0" xfId="16" applyFont="1" applyFill="1" applyBorder="1" applyAlignment="1" applyProtection="1">
      <alignment horizontal="left" vertical="center"/>
      <protection/>
    </xf>
    <xf numFmtId="0" fontId="64" fillId="16" borderId="27" xfId="16" applyFont="1" applyFill="1" applyBorder="1" applyAlignment="1" applyProtection="1">
      <alignment horizontal="center" vertical="center" wrapText="1"/>
      <protection/>
    </xf>
    <xf numFmtId="0" fontId="0" fillId="16" borderId="0" xfId="0" applyFill="1" applyBorder="1" applyAlignment="1" applyProtection="1">
      <alignment vertical="center"/>
      <protection/>
    </xf>
    <xf numFmtId="0" fontId="64" fillId="16" borderId="0" xfId="16" applyFont="1" applyFill="1" applyAlignment="1" applyProtection="1">
      <alignment horizontal="center" vertical="center" wrapText="1"/>
      <protection/>
    </xf>
    <xf numFmtId="0" fontId="77" fillId="16" borderId="34" xfId="16" applyNumberFormat="1" applyFont="1" applyFill="1" applyBorder="1" applyAlignment="1" applyProtection="1">
      <alignment horizontal="center" vertical="center"/>
      <protection/>
    </xf>
    <xf numFmtId="0" fontId="78" fillId="16" borderId="0" xfId="16" applyFont="1" applyFill="1" applyAlignment="1" applyProtection="1">
      <alignment horizontal="center" vertical="center" wrapText="1"/>
      <protection locked="0"/>
    </xf>
    <xf numFmtId="0" fontId="77" fillId="16" borderId="67" xfId="16" applyNumberFormat="1" applyFont="1" applyFill="1" applyBorder="1" applyAlignment="1" applyProtection="1">
      <alignment horizontal="left" vertical="center" indent="1"/>
      <protection locked="0"/>
    </xf>
    <xf numFmtId="49" fontId="77" fillId="16" borderId="67" xfId="16" applyNumberFormat="1" applyFont="1" applyFill="1" applyBorder="1" applyAlignment="1" applyProtection="1">
      <alignment horizontal="left" vertical="center" indent="1"/>
      <protection locked="0"/>
    </xf>
    <xf numFmtId="49" fontId="77" fillId="16" borderId="58" xfId="16" applyNumberFormat="1" applyFont="1" applyFill="1" applyBorder="1" applyAlignment="1" applyProtection="1">
      <alignment horizontal="left" vertical="center" indent="1"/>
      <protection locked="0"/>
    </xf>
    <xf numFmtId="0" fontId="77" fillId="16" borderId="9" xfId="16" applyNumberFormat="1" applyFont="1" applyFill="1" applyBorder="1" applyAlignment="1" applyProtection="1">
      <alignment horizontal="center" vertical="center"/>
      <protection locked="0"/>
    </xf>
    <xf numFmtId="0" fontId="84" fillId="16" borderId="1" xfId="0" applyFont="1" applyFill="1" applyBorder="1" applyAlignment="1" applyProtection="1">
      <alignment horizontal="center" vertical="center"/>
      <protection locked="0"/>
    </xf>
    <xf numFmtId="0" fontId="83" fillId="16" borderId="9" xfId="16" applyNumberFormat="1" applyFont="1" applyFill="1" applyBorder="1" applyAlignment="1" applyProtection="1">
      <alignment horizontal="center" vertical="center"/>
      <protection/>
    </xf>
    <xf numFmtId="0" fontId="28" fillId="16" borderId="32" xfId="0" applyFont="1" applyFill="1" applyBorder="1" applyAlignment="1" applyProtection="1">
      <alignment vertical="center"/>
      <protection/>
    </xf>
    <xf numFmtId="0" fontId="78" fillId="16" borderId="0" xfId="16" applyFont="1" applyFill="1" applyAlignment="1" applyProtection="1">
      <alignment horizontal="center" vertical="center" wrapText="1"/>
      <protection/>
    </xf>
    <xf numFmtId="0" fontId="64" fillId="16" borderId="10" xfId="16" applyNumberFormat="1" applyFont="1" applyFill="1" applyBorder="1" applyAlignment="1" applyProtection="1">
      <alignment horizontal="left" vertical="center" indent="1"/>
      <protection/>
    </xf>
    <xf numFmtId="49" fontId="64" fillId="16" borderId="10" xfId="16" applyNumberFormat="1" applyFont="1" applyFill="1" applyBorder="1" applyAlignment="1" applyProtection="1">
      <alignment horizontal="left" vertical="center" indent="1"/>
      <protection/>
    </xf>
    <xf numFmtId="49" fontId="77" fillId="16" borderId="11" xfId="16" applyNumberFormat="1" applyFont="1" applyFill="1" applyBorder="1" applyAlignment="1" applyProtection="1">
      <alignment horizontal="left" vertical="center" indent="1"/>
      <protection/>
    </xf>
    <xf numFmtId="0" fontId="36" fillId="12" borderId="52" xfId="10" applyFill="1" applyBorder="1" applyAlignment="1" applyProtection="1">
      <alignment vertical="center"/>
      <protection locked="0"/>
    </xf>
    <xf numFmtId="0" fontId="67" fillId="0" borderId="0" xfId="0" applyNumberFormat="1" applyFont="1">
      <alignment/>
    </xf>
    <xf numFmtId="3" fontId="67" fillId="0" borderId="0" xfId="0" applyNumberFormat="1" applyFont="1">
      <alignment/>
    </xf>
    <xf numFmtId="0" fontId="0" fillId="0" borderId="9"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xf>
    <xf numFmtId="0" fontId="41" fillId="2" borderId="3" xfId="17" applyFont="1" applyBorder="1" applyAlignment="1">
      <alignment/>
    </xf>
    <xf numFmtId="0" fontId="41" fillId="2" borderId="71" xfId="17" applyFont="1" applyBorder="1" applyAlignment="1" applyProtection="1">
      <alignment horizontal="center"/>
      <protection/>
    </xf>
    <xf numFmtId="0" fontId="41" fillId="2" borderId="72" xfId="17" applyFont="1" applyBorder="1" applyAlignment="1">
      <alignment horizontal="center"/>
    </xf>
    <xf numFmtId="0" fontId="41" fillId="2" borderId="27" xfId="17" applyFont="1" applyBorder="1" applyAlignment="1">
      <alignment horizontal="center"/>
    </xf>
    <xf numFmtId="0" fontId="41" fillId="2" borderId="36" xfId="17" applyFont="1" applyBorder="1" applyAlignment="1">
      <alignment horizontal="center"/>
    </xf>
    <xf numFmtId="0" fontId="9" fillId="4" borderId="7" xfId="0" applyFont="1" applyFill="1" applyBorder="1" applyAlignment="1" applyProtection="1">
      <alignment vertical="center"/>
      <protection/>
    </xf>
    <xf numFmtId="4" fontId="3" fillId="0" borderId="73" xfId="0" applyNumberFormat="1" applyFont="1" applyBorder="1" applyAlignment="1" applyProtection="1">
      <alignment vertical="center"/>
      <protection/>
    </xf>
    <xf numFmtId="4" fontId="0" fillId="0" borderId="67" xfId="0" applyNumberFormat="1" applyBorder="1" applyAlignment="1" applyProtection="1">
      <alignment vertical="center"/>
      <protection locked="0"/>
    </xf>
    <xf numFmtId="4" fontId="0" fillId="0" borderId="9"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67" xfId="0" applyNumberFormat="1" applyBorder="1" applyAlignment="1" applyProtection="1">
      <alignment vertical="center"/>
      <protection/>
    </xf>
    <xf numFmtId="4" fontId="0" fillId="0" borderId="9"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4" xfId="0" applyFont="1" applyFill="1" applyBorder="1" applyAlignment="1" applyProtection="1">
      <alignment vertical="center"/>
      <protection/>
    </xf>
    <xf numFmtId="4" fontId="3" fillId="0" borderId="74"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8" xfId="0" applyNumberFormat="1" applyFill="1" applyBorder="1" applyAlignment="1" applyProtection="1">
      <alignment vertical="center"/>
      <protection locked="0"/>
    </xf>
    <xf numFmtId="0" fontId="0" fillId="0" borderId="0" xfId="0" applyAlignment="1">
      <alignment vertical="center"/>
    </xf>
    <xf numFmtId="0" fontId="0" fillId="8" borderId="0" xfId="0" applyFill="1" applyAlignment="1">
      <alignment/>
    </xf>
    <xf numFmtId="0" fontId="0" fillId="8" borderId="0" xfId="0" applyFill="1" applyAlignment="1">
      <alignment/>
    </xf>
    <xf numFmtId="0" fontId="0" fillId="3" borderId="0" xfId="0" applyFill="1" applyAlignment="1">
      <alignment vertical="top" wrapText="1"/>
    </xf>
    <xf numFmtId="165" fontId="6" fillId="3" borderId="56" xfId="0" applyNumberFormat="1" applyFont="1" applyFill="1" applyBorder="1" applyAlignment="1">
      <alignment horizontal="center" vertical="center"/>
    </xf>
    <xf numFmtId="0" fontId="6" fillId="3" borderId="9" xfId="18"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6" fillId="3" borderId="2" xfId="18" applyFont="1" applyFill="1" applyBorder="1" applyAlignment="1" applyProtection="1">
      <alignment horizontal="center"/>
      <protection locked="0"/>
    </xf>
    <xf numFmtId="0" fontId="90" fillId="8" borderId="0" xfId="0" applyFont="1" applyFill="1">
      <alignment/>
    </xf>
    <xf numFmtId="3" fontId="0" fillId="8" borderId="0" xfId="0" applyNumberFormat="1" applyFill="1">
      <alignment/>
    </xf>
    <xf numFmtId="14" fontId="0" fillId="8" borderId="40" xfId="0" applyNumberFormat="1" applyFont="1" applyFill="1" applyBorder="1" applyAlignment="1" applyProtection="1">
      <alignment horizontal="left" vertical="center"/>
      <protection locked="0"/>
    </xf>
    <xf numFmtId="0" fontId="52" fillId="3" borderId="0" xfId="0" applyFont="1" applyFill="1" applyAlignment="1">
      <alignment vertical="center"/>
    </xf>
    <xf numFmtId="0" fontId="0" fillId="3" borderId="0" xfId="0" applyFill="1" applyAlignment="1">
      <alignment vertical="top" wrapText="1"/>
    </xf>
    <xf numFmtId="0" fontId="44" fillId="4" borderId="0" xfId="0" applyFont="1" applyFill="1" applyAlignment="1">
      <alignment horizontal="center" wrapText="1"/>
    </xf>
    <xf numFmtId="0" fontId="86" fillId="4" borderId="0" xfId="0" applyFont="1" applyFill="1" applyAlignment="1">
      <alignment horizontal="center"/>
    </xf>
    <xf numFmtId="0" fontId="19" fillId="4" borderId="0" xfId="0" applyFont="1" applyFill="1" applyAlignment="1">
      <alignment horizontal="center" vertical="center" wrapText="1"/>
    </xf>
    <xf numFmtId="0" fontId="19" fillId="4" borderId="0" xfId="0" applyFont="1" applyFill="1" applyAlignment="1">
      <alignment horizontal="left" vertical="center" wrapText="1"/>
    </xf>
    <xf numFmtId="0" fontId="56" fillId="0" borderId="0" xfId="0" applyFont="1" applyAlignment="1">
      <alignment horizontal="left" vertical="center" wrapText="1"/>
    </xf>
    <xf numFmtId="0" fontId="86" fillId="4" borderId="0" xfId="0" applyFont="1" applyFill="1" applyAlignment="1">
      <alignment horizontal="left" vertical="center" wrapText="1"/>
    </xf>
    <xf numFmtId="0" fontId="34" fillId="4" borderId="0" xfId="0" applyFont="1" applyFill="1" applyAlignment="1">
      <alignment horizontal="left" vertical="center" wrapText="1"/>
    </xf>
    <xf numFmtId="0" fontId="19" fillId="4" borderId="0" xfId="15" applyFont="1" applyFill="1" applyAlignment="1">
      <alignment horizontal="center" wrapText="1"/>
      <protection/>
    </xf>
    <xf numFmtId="0" fontId="89" fillId="7" borderId="0" xfId="10" applyFont="1" applyFill="1" applyAlignment="1" applyProtection="1">
      <alignment horizontal="center" wrapText="1"/>
      <protection/>
    </xf>
    <xf numFmtId="0" fontId="89" fillId="7" borderId="0" xfId="0" applyFont="1" applyFill="1" applyAlignment="1">
      <alignment horizontal="center" wrapText="1"/>
    </xf>
    <xf numFmtId="0" fontId="11" fillId="4" borderId="0" xfId="0" applyFont="1" applyFill="1" applyAlignment="1">
      <alignment horizontal="center" wrapText="1"/>
    </xf>
    <xf numFmtId="0" fontId="19" fillId="4" borderId="0" xfId="15" applyFont="1" applyFill="1" applyAlignment="1">
      <alignment horizontal="left" vertical="center" wrapText="1"/>
      <protection/>
    </xf>
    <xf numFmtId="0" fontId="34" fillId="4" borderId="0" xfId="15" applyFont="1" applyFill="1" applyAlignment="1">
      <alignment horizontal="left" vertical="center" wrapText="1"/>
      <protection/>
    </xf>
    <xf numFmtId="0" fontId="56" fillId="4" borderId="0" xfId="0" applyFont="1" applyFill="1" applyAlignment="1">
      <alignment horizontal="left" wrapText="1" shrinkToFit="1"/>
    </xf>
    <xf numFmtId="0" fontId="13" fillId="4" borderId="0" xfId="0" applyFont="1" applyFill="1" applyAlignment="1">
      <alignment horizontal="center" wrapText="1"/>
    </xf>
    <xf numFmtId="0" fontId="0" fillId="20"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75" xfId="0" applyFont="1" applyFill="1" applyBorder="1" applyAlignment="1">
      <alignment vertical="center"/>
    </xf>
    <xf numFmtId="0" fontId="0" fillId="0" borderId="76" xfId="0" applyBorder="1" applyAlignment="1">
      <alignment vertical="center"/>
    </xf>
    <xf numFmtId="0" fontId="54" fillId="8" borderId="52"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48" fillId="8" borderId="0" xfId="0" applyFont="1" applyFill="1" applyAlignment="1">
      <alignment horizontal="center" vertical="center"/>
    </xf>
    <xf numFmtId="0" fontId="0" fillId="0" borderId="0" xfId="0" applyAlignment="1">
      <alignment horizontal="center" vertical="center"/>
    </xf>
    <xf numFmtId="0" fontId="55" fillId="8" borderId="0" xfId="0" applyFont="1" applyFill="1" applyAlignment="1">
      <alignment horizontal="center" vertical="center"/>
    </xf>
    <xf numFmtId="0" fontId="0" fillId="12" borderId="52" xfId="0" applyFill="1" applyBorder="1" applyAlignment="1" applyProtection="1">
      <alignment vertical="top"/>
      <protection locked="0"/>
    </xf>
    <xf numFmtId="0" fontId="0" fillId="11" borderId="77" xfId="0" applyFill="1" applyBorder="1" applyAlignment="1" applyProtection="1">
      <alignment vertical="top"/>
      <protection locked="0"/>
    </xf>
    <xf numFmtId="0" fontId="0" fillId="11" borderId="53" xfId="0" applyFill="1" applyBorder="1" applyAlignment="1" applyProtection="1">
      <alignment vertical="top"/>
      <protection locked="0"/>
    </xf>
    <xf numFmtId="0" fontId="22" fillId="18" borderId="0" xfId="12" applyFont="1" applyFill="1" applyAlignment="1">
      <alignment/>
      <protection/>
    </xf>
    <xf numFmtId="0" fontId="6" fillId="18" borderId="0" xfId="12" applyFill="1" applyAlignment="1">
      <alignment/>
      <protection/>
    </xf>
    <xf numFmtId="0" fontId="13" fillId="4" borderId="0" xfId="0" applyFont="1" applyFill="1" applyBorder="1" applyAlignment="1">
      <alignment horizontal="right"/>
    </xf>
    <xf numFmtId="0" fontId="12" fillId="0" borderId="0" xfId="0" applyFont="1" applyAlignment="1">
      <alignment horizontal="righ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67" xfId="0" applyFill="1" applyBorder="1" applyAlignment="1" applyProtection="1">
      <alignment horizontal="left"/>
      <protection locked="0"/>
    </xf>
    <xf numFmtId="0" fontId="0" fillId="3" borderId="26" xfId="10"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67"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0" xfId="0" applyFont="1" applyFill="1" applyBorder="1" applyAlignment="1">
      <alignment horizontal="left"/>
    </xf>
    <xf numFmtId="0" fontId="9" fillId="4" borderId="78" xfId="0" applyFont="1" applyFill="1" applyBorder="1" applyAlignment="1">
      <alignment horizontal="center"/>
    </xf>
    <xf numFmtId="0" fontId="0" fillId="0" borderId="25" xfId="0" applyBorder="1" applyAlignment="1">
      <alignment/>
    </xf>
    <xf numFmtId="0" fontId="0" fillId="0" borderId="79" xfId="0" applyBorder="1" applyAlignment="1">
      <alignment/>
    </xf>
    <xf numFmtId="0" fontId="0" fillId="0" borderId="34" xfId="0" applyBorder="1" applyAlignment="1">
      <alignment/>
    </xf>
    <xf numFmtId="0" fontId="0" fillId="0" borderId="0" xfId="0" applyBorder="1" applyAlignment="1">
      <alignment/>
    </xf>
    <xf numFmtId="0" fontId="0" fillId="0" borderId="47" xfId="0" applyBorder="1" applyAlignment="1">
      <alignment/>
    </xf>
    <xf numFmtId="0" fontId="0" fillId="0" borderId="42" xfId="0" applyBorder="1" applyAlignment="1">
      <alignment/>
    </xf>
    <xf numFmtId="0" fontId="0" fillId="0" borderId="80" xfId="0" applyBorder="1" applyAlignment="1">
      <alignment/>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5"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6" fillId="3" borderId="22" xfId="0" applyNumberFormat="1" applyFont="1" applyFill="1" applyBorder="1" applyAlignment="1" applyProtection="1">
      <alignment horizontal="center"/>
      <protection locked="0"/>
    </xf>
    <xf numFmtId="0" fontId="0" fillId="0" borderId="81" xfId="0" applyNumberFormat="1" applyBorder="1" applyAlignment="1" applyProtection="1">
      <alignment/>
      <protection locked="0"/>
    </xf>
    <xf numFmtId="0" fontId="0" fillId="0" borderId="82"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2" xfId="0" applyNumberFormat="1" applyBorder="1" applyAlignment="1" applyProtection="1">
      <alignment/>
      <protection locked="0"/>
    </xf>
    <xf numFmtId="0" fontId="7" fillId="4" borderId="40" xfId="0" applyNumberFormat="1" applyFont="1" applyFill="1" applyBorder="1" applyAlignment="1">
      <alignment/>
    </xf>
    <xf numFmtId="0" fontId="0" fillId="0" borderId="40" xfId="0" applyNumberFormat="1" applyBorder="1" applyAlignment="1">
      <alignment/>
    </xf>
    <xf numFmtId="0" fontId="7" fillId="4" borderId="0" xfId="0" applyFont="1" applyFill="1" applyAlignment="1">
      <alignment horizontal="center"/>
    </xf>
    <xf numFmtId="0" fontId="6" fillId="3" borderId="26" xfId="0" applyFont="1" applyFill="1" applyBorder="1" applyAlignment="1" applyProtection="1">
      <alignment horizontal="left"/>
      <protection/>
    </xf>
    <xf numFmtId="0" fontId="6" fillId="3" borderId="67" xfId="0" applyFont="1" applyFill="1" applyBorder="1" applyAlignment="1" applyProtection="1">
      <alignment horizontal="left"/>
      <protection/>
    </xf>
    <xf numFmtId="49" fontId="9" fillId="3" borderId="2" xfId="0" applyNumberFormat="1" applyFont="1" applyFill="1" applyBorder="1" applyAlignment="1">
      <alignment horizontal="left" wrapText="1"/>
    </xf>
    <xf numFmtId="0" fontId="0" fillId="0" borderId="6" xfId="0" applyBorder="1" applyAlignment="1">
      <alignment/>
    </xf>
    <xf numFmtId="49" fontId="6" fillId="3" borderId="24" xfId="0" applyNumberFormat="1" applyFont="1" applyFill="1" applyBorder="1" applyAlignment="1" applyProtection="1">
      <alignment horizontal="center"/>
      <protection locked="0"/>
    </xf>
    <xf numFmtId="0" fontId="0" fillId="0" borderId="58" xfId="0" applyFont="1" applyBorder="1" applyAlignment="1" applyProtection="1">
      <alignment horizontal="center"/>
      <protection locked="0"/>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0" fillId="7" borderId="0" xfId="0" applyFill="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11" fillId="4" borderId="0" xfId="0" applyFont="1" applyFill="1" applyAlignment="1">
      <alignment horizontal="center"/>
    </xf>
    <xf numFmtId="0" fontId="0" fillId="0" borderId="0" xfId="0"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14" fontId="6" fillId="3" borderId="26" xfId="0" applyNumberFormat="1" applyFont="1" applyFill="1" applyBorder="1" applyAlignment="1" applyProtection="1">
      <alignment horizontal="center"/>
      <protection locked="0"/>
    </xf>
    <xf numFmtId="0" fontId="0" fillId="3" borderId="67" xfId="0" applyFill="1" applyBorder="1" applyAlignment="1" applyProtection="1">
      <alignment horizontal="center"/>
      <protection locked="0"/>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49" fontId="36" fillId="3"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81" xfId="0" applyFont="1" applyFill="1" applyBorder="1" applyAlignment="1">
      <alignment horizontal="center" wrapText="1"/>
    </xf>
    <xf numFmtId="0" fontId="0" fillId="0" borderId="81"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6"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81" xfId="0" applyNumberFormat="1" applyBorder="1" applyAlignment="1" applyProtection="1">
      <alignment/>
      <protection locked="0"/>
    </xf>
    <xf numFmtId="49" fontId="0" fillId="0" borderId="82"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2" xfId="0" applyNumberFormat="1" applyFont="1" applyFill="1" applyBorder="1" applyAlignment="1">
      <alignment horizontal="left" wrapText="1"/>
    </xf>
    <xf numFmtId="0" fontId="0" fillId="0" borderId="6"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7" fillId="4" borderId="81" xfId="0" applyNumberFormat="1" applyFont="1" applyFill="1" applyBorder="1" applyAlignment="1">
      <alignment/>
    </xf>
    <xf numFmtId="0" fontId="6" fillId="0" borderId="81" xfId="0" applyNumberFormat="1" applyFont="1" applyBorder="1" applyAlignment="1">
      <alignment/>
    </xf>
    <xf numFmtId="0" fontId="0" fillId="0" borderId="81" xfId="0" applyNumberFormat="1" applyBorder="1" applyAlignment="1">
      <alignment/>
    </xf>
    <xf numFmtId="3" fontId="81" fillId="3" borderId="24" xfId="10" applyNumberFormat="1" applyFont="1" applyFill="1" applyBorder="1" applyAlignment="1" applyProtection="1">
      <alignment horizontal="center" wrapText="1"/>
      <protection locked="0"/>
    </xf>
    <xf numFmtId="0" fontId="82" fillId="3" borderId="58" xfId="0" applyNumberFormat="1" applyFont="1" applyFill="1" applyBorder="1" applyAlignment="1" applyProtection="1">
      <alignment horizontal="center" wrapText="1"/>
      <protection locked="0"/>
    </xf>
    <xf numFmtId="0" fontId="0" fillId="0" borderId="22" xfId="0" applyBorder="1" applyAlignment="1" applyProtection="1">
      <alignment/>
      <protection locked="0"/>
    </xf>
    <xf numFmtId="0" fontId="0" fillId="0" borderId="72" xfId="0" applyBorder="1" applyAlignment="1" applyProtection="1">
      <alignment/>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9" xfId="0" applyFont="1" applyFill="1" applyBorder="1" applyAlignment="1" applyProtection="1">
      <alignment horizontal="center" vertical="center"/>
      <protection/>
    </xf>
    <xf numFmtId="0" fontId="0" fillId="0" borderId="9"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0" fontId="36" fillId="8" borderId="0" xfId="10" applyFill="1" applyAlignment="1" applyProtection="1">
      <alignment/>
      <protection/>
    </xf>
    <xf numFmtId="0" fontId="6" fillId="4" borderId="26" xfId="0" applyFont="1" applyFill="1" applyBorder="1" applyAlignment="1" applyProtection="1">
      <alignment vertical="center"/>
      <protection/>
    </xf>
    <xf numFmtId="0" fontId="0" fillId="0" borderId="43" xfId="0" applyBorder="1" applyAlignment="1">
      <alignment/>
    </xf>
    <xf numFmtId="0" fontId="7" fillId="4" borderId="81" xfId="0" applyFont="1" applyFill="1" applyBorder="1" applyAlignment="1" applyProtection="1">
      <alignment horizontal="center"/>
      <protection/>
    </xf>
    <xf numFmtId="0" fontId="0" fillId="0" borderId="81" xfId="0" applyBorder="1" applyAlignment="1" applyProtection="1">
      <alignment horizontal="center"/>
      <protection/>
    </xf>
    <xf numFmtId="0" fontId="0" fillId="0" borderId="81" xfId="0" applyBorder="1" applyAlignment="1" applyProtection="1">
      <alignment/>
      <protection/>
    </xf>
    <xf numFmtId="0" fontId="9" fillId="4" borderId="22" xfId="0" applyFont="1" applyFill="1" applyBorder="1" applyAlignment="1" applyProtection="1">
      <alignment vertical="center" wrapText="1"/>
      <protection/>
    </xf>
    <xf numFmtId="0" fontId="9" fillId="4" borderId="72"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locked="0"/>
    </xf>
    <xf numFmtId="0" fontId="0" fillId="0" borderId="72" xfId="0" applyBorder="1" applyAlignment="1">
      <alignment horizontal="center" vertical="center"/>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5" xfId="0" applyBorder="1" applyAlignment="1">
      <alignment/>
    </xf>
    <xf numFmtId="0" fontId="6" fillId="13" borderId="6" xfId="0" applyFont="1" applyFill="1" applyBorder="1" applyAlignment="1" applyProtection="1">
      <alignment vertical="center"/>
      <protection/>
    </xf>
    <xf numFmtId="0" fontId="0" fillId="21" borderId="24" xfId="0" applyFill="1" applyBorder="1" applyAlignment="1">
      <alignment/>
    </xf>
    <xf numFmtId="0" fontId="0" fillId="21" borderId="44" xfId="0" applyFill="1" applyBorder="1" applyAlignment="1">
      <alignment/>
    </xf>
    <xf numFmtId="0" fontId="9" fillId="4" borderId="23" xfId="0" applyFont="1" applyFill="1" applyBorder="1" applyAlignment="1" applyProtection="1">
      <alignment vertical="center" wrapText="1"/>
      <protection/>
    </xf>
    <xf numFmtId="0" fontId="9" fillId="4" borderId="67" xfId="0" applyFont="1" applyFill="1" applyBorder="1" applyAlignment="1" applyProtection="1">
      <alignment vertical="center" wrapText="1"/>
      <protection/>
    </xf>
    <xf numFmtId="0" fontId="6" fillId="4" borderId="6"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81" xfId="0" applyFont="1" applyFill="1" applyBorder="1" applyAlignment="1" applyProtection="1">
      <alignment horizontal="center"/>
      <protection/>
    </xf>
    <xf numFmtId="0" fontId="6" fillId="7" borderId="81" xfId="0" applyFont="1" applyFill="1" applyBorder="1" applyAlignment="1" applyProtection="1">
      <alignment horizontal="center"/>
      <protection/>
    </xf>
    <xf numFmtId="0" fontId="6" fillId="0" borderId="81" xfId="0" applyFont="1" applyBorder="1" applyAlignment="1" applyProtection="1">
      <alignment horizontal="center"/>
      <protection/>
    </xf>
    <xf numFmtId="0" fontId="9" fillId="13" borderId="24" xfId="0" applyFont="1" applyFill="1" applyBorder="1" applyAlignment="1" applyProtection="1">
      <alignment vertical="center" wrapText="1"/>
      <protection/>
    </xf>
    <xf numFmtId="0" fontId="9" fillId="13"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72"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67" xfId="0" applyNumberFormat="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43" xfId="0" applyBorder="1" applyAlignment="1">
      <alignment vertical="center"/>
    </xf>
    <xf numFmtId="3" fontId="0" fillId="0" borderId="67" xfId="0" applyNumberFormat="1" applyBorder="1" applyAlignment="1" applyProtection="1">
      <alignment horizontal="center" vertical="center"/>
      <protection locked="0"/>
    </xf>
    <xf numFmtId="0" fontId="9" fillId="4" borderId="23" xfId="0" applyFont="1" applyFill="1" applyBorder="1" applyAlignment="1" applyProtection="1">
      <alignment vertical="center"/>
      <protection/>
    </xf>
    <xf numFmtId="0" fontId="7" fillId="7" borderId="81" xfId="0" applyFont="1" applyFill="1" applyBorder="1" applyAlignment="1">
      <alignment horizontal="center"/>
    </xf>
    <xf numFmtId="0" fontId="9" fillId="4" borderId="3" xfId="0" applyFont="1" applyFill="1" applyBorder="1" applyAlignment="1" applyProtection="1">
      <alignment vertical="center"/>
      <protection/>
    </xf>
    <xf numFmtId="0" fontId="0" fillId="0" borderId="22" xfId="0" applyBorder="1" applyAlignment="1">
      <alignment vertical="center"/>
    </xf>
    <xf numFmtId="0" fontId="0" fillId="0" borderId="72" xfId="0" applyBorder="1" applyAlignment="1">
      <alignment vertical="center"/>
    </xf>
    <xf numFmtId="0" fontId="9" fillId="4" borderId="67" xfId="0" applyFont="1" applyFill="1" applyBorder="1" applyAlignment="1" applyProtection="1">
      <alignment vertical="center"/>
      <protection/>
    </xf>
    <xf numFmtId="3" fontId="6" fillId="3" borderId="6"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9" fillId="4" borderId="23" xfId="0" applyFont="1" applyFill="1" applyBorder="1" applyAlignment="1" applyProtection="1">
      <alignment vertical="center" wrapText="1"/>
      <protection/>
    </xf>
    <xf numFmtId="0" fontId="0" fillId="0" borderId="23" xfId="0" applyBorder="1" applyAlignment="1">
      <alignment wrapText="1"/>
    </xf>
    <xf numFmtId="0" fontId="0" fillId="0" borderId="67" xfId="0" applyBorder="1" applyAlignment="1">
      <alignment wrapText="1"/>
    </xf>
    <xf numFmtId="0" fontId="9" fillId="4" borderId="23" xfId="0" applyFont="1" applyFill="1" applyBorder="1" applyAlignment="1" applyProtection="1">
      <alignment vertical="center"/>
      <protection/>
    </xf>
    <xf numFmtId="0" fontId="0" fillId="0" borderId="67" xfId="0" applyBorder="1" applyAlignment="1">
      <alignment/>
    </xf>
    <xf numFmtId="0" fontId="9" fillId="4" borderId="81" xfId="0" applyFont="1" applyFill="1" applyBorder="1" applyAlignment="1" applyProtection="1">
      <alignment horizontal="center" vertical="center"/>
      <protection/>
    </xf>
    <xf numFmtId="0" fontId="0" fillId="0" borderId="81" xfId="0" applyBorder="1" applyAlignment="1">
      <alignment vertical="center"/>
    </xf>
    <xf numFmtId="0" fontId="0" fillId="0" borderId="23" xfId="0" applyBorder="1" applyAlignment="1">
      <alignment vertical="center" wrapText="1"/>
    </xf>
    <xf numFmtId="0" fontId="0" fillId="0" borderId="67" xfId="0" applyBorder="1" applyAlignment="1">
      <alignment vertical="center" wrapText="1"/>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67"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3" fontId="6" fillId="3" borderId="6" xfId="0" applyNumberFormat="1" applyFont="1" applyFill="1" applyBorder="1" applyAlignment="1" applyProtection="1">
      <alignment horizontal="center" vertical="center"/>
      <protection/>
    </xf>
    <xf numFmtId="0" fontId="0" fillId="0" borderId="58" xfId="0" applyBorder="1" applyAlignment="1">
      <alignment vertical="center"/>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5" xfId="0" applyBorder="1" applyAlignment="1">
      <alignment horizontal="center" vertical="center"/>
    </xf>
    <xf numFmtId="0" fontId="6" fillId="4" borderId="6"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5" xfId="0" applyFill="1" applyBorder="1" applyAlignment="1">
      <alignment/>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0" fontId="6" fillId="4" borderId="43" xfId="0" applyFont="1" applyFill="1" applyBorder="1" applyAlignment="1" applyProtection="1">
      <alignment vertical="center"/>
      <protection/>
    </xf>
    <xf numFmtId="3" fontId="6" fillId="3" borderId="6"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67" xfId="0" applyNumberFormat="1" applyBorder="1" applyAlignment="1">
      <alignment horizontal="center" vertical="center"/>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2" xfId="0" applyBorder="1" applyAlignment="1">
      <alignment vertical="center" wrapText="1"/>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67" xfId="0" applyNumberFormat="1" applyBorder="1" applyAlignment="1">
      <alignment horizontal="center" vertical="center"/>
    </xf>
    <xf numFmtId="3" fontId="6" fillId="3" borderId="6"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0" fontId="9" fillId="4" borderId="3"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72"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79" xfId="0" applyFont="1" applyBorder="1" applyAlignment="1">
      <alignment/>
    </xf>
    <xf numFmtId="0" fontId="9" fillId="3" borderId="6" xfId="0" applyFont="1" applyFill="1" applyBorder="1" applyAlignment="1" applyProtection="1">
      <alignment vertical="center"/>
      <protection locked="0"/>
    </xf>
    <xf numFmtId="0" fontId="0" fillId="0" borderId="24" xfId="0" applyBorder="1" applyAlignment="1">
      <alignment vertical="center"/>
    </xf>
    <xf numFmtId="0" fontId="9" fillId="4" borderId="67" xfId="0" applyFont="1" applyFill="1" applyBorder="1" applyAlignment="1" applyProtection="1">
      <alignment vertical="center" wrapText="1"/>
      <protection/>
    </xf>
    <xf numFmtId="0" fontId="9" fillId="4" borderId="9"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72" xfId="0" applyFont="1" applyFill="1" applyBorder="1" applyAlignment="1" applyProtection="1">
      <alignment vertical="center" wrapText="1"/>
      <protection/>
    </xf>
    <xf numFmtId="0" fontId="9" fillId="4" borderId="23" xfId="0" applyFont="1" applyFill="1" applyBorder="1" applyAlignment="1" applyProtection="1">
      <alignment vertical="center" wrapText="1" shrinkToFit="1"/>
      <protection/>
    </xf>
    <xf numFmtId="0" fontId="9" fillId="4" borderId="67" xfId="0" applyFont="1" applyFill="1" applyBorder="1" applyAlignment="1" applyProtection="1">
      <alignment vertical="center" wrapText="1" shrinkToFit="1"/>
      <protection/>
    </xf>
    <xf numFmtId="0" fontId="9" fillId="4" borderId="62" xfId="0" applyFont="1" applyFill="1" applyBorder="1" applyAlignment="1">
      <alignment horizontal="center" vertical="center"/>
    </xf>
    <xf numFmtId="0" fontId="0" fillId="0" borderId="82" xfId="0" applyBorder="1" applyAlignment="1">
      <alignment horizontal="center" vertical="center"/>
    </xf>
    <xf numFmtId="0" fontId="0" fillId="0" borderId="47" xfId="0" applyBorder="1" applyAlignment="1">
      <alignment horizontal="center" vertical="center"/>
    </xf>
    <xf numFmtId="0" fontId="0" fillId="0" borderId="80" xfId="0" applyBorder="1" applyAlignment="1">
      <alignment horizontal="center" vertical="center"/>
    </xf>
    <xf numFmtId="0" fontId="9" fillId="13" borderId="2" xfId="0" applyFont="1" applyFill="1" applyBorder="1" applyAlignment="1" applyProtection="1">
      <alignment horizontal="center"/>
      <protection/>
    </xf>
    <xf numFmtId="0" fontId="9" fillId="13" borderId="6" xfId="0" applyFont="1" applyFill="1" applyBorder="1" applyAlignment="1" applyProtection="1">
      <alignment horizontal="center"/>
      <protection/>
    </xf>
    <xf numFmtId="0" fontId="0" fillId="21" borderId="8" xfId="0" applyFill="1" applyBorder="1" applyAlignment="1" applyProtection="1">
      <alignment/>
      <protection/>
    </xf>
    <xf numFmtId="0" fontId="9" fillId="4" borderId="2" xfId="0" applyFont="1" applyFill="1" applyBorder="1" applyAlignment="1" applyProtection="1">
      <alignment horizontal="center"/>
      <protection/>
    </xf>
    <xf numFmtId="0" fontId="9" fillId="4" borderId="6" xfId="0" applyFont="1" applyFill="1" applyBorder="1" applyAlignment="1" applyProtection="1">
      <alignment horizontal="center"/>
      <protection/>
    </xf>
    <xf numFmtId="0" fontId="0" fillId="0" borderId="8" xfId="0"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9" fillId="13" borderId="24" xfId="0" applyFont="1" applyFill="1" applyBorder="1" applyAlignment="1" applyProtection="1">
      <alignment vertical="center"/>
      <protection/>
    </xf>
    <xf numFmtId="0" fontId="9" fillId="13" borderId="58" xfId="0" applyFont="1" applyFill="1" applyBorder="1" applyAlignment="1" applyProtection="1">
      <alignment vertical="center"/>
      <protection/>
    </xf>
    <xf numFmtId="3" fontId="6" fillId="3" borderId="67" xfId="0" applyNumberFormat="1" applyFont="1" applyFill="1" applyBorder="1" applyAlignment="1" applyProtection="1">
      <alignment horizontal="center" vertical="center"/>
      <protection locked="0"/>
    </xf>
    <xf numFmtId="3" fontId="6" fillId="3" borderId="58"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72" xfId="0" applyNumberFormat="1" applyFont="1" applyFill="1" applyBorder="1" applyAlignment="1" applyProtection="1">
      <alignment horizontal="center" vertical="center"/>
      <protection locked="0"/>
    </xf>
    <xf numFmtId="0" fontId="6" fillId="3" borderId="9" xfId="0" applyFont="1" applyFill="1" applyBorder="1" applyAlignment="1" applyProtection="1">
      <alignment vertical="center"/>
      <protection locked="0"/>
    </xf>
    <xf numFmtId="0" fontId="0" fillId="0" borderId="9" xfId="0" applyBorder="1" applyAlignment="1" applyProtection="1">
      <alignment vertical="center"/>
      <protection locked="0"/>
    </xf>
    <xf numFmtId="0" fontId="9" fillId="4" borderId="9" xfId="0" applyFont="1" applyFill="1" applyBorder="1" applyAlignment="1">
      <alignment horizontal="center" vertical="center"/>
    </xf>
    <xf numFmtId="49" fontId="6" fillId="3" borderId="9" xfId="0" applyNumberFormat="1" applyFont="1" applyFill="1" applyBorder="1" applyAlignment="1" applyProtection="1">
      <alignment horizontal="center" vertical="center"/>
      <protection locked="0"/>
    </xf>
    <xf numFmtId="0" fontId="6" fillId="4" borderId="2" xfId="0" applyFont="1" applyFill="1" applyBorder="1" applyAlignment="1" applyProtection="1">
      <alignment vertical="center"/>
      <protection/>
    </xf>
    <xf numFmtId="0" fontId="0" fillId="7" borderId="2" xfId="0" applyFill="1" applyBorder="1" applyAlignment="1">
      <alignment vertical="center"/>
    </xf>
    <xf numFmtId="0" fontId="9" fillId="4" borderId="20" xfId="0" applyFont="1" applyFill="1" applyBorder="1" applyAlignment="1" applyProtection="1">
      <alignment horizontal="center" vertical="center"/>
      <protection/>
    </xf>
    <xf numFmtId="0" fontId="0" fillId="0" borderId="20" xfId="0" applyBorder="1" applyAlignment="1">
      <alignment/>
    </xf>
    <xf numFmtId="3" fontId="6" fillId="3" borderId="23" xfId="0" applyNumberFormat="1" applyFont="1" applyFill="1" applyBorder="1" applyAlignment="1" applyProtection="1">
      <alignment horizontal="center" vertical="center"/>
      <protection/>
    </xf>
    <xf numFmtId="3" fontId="6" fillId="3" borderId="67"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6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9" xfId="0" applyBorder="1" applyAlignment="1" applyProtection="1">
      <alignment horizontal="center" vertical="center"/>
      <protection locked="0"/>
    </xf>
    <xf numFmtId="0" fontId="9" fillId="4" borderId="82" xfId="0" applyFont="1" applyFill="1" applyBorder="1" applyAlignment="1">
      <alignment horizontal="center" vertical="center"/>
    </xf>
    <xf numFmtId="0" fontId="12" fillId="7" borderId="33" xfId="0" applyFont="1" applyFill="1" applyBorder="1" applyAlignment="1">
      <alignment horizontal="center" vertical="center" wrapText="1"/>
    </xf>
    <xf numFmtId="0" fontId="0" fillId="0" borderId="72" xfId="0" applyBorder="1" applyAlignment="1">
      <alignment horizontal="center" vertical="center" wrapText="1"/>
    </xf>
    <xf numFmtId="0" fontId="12" fillId="7" borderId="26" xfId="0" applyFont="1" applyFill="1" applyBorder="1" applyAlignment="1">
      <alignment horizontal="center" vertical="center"/>
    </xf>
    <xf numFmtId="0" fontId="0" fillId="0" borderId="67"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4" borderId="2" xfId="0" applyNumberFormat="1" applyFont="1" applyFill="1" applyBorder="1" applyAlignment="1" applyProtection="1">
      <alignment horizontal="center" vertical="center"/>
      <protection/>
    </xf>
    <xf numFmtId="0" fontId="0" fillId="0" borderId="5" xfId="0" applyBorder="1" applyAlignment="1">
      <alignment horizontal="center" vertical="center" wrapText="1"/>
    </xf>
    <xf numFmtId="0" fontId="9" fillId="4" borderId="67" xfId="0" applyFont="1" applyFill="1" applyBorder="1" applyAlignment="1" applyProtection="1">
      <alignment vertical="center"/>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0" fillId="0" borderId="9" xfId="0" applyBorder="1" applyAlignment="1">
      <alignment horizontal="center" vertical="center"/>
    </xf>
    <xf numFmtId="0" fontId="9" fillId="4" borderId="60" xfId="0" applyFont="1" applyFill="1" applyBorder="1" applyAlignment="1">
      <alignment horizontal="center" vertical="center"/>
    </xf>
    <xf numFmtId="0" fontId="9" fillId="4" borderId="83" xfId="0" applyFont="1" applyFill="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22" xfId="0" applyFont="1" applyFill="1" applyBorder="1" applyAlignment="1" applyProtection="1">
      <alignment vertical="center" wrapText="1" shrinkToFit="1"/>
      <protection/>
    </xf>
    <xf numFmtId="0" fontId="9" fillId="4" borderId="72" xfId="0" applyFont="1" applyFill="1" applyBorder="1" applyAlignment="1" applyProtection="1">
      <alignment vertical="center" wrapText="1" shrinkToFit="1"/>
      <protection/>
    </xf>
    <xf numFmtId="3" fontId="6" fillId="3" borderId="67" xfId="0" applyNumberFormat="1" applyFont="1" applyFill="1" applyBorder="1" applyAlignment="1" applyProtection="1">
      <alignment horizontal="center" vertical="center"/>
      <protection/>
    </xf>
    <xf numFmtId="0" fontId="0" fillId="8" borderId="70" xfId="0" applyFill="1" applyBorder="1" applyAlignment="1" applyProtection="1">
      <alignment horizontal="center"/>
      <protection locked="0"/>
    </xf>
    <xf numFmtId="0" fontId="0" fillId="0" borderId="70" xfId="0" applyBorder="1" applyAlignment="1" applyProtection="1">
      <alignment/>
      <protection locked="0"/>
    </xf>
    <xf numFmtId="0" fontId="0" fillId="8" borderId="70" xfId="0" applyNumberFormat="1" applyFill="1" applyBorder="1" applyAlignment="1" applyProtection="1">
      <alignment/>
      <protection locked="0"/>
    </xf>
    <xf numFmtId="0" fontId="6" fillId="0" borderId="7"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9" fillId="4" borderId="7"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67" xfId="0" applyFont="1" applyBorder="1" applyAlignment="1">
      <alignment vertical="center"/>
    </xf>
    <xf numFmtId="0" fontId="0" fillId="7" borderId="40" xfId="0" applyFill="1" applyBorder="1" applyAlignment="1">
      <alignment/>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28" fillId="7" borderId="81"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9" fillId="4" borderId="7" xfId="0" applyFont="1" applyFill="1" applyBorder="1" applyAlignment="1">
      <alignment vertical="center" wrapText="1" shrinkToFit="1"/>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67" xfId="0" applyFont="1" applyBorder="1" applyAlignment="1">
      <alignment vertical="center"/>
    </xf>
    <xf numFmtId="0" fontId="0" fillId="8" borderId="84"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6" fillId="3" borderId="85" xfId="0" applyFont="1" applyFill="1" applyBorder="1" applyAlignment="1" applyProtection="1">
      <alignment horizontal="right" vertical="center"/>
      <protection locked="0"/>
    </xf>
    <xf numFmtId="0" fontId="0" fillId="0" borderId="40" xfId="0" applyFont="1" applyBorder="1" applyAlignment="1" applyProtection="1">
      <alignment horizontal="right" vertical="center"/>
      <protection locked="0"/>
    </xf>
    <xf numFmtId="0" fontId="12" fillId="0" borderId="40" xfId="0" applyFont="1" applyBorder="1" applyAlignment="1">
      <alignment horizontal="right" wrapText="1"/>
    </xf>
    <xf numFmtId="0" fontId="0" fillId="0" borderId="40" xfId="0" applyBorder="1" applyAlignment="1">
      <alignment horizontal="right" wrapText="1"/>
    </xf>
    <xf numFmtId="0" fontId="12" fillId="0" borderId="86" xfId="0" applyFont="1" applyBorder="1" applyAlignment="1" applyProtection="1">
      <alignment wrapText="1"/>
      <protection locked="0"/>
    </xf>
    <xf numFmtId="0" fontId="0" fillId="0" borderId="87" xfId="0" applyBorder="1" applyProtection="1">
      <alignment/>
      <protection locked="0"/>
    </xf>
    <xf numFmtId="0" fontId="0" fillId="0" borderId="88" xfId="0" applyBorder="1" applyProtection="1">
      <alignment/>
      <protection locked="0"/>
    </xf>
    <xf numFmtId="49" fontId="0" fillId="8" borderId="70" xfId="0" applyNumberFormat="1" applyFill="1" applyBorder="1" applyAlignment="1" applyProtection="1">
      <alignment horizontal="center"/>
      <protection locked="0"/>
    </xf>
    <xf numFmtId="0" fontId="0" fillId="8" borderId="0" xfId="0" applyFill="1" applyBorder="1" applyAlignment="1">
      <alignment/>
    </xf>
    <xf numFmtId="3" fontId="0" fillId="8" borderId="70" xfId="0" applyNumberFormat="1" applyFill="1" applyBorder="1" applyAlignment="1" applyProtection="1">
      <alignment horizontal="center"/>
      <protection locked="0"/>
    </xf>
    <xf numFmtId="0" fontId="0" fillId="8" borderId="84" xfId="0" applyFill="1" applyBorder="1" applyAlignment="1" applyProtection="1">
      <alignment/>
      <protection locked="0"/>
    </xf>
    <xf numFmtId="0" fontId="0" fillId="8" borderId="78"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89"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10" fillId="4" borderId="85" xfId="0" applyFont="1" applyFill="1" applyBorder="1" applyAlignment="1" applyProtection="1">
      <alignment/>
      <protection/>
    </xf>
    <xf numFmtId="0" fontId="0" fillId="0" borderId="90" xfId="0" applyBorder="1" applyAlignment="1">
      <alignment/>
    </xf>
    <xf numFmtId="0" fontId="15" fillId="3" borderId="19" xfId="0" applyFont="1" applyFill="1" applyBorder="1" applyAlignment="1" applyProtection="1">
      <alignment/>
      <protection/>
    </xf>
    <xf numFmtId="0" fontId="0" fillId="8" borderId="32" xfId="0" applyFill="1" applyBorder="1" applyAlignment="1">
      <alignment/>
    </xf>
    <xf numFmtId="0" fontId="7" fillId="3" borderId="91" xfId="0" applyFont="1" applyFill="1" applyBorder="1" applyAlignment="1" applyProtection="1">
      <alignment horizontal="center"/>
      <protection/>
    </xf>
    <xf numFmtId="0" fontId="0" fillId="8" borderId="81" xfId="0" applyFill="1" applyBorder="1" applyAlignment="1" applyProtection="1">
      <alignment horizontal="center"/>
      <protection/>
    </xf>
    <xf numFmtId="0" fontId="0" fillId="8" borderId="92"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78" xfId="0" applyFont="1" applyFill="1" applyBorder="1" applyAlignment="1" applyProtection="1">
      <alignment horizontal="center"/>
      <protection/>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9" fillId="4" borderId="4"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3" xfId="0" applyFont="1" applyFill="1" applyBorder="1" applyAlignment="1" applyProtection="1">
      <alignment vertical="center"/>
      <protection/>
    </xf>
    <xf numFmtId="0" fontId="12" fillId="0" borderId="22" xfId="0" applyFont="1" applyBorder="1" applyAlignment="1">
      <alignment vertical="center"/>
    </xf>
    <xf numFmtId="0" fontId="12" fillId="0" borderId="72" xfId="0" applyFont="1" applyBorder="1" applyAlignment="1">
      <alignment vertical="center"/>
    </xf>
    <xf numFmtId="0" fontId="15" fillId="4" borderId="85"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90" xfId="0" applyFont="1" applyBorder="1" applyAlignment="1">
      <alignment horizontal="left" vertical="center"/>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91" xfId="0" applyFont="1" applyFill="1" applyBorder="1" applyAlignment="1" applyProtection="1">
      <alignment vertical="center"/>
      <protection/>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84" xfId="0" applyFill="1" applyBorder="1" applyAlignment="1" applyProtection="1">
      <alignment horizontal="center"/>
      <protection locked="0"/>
    </xf>
    <xf numFmtId="0" fontId="0" fillId="7" borderId="81" xfId="0" applyFill="1" applyBorder="1" applyAlignment="1">
      <alignment vertical="center"/>
    </xf>
    <xf numFmtId="0" fontId="0" fillId="7" borderId="92"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91" xfId="0" applyFont="1" applyFill="1" applyBorder="1" applyAlignment="1" applyProtection="1">
      <alignment horizontal="left" vertical="center"/>
      <protection/>
    </xf>
    <xf numFmtId="0" fontId="51" fillId="8" borderId="81" xfId="0" applyFont="1" applyFill="1" applyBorder="1" applyAlignment="1">
      <alignment horizontal="left" vertical="center"/>
    </xf>
    <xf numFmtId="0" fontId="51" fillId="8" borderId="92"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7" xfId="0" applyNumberFormat="1" applyFont="1" applyFill="1" applyBorder="1" applyAlignment="1" applyProtection="1">
      <alignment horizontal="center" vertical="center"/>
      <protection locked="0"/>
    </xf>
    <xf numFmtId="0" fontId="0" fillId="3" borderId="67" xfId="0" applyFont="1" applyFill="1" applyBorder="1" applyAlignment="1" applyProtection="1">
      <alignment horizontal="center" vertical="center"/>
      <protection locked="0"/>
    </xf>
    <xf numFmtId="0" fontId="30" fillId="10" borderId="0" xfId="0" applyFont="1" applyFill="1" applyBorder="1" applyAlignment="1">
      <alignment horizontal="center"/>
    </xf>
    <xf numFmtId="0" fontId="13" fillId="10" borderId="81" xfId="0" applyFont="1" applyFill="1" applyBorder="1" applyAlignment="1">
      <alignment horizontal="center"/>
    </xf>
    <xf numFmtId="0" fontId="0" fillId="0" borderId="81"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81" xfId="0" applyFont="1" applyFill="1" applyBorder="1" applyAlignment="1">
      <alignment/>
    </xf>
    <xf numFmtId="0" fontId="9" fillId="4" borderId="0" xfId="0" applyFont="1" applyFill="1" applyBorder="1" applyAlignment="1">
      <alignment horizontal="center"/>
    </xf>
    <xf numFmtId="0" fontId="12" fillId="0" borderId="0" xfId="0" applyFont="1" applyAlignment="1">
      <alignment horizontal="center"/>
    </xf>
    <xf numFmtId="0" fontId="9" fillId="4" borderId="23" xfId="0" applyFont="1" applyFill="1" applyBorder="1" applyAlignment="1">
      <alignment vertical="center" wrapText="1"/>
    </xf>
    <xf numFmtId="0" fontId="9" fillId="4" borderId="67" xfId="0" applyFont="1" applyFill="1" applyBorder="1" applyAlignment="1">
      <alignment vertical="center" wrapText="1"/>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67" xfId="0" applyNumberFormat="1" applyFont="1" applyFill="1" applyBorder="1" applyAlignment="1" applyProtection="1">
      <alignment horizontal="center" vertical="center"/>
      <protection/>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3" fontId="0" fillId="3" borderId="23" xfId="0" applyNumberFormat="1" applyFont="1" applyFill="1" applyBorder="1" applyAlignment="1" applyProtection="1">
      <alignment horizontal="center" vertical="center"/>
      <protection locked="0"/>
    </xf>
    <xf numFmtId="3" fontId="0" fillId="3" borderId="67" xfId="0" applyNumberFormat="1"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wrapText="1"/>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0" fontId="6" fillId="4" borderId="0" xfId="0" applyFont="1" applyFill="1" applyBorder="1" applyAlignment="1">
      <alignment/>
    </xf>
    <xf numFmtId="0" fontId="9" fillId="4" borderId="23" xfId="0" applyFont="1" applyFill="1" applyBorder="1" applyAlignment="1">
      <alignment vertical="center"/>
    </xf>
    <xf numFmtId="0" fontId="9" fillId="4" borderId="67" xfId="0" applyFont="1" applyFill="1" applyBorder="1" applyAlignment="1">
      <alignment vertical="center"/>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0" fillId="0" borderId="57" xfId="0"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0" fontId="0" fillId="7" borderId="57" xfId="0" applyFill="1" applyBorder="1" applyAlignment="1">
      <alignment vertical="center" wrapText="1"/>
    </xf>
    <xf numFmtId="0" fontId="0" fillId="7" borderId="3" xfId="0" applyFill="1" applyBorder="1" applyAlignment="1">
      <alignment vertical="center"/>
    </xf>
    <xf numFmtId="0" fontId="0" fillId="7" borderId="22" xfId="0" applyFill="1" applyBorder="1" applyAlignment="1">
      <alignment vertical="center"/>
    </xf>
    <xf numFmtId="0" fontId="0" fillId="7" borderId="72" xfId="0" applyFill="1" applyBorder="1" applyAlignment="1">
      <alignment vertical="center"/>
    </xf>
    <xf numFmtId="0" fontId="9" fillId="4"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72"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0" fillId="7" borderId="81" xfId="0" applyFill="1" applyBorder="1" applyAlignment="1">
      <alignment/>
    </xf>
    <xf numFmtId="0" fontId="9" fillId="4" borderId="33"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67" xfId="0" applyBorder="1" applyAlignment="1">
      <alignment vertical="center" wrapText="1" shrinkToFit="1"/>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wrapText="1"/>
      <protection locked="0"/>
    </xf>
    <xf numFmtId="3" fontId="0" fillId="8" borderId="18" xfId="0" applyNumberFormat="1" applyFont="1" applyFill="1" applyBorder="1" applyAlignment="1" applyProtection="1">
      <alignment horizontal="center" vertical="center"/>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0" fillId="8" borderId="20"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8" fillId="4" borderId="0" xfId="0" applyFont="1" applyFill="1" applyBorder="1" applyAlignment="1">
      <alignment horizontal="left" vertical="center" wrapText="1"/>
    </xf>
    <xf numFmtId="0" fontId="3" fillId="0" borderId="0" xfId="0" applyFont="1" applyAlignment="1">
      <alignment horizontal="left" vertical="center"/>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12" fillId="7" borderId="40" xfId="0" applyFont="1" applyFill="1" applyBorder="1" applyAlignment="1">
      <alignment horizontal="center" vertical="center"/>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2" fillId="7" borderId="81" xfId="0" applyFont="1" applyFill="1" applyBorder="1" applyAlignment="1">
      <alignment horizontal="center" vertical="center" wrapText="1"/>
    </xf>
    <xf numFmtId="0" fontId="0" fillId="0" borderId="40" xfId="0" applyBorder="1" applyAlignment="1">
      <alignment vertical="center" wrapText="1"/>
    </xf>
    <xf numFmtId="0" fontId="9" fillId="4" borderId="40" xfId="0" applyFont="1" applyFill="1" applyBorder="1" applyAlignment="1">
      <alignment vertical="center" wrapText="1"/>
    </xf>
    <xf numFmtId="0" fontId="0" fillId="0" borderId="40" xfId="0" applyBorder="1" applyAlignment="1">
      <alignment vertical="center"/>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0" fillId="0" borderId="0" xfId="0" applyAlignment="1">
      <alignment horizontal="lef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6" fillId="3" borderId="10" xfId="0" applyFont="1" applyFill="1" applyBorder="1" applyAlignment="1" applyProtection="1">
      <alignment horizontal="left" vertical="center" wrapText="1"/>
      <protection locked="0"/>
    </xf>
    <xf numFmtId="0" fontId="0" fillId="0" borderId="9" xfId="0" applyBorder="1" applyAlignment="1" applyProtection="1">
      <alignment vertical="center" wrapText="1"/>
      <protection locked="0"/>
    </xf>
    <xf numFmtId="0" fontId="9" fillId="4" borderId="11" xfId="0" applyFont="1" applyFill="1" applyBorder="1" applyAlignment="1" applyProtection="1">
      <alignment horizontal="left" vertical="center" wrapText="1"/>
      <protection/>
    </xf>
    <xf numFmtId="0" fontId="0" fillId="0" borderId="2" xfId="0" applyBorder="1" applyAlignment="1">
      <alignment vertical="center" wrapText="1"/>
    </xf>
    <xf numFmtId="0" fontId="3" fillId="7" borderId="9"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8" xfId="0" applyBorder="1" applyAlignment="1">
      <alignment horizontal="left" vertical="center"/>
    </xf>
    <xf numFmtId="3" fontId="0" fillId="8" borderId="2" xfId="0" applyNumberFormat="1" applyFont="1" applyFill="1" applyBorder="1" applyAlignment="1" applyProtection="1">
      <alignment horizontal="center" vertical="center"/>
      <protection/>
    </xf>
    <xf numFmtId="3" fontId="0" fillId="0" borderId="2" xfId="0" applyNumberFormat="1" applyBorder="1" applyAlignment="1" applyProtection="1">
      <alignment horizontal="center" vertical="center"/>
      <protection/>
    </xf>
    <xf numFmtId="3" fontId="0" fillId="8" borderId="9" xfId="0" applyNumberFormat="1" applyFont="1" applyFill="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0" fontId="6" fillId="4" borderId="6"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0" fontId="6" fillId="3" borderId="6" xfId="18"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49" fontId="0" fillId="8" borderId="9" xfId="0" applyNumberFormat="1"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12" fillId="0" borderId="9" xfId="0" applyFont="1" applyBorder="1" applyAlignment="1">
      <alignment horizontal="center" vertical="center"/>
    </xf>
    <xf numFmtId="0" fontId="6" fillId="3" borderId="26" xfId="18" applyFont="1" applyFill="1" applyBorder="1" applyAlignment="1" applyProtection="1">
      <alignment horizontal="center"/>
      <protection locked="0"/>
    </xf>
    <xf numFmtId="0" fontId="0" fillId="8" borderId="67" xfId="0"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9" fillId="4" borderId="91" xfId="0" applyFont="1" applyFill="1" applyBorder="1" applyAlignment="1" applyProtection="1">
      <alignment horizontal="left"/>
      <protection/>
    </xf>
    <xf numFmtId="0" fontId="12" fillId="0" borderId="81" xfId="0" applyFont="1" applyBorder="1" applyAlignment="1">
      <alignment horizontal="left"/>
    </xf>
    <xf numFmtId="0" fontId="12" fillId="0" borderId="92" xfId="0" applyFont="1" applyBorder="1" applyAlignment="1">
      <alignment horizontal="left"/>
    </xf>
    <xf numFmtId="0" fontId="30" fillId="4" borderId="0" xfId="0" applyFont="1" applyFill="1" applyBorder="1" applyAlignment="1" applyProtection="1">
      <alignment horizontal="left"/>
      <protection/>
    </xf>
    <xf numFmtId="0" fontId="23" fillId="0" borderId="0" xfId="0" applyFont="1" applyAlignment="1">
      <alignment horizontal="left"/>
    </xf>
    <xf numFmtId="0" fontId="0" fillId="8" borderId="9" xfId="0" applyFill="1" applyBorder="1" applyAlignment="1" applyProtection="1">
      <alignment horizontal="left"/>
      <protection locked="0"/>
    </xf>
    <xf numFmtId="3" fontId="0" fillId="8" borderId="9"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8" xfId="0" applyNumberForma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9" fillId="4" borderId="3" xfId="0" applyFont="1" applyFill="1" applyBorder="1" applyAlignment="1" applyProtection="1">
      <alignment/>
      <protection/>
    </xf>
    <xf numFmtId="0" fontId="12" fillId="0" borderId="22" xfId="0" applyFont="1" applyBorder="1" applyAlignment="1">
      <alignment/>
    </xf>
    <xf numFmtId="0" fontId="12" fillId="0" borderId="5" xfId="0" applyFont="1" applyBorder="1" applyAlignment="1">
      <alignment/>
    </xf>
    <xf numFmtId="0" fontId="9" fillId="4" borderId="9" xfId="0" applyFont="1" applyFill="1" applyBorder="1" applyAlignment="1" applyProtection="1">
      <alignment horizontal="center" vertical="center"/>
      <protection/>
    </xf>
    <xf numFmtId="0" fontId="12" fillId="0" borderId="9" xfId="0" applyFont="1" applyBorder="1" applyAlignment="1">
      <alignment horizontal="center" vertical="center"/>
    </xf>
    <xf numFmtId="0" fontId="32" fillId="7" borderId="81" xfId="0" applyFont="1" applyFill="1" applyBorder="1" applyAlignment="1">
      <alignment/>
    </xf>
    <xf numFmtId="0" fontId="32" fillId="7" borderId="0" xfId="0" applyFont="1" applyFill="1" applyAlignment="1">
      <alignment/>
    </xf>
    <xf numFmtId="0" fontId="9" fillId="4" borderId="60"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1" xfId="0" applyBorder="1" applyAlignment="1">
      <alignment/>
    </xf>
    <xf numFmtId="0" fontId="0" fillId="0" borderId="31" xfId="0" applyBorder="1" applyAlignment="1">
      <alignment/>
    </xf>
    <xf numFmtId="0" fontId="12" fillId="7" borderId="9" xfId="0" applyFont="1" applyFill="1" applyBorder="1" applyAlignment="1" applyProtection="1">
      <alignment horizontal="center"/>
      <protection/>
    </xf>
    <xf numFmtId="49" fontId="0" fillId="8" borderId="2" xfId="0" applyNumberFormat="1" applyFont="1" applyFill="1" applyBorder="1" applyAlignment="1" applyProtection="1">
      <alignment horizontal="center"/>
      <protection locked="0"/>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72"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5"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3" xfId="0" applyFont="1" applyFill="1" applyBorder="1" applyAlignment="1" applyProtection="1">
      <alignment vertical="center"/>
      <protection/>
    </xf>
    <xf numFmtId="0" fontId="9" fillId="7" borderId="24" xfId="0" applyFont="1" applyFill="1" applyBorder="1" applyAlignment="1" applyProtection="1">
      <alignment vertical="center"/>
      <protection/>
    </xf>
    <xf numFmtId="0" fontId="0" fillId="7" borderId="3" xfId="0" applyFill="1" applyBorder="1" applyAlignment="1">
      <alignment/>
    </xf>
    <xf numFmtId="0" fontId="0" fillId="0" borderId="72"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9" fillId="4" borderId="3" xfId="0" applyFont="1" applyFill="1" applyBorder="1" applyAlignment="1">
      <alignment horizontal="center" vertical="center"/>
    </xf>
    <xf numFmtId="0" fontId="9" fillId="4" borderId="7" xfId="0" applyFont="1" applyFill="1" applyBorder="1" applyAlignment="1">
      <alignment horizontal="center"/>
    </xf>
    <xf numFmtId="0" fontId="9" fillId="4" borderId="72" xfId="0" applyFont="1" applyFill="1" applyBorder="1" applyAlignment="1">
      <alignment horizontal="center" vertical="center"/>
    </xf>
    <xf numFmtId="0" fontId="9" fillId="4" borderId="26" xfId="0" applyFont="1" applyFill="1" applyBorder="1" applyAlignment="1">
      <alignment horizontal="center"/>
    </xf>
    <xf numFmtId="0" fontId="9" fillId="4" borderId="67" xfId="0" applyFont="1" applyFill="1" applyBorder="1" applyAlignment="1">
      <alignment horizontal="center"/>
    </xf>
    <xf numFmtId="0" fontId="9" fillId="4" borderId="4"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81"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3" fontId="6" fillId="3"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3" fontId="6" fillId="3" borderId="26" xfId="0" applyNumberFormat="1" applyFont="1" applyFill="1" applyBorder="1" applyAlignment="1" applyProtection="1">
      <alignment vertical="center"/>
      <protection/>
    </xf>
    <xf numFmtId="3" fontId="0" fillId="0" borderId="67" xfId="0" applyNumberFormat="1" applyBorder="1" applyAlignment="1" applyProtection="1">
      <alignment vertical="center"/>
      <protection/>
    </xf>
    <xf numFmtId="3" fontId="6" fillId="3" borderId="6"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6" xfId="0" applyNumberFormat="1" applyFont="1" applyFill="1" applyBorder="1" applyAlignment="1">
      <alignment horizontal="center" vertical="center"/>
    </xf>
    <xf numFmtId="0" fontId="6" fillId="4" borderId="6" xfId="0" applyFont="1" applyFill="1" applyBorder="1" applyAlignment="1">
      <alignment/>
    </xf>
    <xf numFmtId="0" fontId="9" fillId="4" borderId="40" xfId="0" applyFont="1" applyFill="1" applyBorder="1" applyAlignment="1">
      <alignment/>
    </xf>
    <xf numFmtId="0" fontId="0" fillId="7" borderId="72"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6" fillId="4" borderId="26" xfId="0" applyFont="1" applyFill="1" applyBorder="1" applyAlignment="1">
      <alignment/>
    </xf>
    <xf numFmtId="0" fontId="9" fillId="4" borderId="33" xfId="0" applyFont="1" applyFill="1" applyBorder="1" applyAlignment="1">
      <alignment horizontal="center"/>
    </xf>
    <xf numFmtId="0" fontId="0" fillId="7" borderId="72" xfId="0" applyFill="1" applyBorder="1" applyAlignment="1">
      <alignment horizontal="center"/>
    </xf>
    <xf numFmtId="0" fontId="0" fillId="7" borderId="5" xfId="0" applyFill="1" applyBorder="1" applyAlignment="1">
      <alignment horizontal="center"/>
    </xf>
    <xf numFmtId="0" fontId="9" fillId="4" borderId="33" xfId="0" applyFont="1" applyFill="1" applyBorder="1" applyAlignment="1">
      <alignment horizontal="center" vertical="center" wrapText="1"/>
    </xf>
    <xf numFmtId="0" fontId="0" fillId="0" borderId="67" xfId="0" applyBorder="1" applyAlignment="1">
      <alignment horizontal="center"/>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6" fillId="3" borderId="26" xfId="0" applyNumberFormat="1" applyFont="1" applyFill="1" applyBorder="1" applyAlignment="1" applyProtection="1">
      <alignment horizontal="center" vertical="center"/>
      <protection locked="0"/>
    </xf>
    <xf numFmtId="3" fontId="0" fillId="8" borderId="67" xfId="0" applyNumberFormat="1" applyFill="1" applyBorder="1" applyAlignment="1" applyProtection="1">
      <alignment horizontal="center" vertical="center"/>
      <protection locked="0"/>
    </xf>
    <xf numFmtId="0" fontId="9" fillId="4" borderId="26" xfId="0" applyFont="1" applyFill="1" applyBorder="1" applyAlignment="1" applyProtection="1">
      <alignment/>
      <protection/>
    </xf>
    <xf numFmtId="0" fontId="0" fillId="0" borderId="43" xfId="0" applyBorder="1" applyAlignment="1" applyProtection="1">
      <alignment/>
      <protection/>
    </xf>
    <xf numFmtId="3" fontId="0" fillId="8" borderId="67" xfId="0" applyNumberFormat="1" applyFill="1" applyBorder="1" applyAlignment="1" applyProtection="1">
      <alignment horizontal="center" vertical="center"/>
      <protection/>
    </xf>
    <xf numFmtId="0" fontId="9" fillId="4" borderId="23" xfId="0" applyFont="1" applyFill="1" applyBorder="1" applyAlignment="1" applyProtection="1">
      <alignment vertical="center" wrapText="1"/>
      <protection/>
    </xf>
    <xf numFmtId="0" fontId="9" fillId="4" borderId="67"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0" xfId="0" applyFont="1" applyFill="1" applyBorder="1" applyAlignment="1">
      <alignment horizontal="right" vertic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81"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2" xfId="0" applyFill="1" applyBorder="1" applyAlignment="1" applyProtection="1">
      <alignment horizontal="center"/>
      <protection/>
    </xf>
    <xf numFmtId="0" fontId="0" fillId="7" borderId="5"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23" xfId="0" applyFont="1" applyFill="1" applyBorder="1" applyAlignment="1" applyProtection="1">
      <alignment vertical="center"/>
      <protection/>
    </xf>
    <xf numFmtId="0" fontId="9" fillId="4" borderId="67" xfId="0" applyFont="1" applyFill="1" applyBorder="1" applyAlignment="1" applyProtection="1">
      <alignment vertical="center"/>
      <protection/>
    </xf>
    <xf numFmtId="0" fontId="9" fillId="4" borderId="0" xfId="0" applyFont="1" applyFill="1" applyBorder="1" applyAlignment="1">
      <alignment horizontal="left"/>
    </xf>
    <xf numFmtId="0" fontId="12" fillId="0" borderId="0" xfId="0" applyFont="1" applyAlignment="1">
      <alignment horizontal="left"/>
    </xf>
    <xf numFmtId="3" fontId="0" fillId="8" borderId="58" xfId="0" applyNumberFormat="1" applyFill="1" applyBorder="1" applyAlignment="1" applyProtection="1">
      <alignment horizontal="center" vertical="center"/>
      <protection/>
    </xf>
    <xf numFmtId="0" fontId="9" fillId="4" borderId="6" xfId="0" applyFont="1" applyFill="1" applyBorder="1" applyAlignment="1" applyProtection="1">
      <alignment/>
      <protection/>
    </xf>
    <xf numFmtId="0" fontId="0" fillId="0" borderId="44" xfId="0" applyBorder="1" applyAlignment="1" applyProtection="1">
      <alignment/>
      <protection/>
    </xf>
    <xf numFmtId="0" fontId="0" fillId="0" borderId="0" xfId="0" applyBorder="1" applyAlignment="1">
      <alignment horizontal="left"/>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7" borderId="23" xfId="0" applyFont="1" applyFill="1" applyBorder="1" applyAlignment="1" applyProtection="1">
      <alignment horizontal="left" vertical="center" wrapText="1"/>
      <protection/>
    </xf>
    <xf numFmtId="0" fontId="9" fillId="7" borderId="67"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79"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9" fillId="4" borderId="0" xfId="0" applyFont="1" applyFill="1" applyBorder="1" applyAlignment="1" applyProtection="1">
      <alignment horizontal="left" vertical="center" wrapText="1"/>
      <protection/>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0" fillId="0" borderId="0" xfId="0" applyBorder="1" applyAlignment="1">
      <alignment horizontal="right" vertical="center"/>
    </xf>
    <xf numFmtId="0" fontId="3" fillId="7" borderId="0" xfId="0" applyFont="1" applyFill="1" applyAlignment="1">
      <alignment vertical="center" wrapText="1" shrinkToFit="1"/>
    </xf>
    <xf numFmtId="0" fontId="0" fillId="18" borderId="35" xfId="0" applyFill="1" applyBorder="1" applyAlignment="1">
      <alignment/>
    </xf>
    <xf numFmtId="0" fontId="0" fillId="18" borderId="42" xfId="0" applyFill="1" applyBorder="1" applyAlignment="1">
      <alignment/>
    </xf>
    <xf numFmtId="0" fontId="0" fillId="18" borderId="80"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81" xfId="0" applyFont="1" applyFill="1" applyBorder="1" applyAlignment="1" applyProtection="1">
      <alignment horizontal="left" vertical="center" wrapText="1"/>
      <protection/>
    </xf>
    <xf numFmtId="0" fontId="41" fillId="7" borderId="81"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91" xfId="0" applyFont="1" applyFill="1" applyBorder="1" applyAlignment="1">
      <alignment/>
    </xf>
    <xf numFmtId="0" fontId="0" fillId="0" borderId="82"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5" xfId="0" applyBorder="1" applyAlignment="1">
      <alignment horizontal="center"/>
    </xf>
    <xf numFmtId="0" fontId="18" fillId="4" borderId="0" xfId="0" applyFont="1" applyFill="1" applyBorder="1" applyAlignment="1">
      <alignment horizontal="center" vertical="center" wrapText="1"/>
    </xf>
    <xf numFmtId="0" fontId="50" fillId="0" borderId="0" xfId="0" applyFont="1" applyAlignment="1">
      <alignment horizontal="center" vertical="center" wrapText="1"/>
    </xf>
    <xf numFmtId="0" fontId="48" fillId="7" borderId="0" xfId="0" applyFont="1" applyFill="1" applyAlignment="1">
      <alignment horizontal="center" vertical="center" wrapText="1" shrinkToFit="1"/>
    </xf>
    <xf numFmtId="0" fontId="48"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48"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48" fillId="7" borderId="0" xfId="0" applyFont="1" applyFill="1" applyBorder="1" applyAlignment="1">
      <alignment horizontal="center" vertical="center"/>
    </xf>
    <xf numFmtId="0" fontId="20" fillId="8" borderId="0" xfId="0" applyFont="1" applyFill="1" applyAlignment="1">
      <alignment horizontal="left"/>
    </xf>
    <xf numFmtId="49" fontId="3" fillId="8" borderId="0" xfId="0" applyNumberFormat="1" applyFont="1" applyFill="1" applyAlignment="1">
      <alignment horizontal="center"/>
    </xf>
    <xf numFmtId="0" fontId="0" fillId="8" borderId="0" xfId="0" applyFill="1" applyAlignment="1">
      <alignment/>
    </xf>
    <xf numFmtId="0" fontId="23" fillId="8" borderId="0" xfId="0" applyFont="1" applyFill="1" applyAlignment="1">
      <alignment horizontal="center"/>
    </xf>
    <xf numFmtId="0" fontId="4" fillId="0" borderId="0" xfId="0" applyFont="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0" fillId="8" borderId="0" xfId="0" applyFill="1" applyAlignment="1" applyProtection="1">
      <alignment/>
      <protection/>
    </xf>
    <xf numFmtId="0" fontId="47" fillId="8" borderId="0" xfId="0" applyFont="1" applyFill="1" applyAlignment="1" applyProtection="1">
      <alignment horizontal="center"/>
      <protection/>
    </xf>
    <xf numFmtId="0" fontId="48" fillId="8" borderId="0" xfId="0" applyFont="1" applyFill="1" applyAlignment="1" applyProtection="1">
      <alignment/>
      <protection/>
    </xf>
    <xf numFmtId="0" fontId="48" fillId="8" borderId="32" xfId="0" applyFont="1" applyFill="1" applyBorder="1" applyAlignment="1" applyProtection="1">
      <alignment/>
      <protection/>
    </xf>
    <xf numFmtId="0" fontId="12" fillId="8" borderId="0" xfId="0" applyFont="1" applyFill="1" applyAlignment="1">
      <alignment vertical="top"/>
    </xf>
    <xf numFmtId="0" fontId="6" fillId="3" borderId="2" xfId="0" applyFont="1" applyFill="1" applyBorder="1" applyAlignment="1">
      <alignment horizontal="left" vertical="center"/>
    </xf>
    <xf numFmtId="0" fontId="0" fillId="8" borderId="2" xfId="0" applyFill="1" applyBorder="1" applyAlignment="1">
      <alignment horizontal="left" vertical="center"/>
    </xf>
    <xf numFmtId="0" fontId="9" fillId="3" borderId="9" xfId="0" applyFont="1" applyFill="1" applyBorder="1" applyAlignment="1">
      <alignment horizontal="center" vertical="center" wrapText="1"/>
    </xf>
    <xf numFmtId="0" fontId="0" fillId="8" borderId="9" xfId="0" applyFill="1" applyBorder="1" applyAlignment="1">
      <alignment horizontal="center" vertical="center" wrapText="1"/>
    </xf>
    <xf numFmtId="0" fontId="48" fillId="8" borderId="0" xfId="0" applyFont="1" applyFill="1" applyAlignment="1" applyProtection="1">
      <alignment horizontal="center"/>
      <protection/>
    </xf>
    <xf numFmtId="0" fontId="49" fillId="8" borderId="0" xfId="0" applyFont="1" applyFill="1" applyAlignment="1" applyProtection="1">
      <alignment horizontal="center"/>
      <protection/>
    </xf>
    <xf numFmtId="0" fontId="9" fillId="3" borderId="10" xfId="0" applyFont="1" applyFill="1" applyBorder="1" applyAlignment="1">
      <alignment horizontal="center" vertical="center" textRotation="90"/>
    </xf>
    <xf numFmtId="0" fontId="0" fillId="8" borderId="26" xfId="0" applyFill="1" applyBorder="1" applyAlignment="1" applyProtection="1">
      <alignment horizontal="center" vertical="center"/>
      <protection/>
    </xf>
    <xf numFmtId="0" fontId="0" fillId="8" borderId="67" xfId="0" applyFill="1" applyBorder="1" applyAlignment="1">
      <alignment/>
    </xf>
    <xf numFmtId="0" fontId="0" fillId="8" borderId="37" xfId="0" applyFill="1" applyBorder="1" applyAlignment="1">
      <alignment/>
    </xf>
    <xf numFmtId="0" fontId="47" fillId="8" borderId="0" xfId="0" applyFont="1" applyFill="1" applyAlignment="1">
      <alignment horizontal="center" vertical="center"/>
    </xf>
    <xf numFmtId="0" fontId="4" fillId="8" borderId="0" xfId="0" applyFont="1" applyFill="1" applyAlignment="1">
      <alignment/>
    </xf>
    <xf numFmtId="0" fontId="20" fillId="8" borderId="0" xfId="0" applyFont="1" applyFill="1" applyAlignment="1">
      <alignment/>
    </xf>
    <xf numFmtId="0" fontId="49" fillId="8" borderId="0" xfId="0" applyFont="1" applyFill="1" applyAlignment="1">
      <alignment horizontal="right" vertical="center"/>
    </xf>
    <xf numFmtId="0" fontId="49" fillId="8" borderId="37" xfId="0" applyFont="1" applyFill="1" applyBorder="1" applyAlignment="1">
      <alignment horizontal="right" vertical="center"/>
    </xf>
    <xf numFmtId="0" fontId="0" fillId="8" borderId="81"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64" fillId="16" borderId="15" xfId="16" applyFont="1" applyFill="1" applyBorder="1" applyAlignment="1" applyProtection="1">
      <alignment horizontal="left" vertical="center"/>
      <protection/>
    </xf>
    <xf numFmtId="0" fontId="0" fillId="0" borderId="25" xfId="0" applyBorder="1" applyAlignment="1" applyProtection="1">
      <alignment vertical="center"/>
      <protection/>
    </xf>
    <xf numFmtId="0" fontId="77" fillId="16" borderId="7" xfId="16" applyFont="1" applyFill="1" applyBorder="1" applyAlignment="1" applyProtection="1">
      <alignment horizontal="left" vertical="center"/>
      <protection locked="0"/>
    </xf>
    <xf numFmtId="0" fontId="77" fillId="16" borderId="23" xfId="16" applyFont="1" applyFill="1" applyBorder="1" applyAlignment="1" applyProtection="1">
      <alignment horizontal="left" vertical="center"/>
      <protection locked="0"/>
    </xf>
    <xf numFmtId="0" fontId="46" fillId="0" borderId="23" xfId="0" applyFont="1" applyBorder="1" applyAlignment="1">
      <alignment vertical="center"/>
    </xf>
    <xf numFmtId="0" fontId="46" fillId="0" borderId="67" xfId="0" applyFont="1" applyBorder="1" applyAlignment="1">
      <alignment vertical="center"/>
    </xf>
    <xf numFmtId="49" fontId="77" fillId="16" borderId="85" xfId="16" applyNumberFormat="1" applyFont="1" applyFill="1" applyBorder="1" applyAlignment="1" applyProtection="1">
      <alignment horizontal="left" vertical="center"/>
      <protection/>
    </xf>
    <xf numFmtId="49" fontId="77" fillId="16" borderId="40" xfId="16"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90" xfId="0" applyBorder="1" applyAlignment="1" applyProtection="1">
      <alignment vertical="center"/>
      <protection/>
    </xf>
    <xf numFmtId="0" fontId="64" fillId="16" borderId="0" xfId="16" applyFont="1" applyFill="1" applyBorder="1" applyAlignment="1" applyProtection="1">
      <alignment horizontal="left" vertical="center" wrapText="1"/>
      <protection/>
    </xf>
    <xf numFmtId="49" fontId="77" fillId="16" borderId="7" xfId="16" applyNumberFormat="1" applyFont="1" applyFill="1" applyBorder="1" applyAlignment="1" applyProtection="1">
      <alignment horizontal="left" vertical="center"/>
      <protection locked="0"/>
    </xf>
    <xf numFmtId="49" fontId="77" fillId="16" borderId="23" xfId="16" applyNumberFormat="1" applyFont="1" applyFill="1" applyBorder="1" applyAlignment="1" applyProtection="1">
      <alignment horizontal="left" vertical="center"/>
      <protection locked="0"/>
    </xf>
    <xf numFmtId="49" fontId="77" fillId="16" borderId="43" xfId="16" applyNumberFormat="1" applyFont="1" applyFill="1" applyBorder="1" applyAlignment="1" applyProtection="1">
      <alignment horizontal="left" vertical="center"/>
      <protection locked="0"/>
    </xf>
    <xf numFmtId="0" fontId="0" fillId="0" borderId="0" xfId="0" applyBorder="1" applyAlignment="1">
      <alignment horizontal="left" vertical="center" wrapText="1"/>
    </xf>
    <xf numFmtId="0" fontId="64" fillId="16" borderId="40" xfId="16" applyFont="1" applyFill="1" applyBorder="1" applyAlignment="1" applyProtection="1">
      <alignment horizontal="left" vertical="center" wrapText="1"/>
      <protection/>
    </xf>
    <xf numFmtId="0" fontId="0" fillId="0" borderId="40" xfId="0" applyBorder="1" applyAlignment="1">
      <alignment horizontal="left" vertical="center" wrapText="1"/>
    </xf>
    <xf numFmtId="0" fontId="77" fillId="16" borderId="7" xfId="16" applyFont="1" applyFill="1" applyBorder="1" applyAlignment="1" applyProtection="1">
      <alignment horizontal="left" vertical="center"/>
      <protection/>
    </xf>
    <xf numFmtId="0" fontId="77" fillId="16" borderId="23" xfId="16" applyFont="1" applyFill="1" applyBorder="1" applyAlignment="1" applyProtection="1">
      <alignment horizontal="left" vertical="center"/>
      <protection/>
    </xf>
    <xf numFmtId="0" fontId="46" fillId="0" borderId="23" xfId="0" applyFont="1" applyBorder="1" applyAlignment="1" applyProtection="1">
      <alignment vertical="center"/>
      <protection/>
    </xf>
    <xf numFmtId="0" fontId="46" fillId="0" borderId="67" xfId="0" applyFont="1" applyBorder="1" applyAlignment="1" applyProtection="1">
      <alignment vertical="center"/>
      <protection/>
    </xf>
    <xf numFmtId="0" fontId="64" fillId="16" borderId="91" xfId="16" applyFont="1" applyFill="1" applyBorder="1" applyAlignment="1" applyProtection="1">
      <alignment horizontal="left" vertical="center"/>
      <protection/>
    </xf>
    <xf numFmtId="0" fontId="64" fillId="16" borderId="81" xfId="16" applyFont="1" applyFill="1" applyBorder="1" applyAlignment="1" applyProtection="1">
      <alignment horizontal="left" vertical="center"/>
      <protection/>
    </xf>
    <xf numFmtId="0" fontId="0" fillId="0" borderId="81" xfId="0" applyBorder="1" applyAlignment="1" applyProtection="1">
      <alignment vertical="center"/>
      <protection/>
    </xf>
    <xf numFmtId="2" fontId="77" fillId="16" borderId="26" xfId="16"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64" fillId="16" borderId="4" xfId="16" applyFont="1" applyFill="1" applyBorder="1" applyAlignment="1" applyProtection="1">
      <alignment horizontal="left" vertical="center"/>
      <protection/>
    </xf>
    <xf numFmtId="0" fontId="64" fillId="16" borderId="24" xfId="16"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64" fillId="16" borderId="22" xfId="16" applyNumberFormat="1" applyFont="1" applyFill="1" applyBorder="1" applyAlignment="1" applyProtection="1">
      <alignment horizontal="left" vertical="center"/>
      <protection/>
    </xf>
    <xf numFmtId="2" fontId="64" fillId="16" borderId="5" xfId="16" applyNumberFormat="1" applyFont="1" applyFill="1" applyBorder="1" applyAlignment="1" applyProtection="1">
      <alignment horizontal="left" vertical="center"/>
      <protection/>
    </xf>
    <xf numFmtId="0" fontId="77" fillId="16" borderId="7" xfId="16" applyNumberFormat="1" applyFont="1" applyFill="1" applyBorder="1" applyAlignment="1" applyProtection="1">
      <alignment horizontal="left" vertical="center"/>
      <protection locked="0"/>
    </xf>
    <xf numFmtId="0" fontId="77" fillId="16" borderId="23" xfId="16" applyNumberFormat="1" applyFont="1" applyFill="1" applyBorder="1" applyAlignment="1" applyProtection="1">
      <alignment horizontal="left" vertical="center"/>
      <protection locked="0"/>
    </xf>
    <xf numFmtId="0" fontId="77" fillId="16" borderId="67" xfId="16" applyNumberFormat="1" applyFont="1" applyFill="1" applyBorder="1" applyAlignment="1" applyProtection="1">
      <alignment horizontal="left" vertical="center"/>
      <protection locked="0"/>
    </xf>
    <xf numFmtId="0" fontId="64" fillId="16" borderId="25" xfId="16" applyFont="1" applyFill="1" applyBorder="1" applyAlignment="1" applyProtection="1">
      <alignment horizontal="left" vertical="center"/>
      <protection/>
    </xf>
    <xf numFmtId="0" fontId="0" fillId="0" borderId="25" xfId="0" applyBorder="1" applyAlignment="1">
      <alignment vertical="center"/>
    </xf>
    <xf numFmtId="0" fontId="64" fillId="16" borderId="0" xfId="16" applyFont="1" applyFill="1" applyBorder="1" applyAlignment="1" applyProtection="1">
      <alignment horizontal="left" vertical="center"/>
      <protection/>
    </xf>
    <xf numFmtId="0" fontId="0" fillId="0" borderId="32" xfId="0" applyBorder="1" applyAlignment="1">
      <alignment vertical="center"/>
    </xf>
    <xf numFmtId="0" fontId="77" fillId="16" borderId="26" xfId="16" applyFont="1" applyFill="1" applyBorder="1" applyAlignment="1" applyProtection="1">
      <alignment horizontal="left" vertical="center"/>
      <protection locked="0"/>
    </xf>
    <xf numFmtId="0" fontId="46" fillId="0" borderId="23" xfId="0" applyFont="1" applyBorder="1" applyAlignment="1" applyProtection="1">
      <alignment vertical="center"/>
      <protection locked="0"/>
    </xf>
    <xf numFmtId="0" fontId="46" fillId="0" borderId="43" xfId="0" applyFont="1" applyBorder="1" applyAlignment="1" applyProtection="1">
      <alignment vertical="center"/>
      <protection locked="0"/>
    </xf>
    <xf numFmtId="0" fontId="64" fillId="16" borderId="0" xfId="16" applyFont="1" applyFill="1" applyAlignment="1" applyProtection="1">
      <alignment horizontal="center"/>
      <protection/>
    </xf>
    <xf numFmtId="0" fontId="75" fillId="16" borderId="0" xfId="16" applyFont="1" applyFill="1" applyAlignment="1" applyProtection="1">
      <alignment horizontal="center" vertical="center"/>
      <protection/>
    </xf>
    <xf numFmtId="0" fontId="76" fillId="16" borderId="0" xfId="16" applyFont="1" applyFill="1" applyAlignment="1" applyProtection="1">
      <alignment horizontal="center" vertical="center"/>
      <protection/>
    </xf>
    <xf numFmtId="0" fontId="64" fillId="16" borderId="0" xfId="16" applyFont="1" applyFill="1" applyAlignment="1" applyProtection="1">
      <alignment horizontal="left"/>
      <protection/>
    </xf>
    <xf numFmtId="0" fontId="64" fillId="16" borderId="0" xfId="16" applyFont="1" applyFill="1" applyBorder="1" applyAlignment="1" applyProtection="1">
      <alignment horizontal="left"/>
      <protection/>
    </xf>
    <xf numFmtId="0" fontId="64" fillId="16" borderId="19" xfId="16" applyFont="1" applyFill="1" applyBorder="1" applyAlignment="1" applyProtection="1">
      <alignment horizontal="left" vertical="center"/>
      <protection/>
    </xf>
    <xf numFmtId="0" fontId="64" fillId="16" borderId="32" xfId="16" applyFont="1" applyFill="1" applyBorder="1" applyAlignment="1" applyProtection="1">
      <alignment horizontal="left" vertical="center"/>
      <protection/>
    </xf>
    <xf numFmtId="0" fontId="64" fillId="16" borderId="0" xfId="16" applyFont="1" applyFill="1" applyBorder="1" applyAlignment="1" applyProtection="1">
      <alignment horizontal="center" vertical="center"/>
      <protection/>
    </xf>
    <xf numFmtId="49" fontId="78" fillId="16" borderId="7" xfId="16" applyNumberFormat="1" applyFont="1" applyFill="1" applyBorder="1" applyAlignment="1" applyProtection="1">
      <alignment horizontal="left" vertical="center"/>
      <protection locked="0"/>
    </xf>
    <xf numFmtId="49" fontId="78" fillId="16" borderId="23" xfId="16" applyNumberFormat="1" applyFont="1" applyFill="1" applyBorder="1" applyAlignment="1" applyProtection="1">
      <alignment horizontal="left" vertical="center"/>
      <protection locked="0"/>
    </xf>
    <xf numFmtId="49" fontId="78" fillId="16" borderId="43" xfId="16" applyNumberFormat="1" applyFont="1" applyFill="1" applyBorder="1" applyAlignment="1" applyProtection="1">
      <alignment horizontal="left" vertical="center"/>
      <protection locked="0"/>
    </xf>
    <xf numFmtId="0" fontId="0" fillId="0" borderId="92" xfId="0" applyBorder="1" applyAlignment="1">
      <alignment vertical="center"/>
    </xf>
    <xf numFmtId="0" fontId="77" fillId="16" borderId="19" xfId="16" applyNumberFormat="1" applyFont="1" applyFill="1" applyBorder="1" applyAlignment="1" applyProtection="1">
      <alignment horizontal="center" vertical="center"/>
      <protection/>
    </xf>
    <xf numFmtId="0" fontId="77" fillId="16" borderId="0" xfId="16"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64" fillId="16" borderId="0" xfId="16" applyFont="1" applyFill="1" applyBorder="1" applyAlignment="1">
      <alignment horizontal="center"/>
      <protection/>
    </xf>
    <xf numFmtId="0" fontId="77" fillId="0" borderId="93" xfId="16" applyFont="1" applyFill="1" applyBorder="1" applyAlignment="1" applyProtection="1">
      <alignment horizontal="center" vertical="center"/>
      <protection locked="0"/>
    </xf>
    <xf numFmtId="0" fontId="77" fillId="0" borderId="84" xfId="16" applyFont="1" applyFill="1" applyBorder="1" applyAlignment="1" applyProtection="1">
      <alignment horizontal="center" vertical="center"/>
      <protection locked="0"/>
    </xf>
    <xf numFmtId="0" fontId="77" fillId="0" borderId="94" xfId="16" applyFont="1" applyFill="1" applyBorder="1" applyAlignment="1" applyProtection="1">
      <alignment horizontal="center" vertical="center"/>
      <protection locked="0"/>
    </xf>
    <xf numFmtId="14" fontId="77" fillId="16" borderId="26" xfId="16" applyNumberFormat="1" applyFont="1" applyFill="1" applyBorder="1" applyAlignment="1" applyProtection="1">
      <alignment horizontal="center" vertical="center"/>
      <protection locked="0"/>
    </xf>
    <xf numFmtId="14" fontId="77" fillId="16" borderId="67" xfId="16" applyNumberFormat="1" applyFont="1" applyFill="1" applyBorder="1" applyAlignment="1" applyProtection="1">
      <alignment horizontal="center" vertical="center"/>
      <protection locked="0"/>
    </xf>
    <xf numFmtId="0" fontId="64" fillId="16" borderId="0" xfId="16" applyFont="1" applyFill="1" applyBorder="1" applyAlignment="1" applyProtection="1">
      <alignment horizontal="center"/>
      <protection/>
    </xf>
    <xf numFmtId="0" fontId="78" fillId="16" borderId="0" xfId="16" applyFont="1" applyFill="1" applyAlignment="1" applyProtection="1">
      <alignment horizontal="left" vertical="center"/>
      <protection/>
    </xf>
    <xf numFmtId="14" fontId="77" fillId="16" borderId="70" xfId="16" applyNumberFormat="1" applyFont="1" applyFill="1" applyBorder="1" applyAlignment="1" applyProtection="1">
      <alignment horizontal="center" vertical="center"/>
      <protection locked="0"/>
    </xf>
    <xf numFmtId="0" fontId="77" fillId="16" borderId="70" xfId="16" applyFont="1" applyFill="1" applyBorder="1" applyAlignment="1" applyProtection="1">
      <alignment horizontal="center" vertical="center"/>
      <protection locked="0"/>
    </xf>
    <xf numFmtId="49" fontId="77" fillId="16" borderId="26" xfId="16" applyNumberFormat="1" applyFont="1" applyFill="1" applyBorder="1" applyAlignment="1" applyProtection="1">
      <alignment horizontal="center" vertical="center"/>
      <protection locked="0"/>
    </xf>
    <xf numFmtId="49" fontId="77" fillId="16" borderId="67" xfId="16" applyNumberFormat="1" applyFont="1" applyFill="1" applyBorder="1" applyAlignment="1" applyProtection="1">
      <alignment horizontal="center" vertical="center"/>
      <protection locked="0"/>
    </xf>
    <xf numFmtId="0" fontId="64" fillId="16" borderId="0" xfId="16" applyFont="1" applyFill="1" applyAlignment="1" applyProtection="1">
      <alignment horizontal="center" vertical="center"/>
      <protection/>
    </xf>
    <xf numFmtId="0" fontId="64" fillId="16" borderId="42" xfId="16" applyFont="1" applyFill="1" applyBorder="1" applyAlignment="1" applyProtection="1">
      <alignment horizontal="left" vertical="center"/>
      <protection/>
    </xf>
    <xf numFmtId="0" fontId="64" fillId="16" borderId="42" xfId="16" applyFont="1" applyFill="1" applyBorder="1" applyAlignment="1" applyProtection="1">
      <alignment horizontal="left" vertical="center"/>
      <protection/>
    </xf>
    <xf numFmtId="166" fontId="77" fillId="16" borderId="26" xfId="16" applyNumberFormat="1" applyFont="1" applyFill="1" applyBorder="1" applyAlignment="1" applyProtection="1">
      <alignment horizontal="center" vertical="center"/>
      <protection locked="0"/>
    </xf>
    <xf numFmtId="166" fontId="77" fillId="16" borderId="67" xfId="16" applyNumberFormat="1" applyFont="1" applyFill="1" applyBorder="1" applyAlignment="1" applyProtection="1">
      <alignment horizontal="center" vertical="center"/>
      <protection locked="0"/>
    </xf>
    <xf numFmtId="0" fontId="77" fillId="0" borderId="95" xfId="16" applyFont="1" applyFill="1" applyBorder="1" applyAlignment="1" applyProtection="1">
      <alignment horizontal="center" vertical="center"/>
      <protection locked="0"/>
    </xf>
    <xf numFmtId="0" fontId="77" fillId="0" borderId="96" xfId="16" applyFont="1" applyFill="1" applyBorder="1" applyAlignment="1" applyProtection="1">
      <alignment horizontal="center" vertical="center"/>
      <protection locked="0"/>
    </xf>
    <xf numFmtId="0" fontId="77" fillId="0" borderId="97" xfId="16" applyFont="1" applyFill="1" applyBorder="1" applyAlignment="1" applyProtection="1">
      <alignment horizontal="center" vertical="center"/>
      <protection locked="0"/>
    </xf>
    <xf numFmtId="0" fontId="64" fillId="16" borderId="34" xfId="16" applyFont="1" applyFill="1" applyBorder="1" applyAlignment="1" applyProtection="1">
      <alignment horizontal="center" vertical="center"/>
      <protection/>
    </xf>
    <xf numFmtId="0" fontId="77" fillId="0" borderId="47" xfId="16" applyFont="1" applyFill="1" applyBorder="1" applyAlignment="1" applyProtection="1">
      <alignment horizontal="center" vertical="center"/>
      <protection locked="0"/>
    </xf>
    <xf numFmtId="0" fontId="77" fillId="0" borderId="42" xfId="16" applyFont="1" applyFill="1" applyBorder="1" applyAlignment="1" applyProtection="1">
      <alignment horizontal="center" vertical="center"/>
      <protection locked="0"/>
    </xf>
    <xf numFmtId="0" fontId="77" fillId="0" borderId="42" xfId="16" applyFont="1" applyFill="1" applyBorder="1" applyAlignment="1" applyProtection="1">
      <alignment horizontal="center" vertical="center"/>
      <protection locked="0"/>
    </xf>
    <xf numFmtId="0" fontId="77" fillId="0" borderId="80" xfId="16" applyFont="1" applyFill="1" applyBorder="1" applyAlignment="1" applyProtection="1">
      <alignment horizontal="center" vertical="center"/>
      <protection locked="0"/>
    </xf>
    <xf numFmtId="0" fontId="64" fillId="16" borderId="0" xfId="16" applyFont="1" applyFill="1" applyAlignment="1" applyProtection="1">
      <alignment horizontal="left" vertical="center"/>
      <protection/>
    </xf>
    <xf numFmtId="49" fontId="77" fillId="16" borderId="23" xfId="16" applyNumberFormat="1" applyFont="1" applyFill="1" applyBorder="1" applyAlignment="1" applyProtection="1">
      <alignment horizontal="center" vertical="center"/>
      <protection locked="0"/>
    </xf>
    <xf numFmtId="0" fontId="79" fillId="16" borderId="78" xfId="16" applyFont="1" applyFill="1" applyBorder="1" applyAlignment="1" applyProtection="1">
      <alignment horizontal="center"/>
      <protection locked="0"/>
    </xf>
    <xf numFmtId="0" fontId="79" fillId="16" borderId="25" xfId="16" applyFont="1" applyFill="1" applyBorder="1" applyAlignment="1" applyProtection="1">
      <alignment horizontal="center"/>
      <protection locked="0"/>
    </xf>
    <xf numFmtId="0" fontId="79" fillId="16" borderId="79" xfId="16" applyFont="1" applyFill="1" applyBorder="1" applyAlignment="1" applyProtection="1">
      <alignment horizontal="center"/>
      <protection locked="0"/>
    </xf>
    <xf numFmtId="0" fontId="79" fillId="16" borderId="34" xfId="16" applyFont="1" applyFill="1" applyBorder="1" applyAlignment="1" applyProtection="1">
      <alignment horizontal="center"/>
      <protection locked="0"/>
    </xf>
    <xf numFmtId="0" fontId="79" fillId="16" borderId="0" xfId="16" applyFont="1" applyFill="1" applyBorder="1" applyAlignment="1" applyProtection="1">
      <alignment horizontal="center"/>
      <protection locked="0"/>
    </xf>
    <xf numFmtId="0" fontId="79" fillId="16" borderId="37" xfId="16" applyFont="1" applyFill="1" applyBorder="1" applyAlignment="1" applyProtection="1">
      <alignment horizontal="center"/>
      <protection locked="0"/>
    </xf>
    <xf numFmtId="0" fontId="79" fillId="16" borderId="47" xfId="16" applyFont="1" applyFill="1" applyBorder="1" applyAlignment="1" applyProtection="1">
      <alignment horizontal="center"/>
      <protection locked="0"/>
    </xf>
    <xf numFmtId="0" fontId="79" fillId="16" borderId="42" xfId="16" applyFont="1" applyFill="1" applyBorder="1" applyAlignment="1" applyProtection="1">
      <alignment horizontal="center"/>
      <protection locked="0"/>
    </xf>
    <xf numFmtId="0" fontId="79" fillId="16" borderId="80" xfId="16" applyFont="1" applyFill="1" applyBorder="1" applyAlignment="1" applyProtection="1">
      <alignment horizontal="center"/>
      <protection locked="0"/>
    </xf>
    <xf numFmtId="0" fontId="51" fillId="22" borderId="0" xfId="16" applyFont="1" applyFill="1" applyAlignment="1" applyProtection="1">
      <alignment horizontal="left" vertical="center"/>
      <protection/>
    </xf>
    <xf numFmtId="0" fontId="79" fillId="22" borderId="0" xfId="16" applyFont="1" applyFill="1" applyAlignment="1" applyProtection="1">
      <alignment horizontal="justify" vertical="center" wrapText="1"/>
      <protection/>
    </xf>
    <xf numFmtId="0" fontId="64" fillId="16" borderId="25" xfId="16" applyFont="1" applyFill="1" applyBorder="1" applyAlignment="1" applyProtection="1">
      <alignment horizontal="center"/>
      <protection/>
    </xf>
    <xf numFmtId="0" fontId="64" fillId="16" borderId="25" xfId="16" applyFont="1" applyFill="1" applyBorder="1" applyAlignment="1" applyProtection="1">
      <alignment horizontal="center"/>
      <protection/>
    </xf>
    <xf numFmtId="0" fontId="0" fillId="0" borderId="25" xfId="0" applyBorder="1" applyAlignment="1">
      <alignment horizontal="center"/>
    </xf>
    <xf numFmtId="0" fontId="79" fillId="16" borderId="0" xfId="16" applyFont="1" applyFill="1" applyAlignment="1" applyProtection="1">
      <alignment horizontal="left"/>
      <protection/>
    </xf>
    <xf numFmtId="0" fontId="77" fillId="16" borderId="70" xfId="16" applyNumberFormat="1" applyFont="1" applyFill="1" applyBorder="1" applyAlignment="1" applyProtection="1">
      <alignment horizontal="center" vertical="center"/>
      <protection locked="0"/>
    </xf>
    <xf numFmtId="0" fontId="2" fillId="16" borderId="0" xfId="16" applyFill="1" applyAlignment="1">
      <alignment horizontal="center"/>
      <protection/>
    </xf>
    <xf numFmtId="0" fontId="64" fillId="16" borderId="0" xfId="16" applyFont="1" applyFill="1" applyAlignment="1">
      <alignment horizontal="center" vertical="center"/>
      <protection/>
    </xf>
    <xf numFmtId="0" fontId="78" fillId="16" borderId="0" xfId="16" applyFont="1" applyFill="1" applyAlignment="1">
      <alignment horizontal="center" vertical="center"/>
      <protection/>
    </xf>
    <xf numFmtId="0" fontId="77" fillId="16" borderId="0" xfId="16" applyFont="1" applyFill="1" applyBorder="1" applyAlignment="1" applyProtection="1">
      <alignment horizontal="center" vertical="center"/>
      <protection locked="0"/>
    </xf>
    <xf numFmtId="0" fontId="2" fillId="16" borderId="0" xfId="16" applyFill="1" applyAlignment="1">
      <alignment horizontal="center" vertical="center"/>
      <protection/>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59"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9">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Špatně" xfId="17" builtinId="27"/>
    <cellStyle name="normal" xfId="18"/>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sharedStrings" Target="sharedStrings.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externalLink" Target="externalLinks/externalLink2.xml" /><Relationship Id="rId25" Type="http://schemas.openxmlformats.org/officeDocument/2006/relationships/externalLink" Target="externalLinks/externalLink1.xml" /><Relationship Id="rId28" Type="http://schemas.openxmlformats.org/officeDocument/2006/relationships/externalLink" Target="externalLinks/externalLink4.xml" /><Relationship Id="rId27" Type="http://schemas.openxmlformats.org/officeDocument/2006/relationships/externalLink" Target="externalLinks/externalLink3.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externalLink" Target="externalLinks/externalLink5.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calcChain" Target="calcChain.xml" /><Relationship Id="rId30" Type="http://schemas.openxmlformats.org/officeDocument/2006/relationships/xmlMaps" Target="xmlMaps.xml" /><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worksheet" Target="worksheets/sheet11.xml" /><Relationship Id="rId12" Type="http://schemas.openxmlformats.org/officeDocument/2006/relationships/worksheet" Target="worksheets/sheet10.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00000000-0008-0000-0000-00000938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e55876bb-5992-4b61-82f2-9d71784df0df}"/>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C:\Data\NAHRANI\PRIZNANI\DzPPO14_xml.xlsx"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IF('1Př1'!F33&lt;&gt;0,'1Př1'!F33,"")</calculatedColumnFormula>
      <xmlColumnPr mapId="6" xpath="/Pisemnost/DPFDP5/Vetac/@prijmy7" xmlDataType="decimal"/>
    </tableColumn>
    <tableColumn id="3" uniqueName="sazba_dal" name="sazba_dal" dataDxfId="75">
      <calculatedColumnFormula>IF(AND('1Př1'!D33&lt;&gt;0,'1Př1'!D33&lt;&gt;""),100*'1Př1'!D33,"")</calculatedColumnFormula>
      <xmlColumnPr mapId="6" xpath="/Pisemnost/DPFDP5/Vetac/@sazba_dal" xmlDataType="decimal"/>
    </tableColumn>
    <tableColumn id="4" uniqueName="vydaje7" name="vydaje7" dataDxfId="74">
      <calculatedColumnFormula>IF(ISNUMBER(W21),'1Př1'!H33,"")</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6" xpath="/Pisemnost/DPFDP5/Vetae/@c_porlist" xmlDataType="decimal"/>
    </tableColumn>
    <tableColumn id="2" uniqueName="c_prac_ku" name="c_prac_ku" dataDxfId="3">
      <calculatedColumnFormula>IF('2Př'!C30&lt;&gt;"",MID('2Př'!C30,FIND("-",'2Př'!C30,3)+1,LEN('2Př'!C30)-FIND("-",'2Př'!C30,3)),"")</calculatedColumnFormula>
      <xmlColumnPr mapId="6" xpath="/Pisemnost/DPFDP5/Vetae/@c_prac_ku" xmlDataType="decimal"/>
    </tableColumn>
    <tableColumn id="3" uniqueName="rok_list" name="rok_list" dataDxfId="2">
      <calculatedColumnFormula>IF('2Př'!C30&lt;&gt;"",MID('2Př'!C30,FIND("/",'2Př'!C30,1)+1,4),"")</calculatedColumnFormula>
      <xmlColumnPr mapId="6" xpath="/Pisemnost/DPFDP5/Vetae/@rok_list" xmlDataType="decimal"/>
    </tableColumn>
    <tableColumn id="4" uniqueName="typ_list" name="typ_list" dataDxfId="1">
      <calculatedColumnFormula>IF('2Př'!C30&lt;&gt;"",LEFT('2Př'!C30,1),"")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6" xpath="/Pisemnost/DPFDP5/VetaJ/@druh_prij10" xmlDataType="string"/>
    </tableColumn>
    <tableColumn id="2" uniqueName="kod10" name="kod10" dataDxfId="48">
      <calculatedColumnFormula>IF('2Př'!J24&lt;&gt;"",'2Př'!J24,"")</calculatedColumnFormula>
      <xmlColumnPr mapId="6" xpath="/Pisemnost/DPFDP5/VetaJ/@kod10" xmlDataType="string"/>
    </tableColumn>
    <tableColumn id="3" uniqueName="kod_dr_prij10" name="kod_dr_prij10" dataDxfId="47">
      <calculatedColumnFormula>IF('2Př'!B24&lt;&gt;"",MID('2Př'!B24,1,1),"")</calculatedColumnFormula>
      <xmlColumnPr mapId="6" xpath="/Pisemnost/DPFDP5/VetaJ/@kod_dr_prij10" xmlDataType="string"/>
    </tableColumn>
    <tableColumn id="4" uniqueName="prijmy10" name="prijmy10" dataDxfId="46">
      <calculatedColumnFormula>IF(AND('2Př'!D24&lt;&gt;"",'2Př'!D24&lt;&gt;0),'2Př'!D24,"")</calculatedColumnFormula>
      <xmlColumnPr mapId="6" xpath="/Pisemnost/DPFDP5/VetaJ/@prijmy10" xmlDataType="decimal"/>
    </tableColumn>
    <tableColumn id="5" uniqueName="rozdil10" name="rozdil10" dataDxfId="45">
      <calculatedColumnFormula>IF('2Př'!H24&lt;&gt;"",'2Př'!H24,"")</calculatedColumnFormula>
      <xmlColumnPr mapId="6" xpath="/Pisemnost/DPFDP5/VetaJ/@rozdil10" xmlDataType="decimal"/>
    </tableColumn>
    <tableColumn id="6" uniqueName="vydaje10" name="vydaje10" dataDxfId="44">
      <calculatedColumnFormula>IF(AND('2Př'!F24&lt;&gt;"",'2Př'!F24&lt;&gt;0),'2Př'!F24,"")</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audit">
      <xmlPr mapId="6" xpath="/Pisemnost/DPFDP5/VetaD/@audit" xmlDataType="string"/>
    </xmlCellPr>
  </singleXmlCell>
  <singleXmlCell id="2" r="B11" connectionId="0">
    <xmlCellPr id="1" uniqueName="da_slezap">
      <xmlPr mapId="6" xpath="/Pisemnost/DPFDP5/VetaD/@da_slezap" xmlDataType="decimal"/>
    </xmlCellPr>
  </singleXmlCell>
  <singleXmlCell id="3" r="B14" connectionId="0">
    <xmlCellPr id="1" uniqueName="duvpoddapdpf">
      <xmlPr mapId="6" xpath="/Pisemnost/DPFDP5/VetaD/@duvpoddapdpf" xmlDataType="string"/>
    </xmlCellPr>
  </singleXmlCell>
  <singleXmlCell id="4" r="B9" connectionId="0">
    <xmlCellPr id="1" uniqueName="da_slevy35ba">
      <xmlPr mapId="6" xpath="/Pisemnost/DPFDP5/VetaD/@da_slevy35ba" xmlDataType="decimal"/>
    </xmlCellPr>
  </singleXmlCell>
  <singleXmlCell id="5" r="B26" connectionId="0">
    <xmlCellPr id="1" uniqueName="kc_op15_1e1">
      <xmlPr mapId="6" xpath="/Pisemnost/DPFDP5/VetaD/@kc_op15_1e1" xmlDataType="decimal"/>
    </xmlCellPr>
  </singleXmlCell>
  <singleXmlCell id="6" r="B27" connectionId="0">
    <xmlCellPr id="1" uniqueName="kc_op15_1e2">
      <xmlPr mapId="6" xpath="/Pisemnost/DPFDP5/VetaD/@kc_op15_1e2" xmlDataType="decimal"/>
    </xmlCellPr>
  </singleXmlCell>
  <singleXmlCell id="7" r="B31" connectionId="0">
    <xmlCellPr id="1" uniqueName="kc_pzzt">
      <xmlPr mapId="6" xpath="/Pisemnost/DPFDP5/VetaD/@kc_pzzt" xmlDataType="decimal"/>
    </xmlCellPr>
  </singleXmlCell>
  <singleXmlCell id="8" r="B29" connectionId="0">
    <xmlCellPr id="1" uniqueName="kc_promdan">
      <xmlPr mapId="6" xpath="/Pisemnost/DPFDP5/VetaD/@kc_promdan" xmlDataType="decimal"/>
    </xmlCellPr>
  </singleXmlCell>
  <singleXmlCell id="9" r="B33" connectionId="0">
    <xmlCellPr id="1" uniqueName="kc_rozdil_dp">
      <xmlPr mapId="6" xpath="/Pisemnost/DPFDP5/VetaD/@kc_rozdil_dp" xmlDataType="decimal"/>
    </xmlCellPr>
  </singleXmlCell>
  <singleXmlCell id="10" r="B32" connectionId="0">
    <xmlCellPr id="1" uniqueName="kc_rozdbonus">
      <xmlPr mapId="6" xpath="/Pisemnost/DPFDP5/VetaD/@kc_rozdbonus" xmlDataType="decimal"/>
    </xmlCellPr>
  </singleXmlCell>
  <singleXmlCell id="11" r="B19" connectionId="0">
    <xmlCellPr id="1" uniqueName="kc_dite_ms">
      <xmlPr mapId="6" xpath="/Pisemnost/DPFDP5/VetaD/@kc_dite_ms" xmlDataType="decimal"/>
    </xmlCellPr>
  </singleXmlCell>
  <singleXmlCell id="12" r="B44" connectionId="0">
    <xmlCellPr id="1" uniqueName="kc_zalpred">
      <xmlPr mapId="6" xpath="/Pisemnost/DPFDP5/VetaD/@kc_zalpred" xmlDataType="decimal"/>
    </xmlCellPr>
  </singleXmlCell>
  <singleXmlCell id="13" r="B34" connectionId="0">
    <xmlCellPr id="1" uniqueName="kc_rozdil_zt">
      <xmlPr mapId="6" xpath="/Pisemnost/DPFDP5/VetaD/@kc_rozdil_zt" xmlDataType="decimal"/>
    </xmlCellPr>
  </singleXmlCell>
  <singleXmlCell id="14" r="B23" connectionId="0">
    <xmlCellPr id="1" uniqueName="kc_op15_1a">
      <xmlPr mapId="6" xpath="/Pisemnost/DPFDP5/VetaD/@kc_op15_1a" xmlDataType="decimal"/>
    </xmlCellPr>
  </singleXmlCell>
  <singleXmlCell id="15" r="B21" connectionId="0">
    <xmlCellPr id="1" uniqueName="kc_konkurs">
      <xmlPr mapId="6" xpath="/Pisemnost/DPFDP5/VetaD/@kc_konkurs" xmlDataType="decimal"/>
    </xmlCellPr>
  </singleXmlCell>
  <singleXmlCell id="16" r="B60" connectionId="0">
    <xmlCellPr id="1" uniqueName="manz_r_cislo">
      <xmlPr mapId="6" xpath="/Pisemnost/DPFDP5/VetaD/@manz_r_cislo" xmlDataType="string"/>
    </xmlCellPr>
  </singleXmlCell>
  <singleXmlCell id="17" r="B59" connectionId="0">
    <xmlCellPr id="1" uniqueName="manz_prijmeni">
      <xmlPr mapId="6" xpath="/Pisemnost/DPFDP5/VetaD/@manz_prijmeni" xmlDataType="string"/>
    </xmlCellPr>
  </singleXmlCell>
  <singleXmlCell id="18" r="B76" connectionId="0">
    <xmlCellPr id="1" uniqueName="m_detiztpp3">
      <xmlPr mapId="6" xpath="/Pisemnost/DPFDP5/VetaD/@m_detiztpp3" xmlDataType="decimal"/>
    </xmlCellPr>
  </singleXmlCell>
  <singleXmlCell id="19" r="B55" connectionId="0">
    <xmlCellPr id="1" uniqueName="m_stud">
      <xmlPr mapId="6" xpath="/Pisemnost/DPFDP5/VetaD/@m_stud" xmlDataType="decimal"/>
    </xmlCellPr>
  </singleXmlCell>
  <singleXmlCell id="20" r="B50" connectionId="0">
    <xmlCellPr id="1" uniqueName="m_cinvduch">
      <xmlPr mapId="6" xpath="/Pisemnost/DPFDP5/VetaD/@m_cinvduch" xmlDataType="decimal"/>
    </xmlCellPr>
  </singleXmlCell>
  <singleXmlCell id="21" r="B62" connectionId="0">
    <xmlCellPr id="1" uniqueName="pln_moc">
      <xmlPr mapId="6" xpath="/Pisemnost/DPFDP5/VetaD/@pln_moc" xmlDataType="string"/>
    </xmlCellPr>
  </singleXmlCell>
  <singleXmlCell id="22" r="B72" connectionId="0">
    <xmlCellPr id="1" uniqueName="zdobd_od">
      <xmlPr mapId="6" xpath="/Pisemnost/DPFDP5/VetaD/@zdobd_od" xmlDataType="string"/>
    </xmlCellPr>
  </singleXmlCell>
  <singleXmlCell id="23" r="B71" connectionId="0">
    <xmlCellPr id="1" uniqueName="zdobd_do">
      <xmlPr mapId="6" xpath="/Pisemnost/DPFDP5/VetaD/@zdobd_do" xmlDataType="string"/>
    </xmlCellPr>
  </singleXmlCell>
  <singleXmlCell id="24" r="B67" connectionId="0">
    <xmlCellPr id="1" uniqueName="uhrn_slevy35ba">
      <xmlPr mapId="6" xpath="/Pisemnost/DPFDP5/VetaD/@uhrn_slevy35ba" xmlDataType="decimal"/>
    </xmlCellPr>
  </singleXmlCell>
  <singleXmlCell id="25" r="B64" connectionId="0">
    <xmlCellPr id="1" uniqueName="rok">
      <xmlPr mapId="6" xpath="/Pisemnost/DPFDP5/VetaD/@rok" xmlDataType="decimal"/>
    </xmlCellPr>
  </singleXmlCell>
  <singleXmlCell id="26" r="B66" connectionId="0">
    <xmlCellPr id="1" uniqueName="starduch">
      <xmlPr mapId="6" xpath="/Pisemnost/DPFDP5/VetaD/@starduch" xmlDataType="string"/>
    </xmlCellPr>
  </singleXmlCell>
  <singleXmlCell id="27" r="B56" connectionId="0">
    <xmlCellPr id="1" uniqueName="m_vyzmanzl">
      <xmlPr mapId="6" xpath="/Pisemnost/DPFDP5/VetaD/@m_vyzmanzl" xmlDataType="decimal"/>
    </xmlCellPr>
  </singleXmlCell>
  <singleXmlCell id="28" r="B48" connectionId="0">
    <xmlCellPr id="1" uniqueName="kc_zjizt">
      <xmlPr mapId="6" xpath="/Pisemnost/DPFDP5/VetaD/@kc_zjizt" xmlDataType="decimal"/>
    </xmlCellPr>
  </singleXmlCell>
  <singleXmlCell id="29" r="B42" connectionId="0">
    <xmlCellPr id="1" uniqueName="kc_stud">
      <xmlPr mapId="6" xpath="/Pisemnost/DPFDP5/VetaD/@kc_stud" xmlDataType="decimal"/>
    </xmlCellPr>
  </singleXmlCell>
  <singleXmlCell id="30" r="B24" connectionId="0">
    <xmlCellPr id="1" uniqueName="kc_op15_1c">
      <xmlPr mapId="6" xpath="/Pisemnost/DPFDP5/VetaD/@kc_op15_1c" xmlDataType="decimal"/>
    </xmlCellPr>
  </singleXmlCell>
  <singleXmlCell id="31" r="B13" connectionId="0">
    <xmlCellPr id="1" uniqueName="dokument">
      <xmlPr mapId="6" xpath="/Pisemnost/DPFDP5/VetaD/@dokument" xmlDataType="anyType"/>
    </xmlCellPr>
  </singleXmlCell>
  <singleXmlCell id="32" r="B10" connectionId="0">
    <xmlCellPr id="1" uniqueName="da_slevy35c">
      <xmlPr mapId="6" xpath="/Pisemnost/DPFDP5/VetaD/@da_slevy35c" xmlDataType="decimal"/>
    </xmlCellPr>
  </singleXmlCell>
  <singleXmlCell id="33" r="B5" connectionId="0">
    <xmlCellPr id="1" uniqueName="d_uv">
      <xmlPr mapId="6" xpath="/Pisemnost/DPFDP5/VetaD/@d_uv" xmlDataType="string"/>
    </xmlCellPr>
  </singleXmlCell>
  <singleXmlCell id="34" r="B7" connectionId="0">
    <xmlCellPr id="1" uniqueName="da_celod13">
      <xmlPr mapId="6" xpath="/Pisemnost/DPFDP5/VetaD/@da_celod13" xmlDataType="decimal"/>
    </xmlCellPr>
  </singleXmlCell>
  <singleXmlCell id="35" r="B6" connectionId="0">
    <xmlCellPr id="1" uniqueName="d_zjist">
      <xmlPr mapId="6" xpath="/Pisemnost/DPFDP5/VetaD/@d_zjist" xmlDataType="string"/>
    </xmlCellPr>
  </singleXmlCell>
  <singleXmlCell id="36" r="B8" connectionId="0">
    <xmlCellPr id="1" uniqueName="da_slevy">
      <xmlPr mapId="6" xpath="/Pisemnost/DPFDP5/VetaD/@da_slevy" xmlDataType="decimal"/>
    </xmlCellPr>
  </singleXmlCell>
  <singleXmlCell id="37" r="B12" connectionId="0">
    <xmlCellPr id="1" uniqueName="dap_typ">
      <xmlPr mapId="6" xpath="/Pisemnost/DPFDP5/VetaD/@dap_typ" xmlDataType="string"/>
    </xmlCellPr>
  </singleXmlCell>
  <singleXmlCell id="38" r="B4" connectionId="0">
    <xmlCellPr id="1" uniqueName="d_duvpod">
      <xmlPr mapId="6" xpath="/Pisemnost/DPFDP5/VetaD/@d_duvpod" xmlDataType="string"/>
    </xmlCellPr>
  </singleXmlCell>
  <singleXmlCell id="39" r="B3" connectionId="0">
    <xmlCellPr id="1" uniqueName="c_ufo_cil">
      <xmlPr mapId="6" xpath="/Pisemnost/DPFDP5/VetaD/@c_ufo_cil" xmlDataType="decimal"/>
    </xmlCellPr>
  </singleXmlCell>
  <singleXmlCell id="40" r="B15" connectionId="0">
    <xmlCellPr id="1" uniqueName="k_uladis">
      <xmlPr mapId="6" xpath="/Pisemnost/DPFDP5/VetaD/@k_uladis" xmlDataType="anyType"/>
    </xmlCellPr>
  </singleXmlCell>
  <singleXmlCell id="41" r="B22" connectionId="0">
    <xmlCellPr id="1" uniqueName="kc_manztpp">
      <xmlPr mapId="6" xpath="/Pisemnost/DPFDP5/VetaD/@kc_manztpp" xmlDataType="decimal"/>
    </xmlCellPr>
  </singleXmlCell>
  <singleXmlCell id="42" r="B40" connectionId="0">
    <xmlCellPr id="1" uniqueName="kc_sraz_6_4">
      <xmlPr mapId="6" xpath="/Pisemnost/DPFDP5/VetaD/@kc_sraz_6_4" xmlDataType="decimal"/>
    </xmlCellPr>
  </singleXmlCell>
  <singleXmlCell id="43" r="B75" connectionId="0">
    <xmlCellPr id="1" uniqueName="m_detiztpp2">
      <xmlPr mapId="6" xpath="/Pisemnost/DPFDP5/VetaD/@m_detiztpp2" xmlDataType="decimal"/>
    </xmlCellPr>
  </singleXmlCell>
  <singleXmlCell id="44" r="B28" connectionId="0">
    <xmlCellPr id="1" uniqueName="kc_pausal">
      <xmlPr mapId="6" xpath="/Pisemnost/DPFDP5/VetaD/@kc_pausal" xmlDataType="decimal"/>
    </xmlCellPr>
  </singleXmlCell>
  <singleXmlCell id="45" r="B51" connectionId="0">
    <xmlCellPr id="1" uniqueName="m_deti">
      <xmlPr mapId="6" xpath="/Pisemnost/DPFDP5/VetaD/@m_deti" xmlDataType="decimal"/>
    </xmlCellPr>
  </singleXmlCell>
  <singleXmlCell id="46" r="B30" connectionId="0">
    <xmlCellPr id="1" uniqueName="kc_pzdp">
      <xmlPr mapId="6" xpath="/Pisemnost/DPFDP5/VetaD/@kc_pzdp" xmlDataType="decimal"/>
    </xmlCellPr>
  </singleXmlCell>
  <singleXmlCell id="47" r="B18" connectionId="0">
    <xmlCellPr id="1" uniqueName="kc_dazvyhod">
      <xmlPr mapId="6" xpath="/Pisemnost/DPFDP5/VetaD/@kc_dazvyhod" xmlDataType="decimal"/>
    </xmlCellPr>
  </singleXmlCell>
  <singleXmlCell id="48" r="B47" connectionId="0">
    <xmlCellPr id="1" uniqueName="kc_zjidp">
      <xmlPr mapId="6" xpath="/Pisemnost/DPFDP5/VetaD/@kc_zjidp" xmlDataType="decimal"/>
    </xmlCellPr>
  </singleXmlCell>
  <singleXmlCell id="49" r="B73" connectionId="0">
    <xmlCellPr id="1" uniqueName="m_deti2">
      <xmlPr mapId="6" xpath="/Pisemnost/DPFDP5/VetaD/@m_deti2" xmlDataType="decimal"/>
    </xmlCellPr>
  </singleXmlCell>
  <singleXmlCell id="50" r="B74" connectionId="0">
    <xmlCellPr id="1" uniqueName="m_deti3">
      <xmlPr mapId="6" xpath="/Pisemnost/DPFDP5/VetaD/@m_deti3" xmlDataType="decimal"/>
    </xmlCellPr>
  </singleXmlCell>
  <singleXmlCell id="51" r="B53" connectionId="0">
    <xmlCellPr id="1" uniqueName="m_invduch">
      <xmlPr mapId="6" xpath="/Pisemnost/DPFDP5/VetaD/@m_invduch" xmlDataType="decimal"/>
    </xmlCellPr>
  </singleXmlCell>
  <singleXmlCell id="52" r="B54" connectionId="0">
    <xmlCellPr id="1" uniqueName="m_manz">
      <xmlPr mapId="6" xpath="/Pisemnost/DPFDP5/VetaD/@m_manz" xmlDataType="decimal"/>
    </xmlCellPr>
  </singleXmlCell>
  <singleXmlCell id="53" r="B61" connectionId="0">
    <xmlCellPr id="1" uniqueName="manz_titul">
      <xmlPr mapId="6" xpath="/Pisemnost/DPFDP5/VetaD/@manz_titul" xmlDataType="string"/>
    </xmlCellPr>
  </singleXmlCell>
  <singleXmlCell id="54" r="B25" connectionId="0">
    <xmlCellPr id="1" uniqueName="kc_op15_1d">
      <xmlPr mapId="6" xpath="/Pisemnost/DPFDP5/VetaD/@kc_op15_1d" xmlDataType="decimal"/>
    </xmlCellPr>
  </singleXmlCell>
  <singleXmlCell id="55" r="B46" connectionId="0">
    <xmlCellPr id="1" uniqueName="kc_zbyvpred">
      <xmlPr mapId="6" xpath="/Pisemnost/DPFDP5/VetaD/@kc_zbyvpred" xmlDataType="decimal"/>
    </xmlCellPr>
  </singleXmlCell>
  <singleXmlCell id="56" r="B65" connectionId="0">
    <xmlCellPr id="1" uniqueName="sleva_rp">
      <xmlPr mapId="6" xpath="/Pisemnost/DPFDP5/VetaD/@sleva_rp" xmlDataType="decimal"/>
    </xmlCellPr>
  </singleXmlCell>
  <singleXmlCell id="57" r="B35" connectionId="0">
    <xmlCellPr id="1" uniqueName="kc_slevy35c">
      <xmlPr mapId="6" xpath="/Pisemnost/DPFDP5/VetaD/@kc_slevy35c" xmlDataType="decimal"/>
    </xmlCellPr>
  </singleXmlCell>
  <singleXmlCell id="58" r="B57" connectionId="0">
    <xmlCellPr id="1" uniqueName="m_ztpp">
      <xmlPr mapId="6" xpath="/Pisemnost/DPFDP5/VetaD/@m_ztpp" xmlDataType="decimal"/>
    </xmlCellPr>
  </singleXmlCell>
  <singleXmlCell id="59" r="B78" connectionId="0">
    <xmlCellPr id="1" uniqueName="kc_sleva_eet">
      <xmlPr mapId="6" xpath="/Pisemnost/DPFDP5/VetaD/@kc_sleva_eet" xmlDataType="decimal"/>
    </xmlCellPr>
  </singleXmlCell>
  <singleXmlCell id="60" r="B77" connectionId="0">
    <xmlCellPr id="1" uniqueName="manz_d_nar">
      <xmlPr mapId="6" xpath="/Pisemnost/DPFDP5/VetaD/@manz_d_nar" xmlDataType="string"/>
    </xmlCellPr>
  </singleXmlCell>
  <singleXmlCell id="61" r="B39" connectionId="0">
    <xmlCellPr id="1" uniqueName="kc_sraz385">
      <xmlPr mapId="6" xpath="/Pisemnost/DPFDP5/VetaD/@kc_sraz385" xmlDataType="decimal"/>
    </xmlCellPr>
  </singleXmlCell>
  <singleXmlCell id="62" r="B37" connectionId="0">
    <xmlCellPr id="1" uniqueName="kc_sraz367">
      <xmlPr mapId="6" xpath="/Pisemnost/DPFDP5/VetaD/@kc_sraz367" xmlDataType="decimal"/>
    </xmlCellPr>
  </singleXmlCell>
  <singleXmlCell id="63" r="B36" connectionId="0">
    <xmlCellPr id="1" uniqueName="kc_solidzvys">
      <xmlPr mapId="6" xpath="/Pisemnost/DPFDP5/VetaD/@kc_solidzvys" xmlDataType="decimal"/>
    </xmlCellPr>
  </singleXmlCell>
  <singleXmlCell id="64" r="B20" connectionId="0">
    <xmlCellPr id="1" uniqueName="kc_dztrata">
      <xmlPr mapId="6" xpath="/Pisemnost/DPFDP5/VetaD/@kc_dztrata" xmlDataType="decimal"/>
    </xmlCellPr>
  </singleXmlCell>
  <singleXmlCell id="65" r="B17" connectionId="0">
    <xmlCellPr id="1" uniqueName="kc_danbonus">
      <xmlPr mapId="6" xpath="/Pisemnost/DPFDP5/VetaD/@kc_danbonus" xmlDataType="decimal"/>
    </xmlCellPr>
  </singleXmlCell>
  <singleXmlCell id="66" r="B16" connectionId="0">
    <xmlCellPr id="1" uniqueName="kc_csprij">
      <xmlPr mapId="6" xpath="/Pisemnost/DPFDP5/VetaD/@kc_csprij" xmlDataType="decimal"/>
    </xmlCellPr>
  </singleXmlCell>
  <singleXmlCell id="67" r="B41" connectionId="0">
    <xmlCellPr id="1" uniqueName="kc_sraz_rezehp">
      <xmlPr mapId="6" xpath="/Pisemnost/DPFDP5/VetaD/@kc_sraz_rezehp" xmlDataType="decimal"/>
    </xmlCellPr>
  </singleXmlCell>
  <singleXmlCell id="68" r="B43" connectionId="0">
    <xmlCellPr id="1" uniqueName="kc_vyplbonus">
      <xmlPr mapId="6" xpath="/Pisemnost/DPFDP5/VetaD/@kc_vyplbonus" xmlDataType="decimal"/>
    </xmlCellPr>
  </singleXmlCell>
  <singleXmlCell id="69" r="B49" connectionId="0">
    <xmlCellPr id="1" uniqueName="kod_popl">
      <xmlPr mapId="6" xpath="/Pisemnost/DPFDP5/VetaD/@kod_popl" xmlDataType="string"/>
    </xmlCellPr>
  </singleXmlCell>
  <singleXmlCell id="70" r="B52" connectionId="0">
    <xmlCellPr id="1" uniqueName="m_detiztpp">
      <xmlPr mapId="6" xpath="/Pisemnost/DPFDP5/VetaD/@m_detiztpp" xmlDataType="decimal"/>
    </xmlCellPr>
  </singleXmlCell>
  <singleXmlCell id="71" r="B58" connectionId="0">
    <xmlCellPr id="1" uniqueName="manz_jmeno">
      <xmlPr mapId="6" xpath="/Pisemnost/DPFDP5/VetaD/@manz_jmeno" xmlDataType="string"/>
    </xmlCellPr>
  </singleXmlCell>
  <singleXmlCell id="72" r="B63" connectionId="0">
    <xmlCellPr id="1" uniqueName="prop_zahr">
      <xmlPr mapId="6" xpath="/Pisemnost/DPFDP5/VetaD/@prop_zahr" xmlDataType="string"/>
    </xmlCellPr>
  </singleXmlCell>
  <singleXmlCell id="73" r="B79" connectionId="0">
    <xmlCellPr id="1" uniqueName="kc_sraz3810">
      <xmlPr mapId="6" xpath="/Pisemnost/DPFDP5/VetaD/@kc_sraz3810" xmlDataType="decimal"/>
    </xmlCellPr>
  </singleXmlCell>
  <singleXmlCell id="74" r="B45" connectionId="0">
    <xmlCellPr id="1" uniqueName="kc_zalzavc">
      <xmlPr mapId="6" xpath="/Pisemnost/DPFDP5/VetaD/@kc_zalzavc" xmlDataType="decimal"/>
    </xmlCellPr>
  </singleXmlCell>
  <singleXmlCell id="75" r="F31" connectionId="0">
    <xmlCellPr id="1" uniqueName="z_c_faxu">
      <xmlPr mapId="6" xpath="/Pisemnost/DPFDP5/VetaP/@z_c_faxu" xmlDataType="string"/>
    </xmlCellPr>
  </singleXmlCell>
  <singleXmlCell id="76" r="F11" connectionId="0">
    <xmlCellPr id="1" uniqueName="jmeno">
      <xmlPr mapId="6" xpath="/Pisemnost/DPFDP5/VetaP/@jmeno" xmlDataType="string"/>
    </xmlCellPr>
  </singleXmlCell>
  <singleXmlCell id="77" r="F33" connectionId="0">
    <xmlCellPr id="1" uniqueName="z_c_orient">
      <xmlPr mapId="6" xpath="/Pisemnost/DPFDP5/VetaP/@z_c_orient" xmlDataType="string"/>
    </xmlCellPr>
  </singleXmlCell>
  <singleXmlCell id="78" r="F25" connectionId="0">
    <xmlCellPr id="1" uniqueName="rod_c">
      <xmlPr mapId="6" xpath="/Pisemnost/DPFDP5/VetaP/@rod_c" xmlDataType="string"/>
    </xmlCellPr>
  </singleXmlCell>
  <singleXmlCell id="79" r="F2" connectionId="0">
    <xmlCellPr id="1" uniqueName="c_faxu">
      <xmlPr mapId="6" xpath="/Pisemnost/DPFDP5/VetaP/@c_faxu" xmlDataType="string"/>
    </xmlCellPr>
  </singleXmlCell>
  <singleXmlCell id="80" r="F9" connectionId="0">
    <xmlCellPr id="1" uniqueName="dic">
      <xmlPr mapId="6" xpath="/Pisemnost/DPFDP5/VetaP/@dic" xmlDataType="string"/>
    </xmlCellPr>
  </singleXmlCell>
  <singleXmlCell id="81" r="F40" connectionId="0">
    <xmlCellPr id="1" uniqueName="zast_dat_nar">
      <xmlPr mapId="6" xpath="/Pisemnost/DPFDP5/VetaP/@zast_dat_nar" xmlDataType="string"/>
    </xmlCellPr>
  </singleXmlCell>
  <singleXmlCell id="82" r="F34" connectionId="0">
    <xmlCellPr id="1" uniqueName="z_c_pop">
      <xmlPr mapId="6" xpath="/Pisemnost/DPFDP5/VetaP/@z_c_pop" xmlDataType="decimal"/>
    </xmlCellPr>
  </singleXmlCell>
  <singleXmlCell id="83" r="F45" connectionId="0">
    <xmlCellPr id="1" uniqueName="zast_nazev">
      <xmlPr mapId="6" xpath="/Pisemnost/DPFDP5/VetaP/@zast_nazev" xmlDataType="string"/>
    </xmlCellPr>
  </singleXmlCell>
  <singleXmlCell id="84" r="F47" connectionId="0">
    <xmlCellPr id="1" uniqueName="zast_typ">
      <xmlPr mapId="6" xpath="/Pisemnost/DPFDP5/VetaP/@zast_typ" xmlDataType="string"/>
    </xmlCellPr>
  </singleXmlCell>
  <singleXmlCell id="85" r="F43" connectionId="0">
    <xmlCellPr id="1" uniqueName="zast_jmeno">
      <xmlPr mapId="6" xpath="/Pisemnost/DPFDP5/VetaP/@zast_jmeno" xmlDataType="string"/>
    </xmlCellPr>
  </singleXmlCell>
  <singleXmlCell id="86" r="F39" connectionId="0">
    <xmlCellPr id="1" uniqueName="z_ulice">
      <xmlPr mapId="6" xpath="/Pisemnost/DPFDP5/VetaP/@z_ulice" xmlDataType="string"/>
    </xmlCellPr>
  </singleXmlCell>
  <singleXmlCell id="87" r="F37" connectionId="0">
    <xmlCellPr id="1" uniqueName="z_naz_obce">
      <xmlPr mapId="6" xpath="/Pisemnost/DPFDP5/VetaP/@z_naz_obce" xmlDataType="string"/>
    </xmlCellPr>
  </singleXmlCell>
  <singleXmlCell id="88" r="F42" connectionId="0">
    <xmlCellPr id="1" uniqueName="zast_ic">
      <xmlPr mapId="6" xpath="/Pisemnost/DPFDP5/VetaP/@zast_ic" xmlDataType="string"/>
    </xmlCellPr>
  </singleXmlCell>
  <singleXmlCell id="89" r="F35" connectionId="0">
    <xmlCellPr id="1" uniqueName="z_c_telef">
      <xmlPr mapId="6" xpath="/Pisemnost/DPFDP5/VetaP/@z_c_telef" xmlDataType="string"/>
    </xmlCellPr>
  </singleXmlCell>
  <singleXmlCell id="90" r="F32" connectionId="0">
    <xmlCellPr id="1" uniqueName="z_c_obce">
      <xmlPr mapId="6" xpath="/Pisemnost/DPFDP5/VetaP/@z_c_obce" xmlDataType="decimal"/>
    </xmlCellPr>
  </singleXmlCell>
  <singleXmlCell id="91" r="F36" connectionId="0">
    <xmlCellPr id="1" uniqueName="z_email">
      <xmlPr mapId="6" xpath="/Pisemnost/DPFDP5/VetaP/@z_email" xmlDataType="string"/>
    </xmlCellPr>
  </singleXmlCell>
  <singleXmlCell id="92" r="F38" connectionId="0">
    <xmlCellPr id="1" uniqueName="z_psc">
      <xmlPr mapId="6" xpath="/Pisemnost/DPFDP5/VetaP/@z_psc" xmlDataType="string"/>
    </xmlCellPr>
  </singleXmlCell>
  <singleXmlCell id="93" r="F41" connectionId="0">
    <xmlCellPr id="1" uniqueName="zast_ev_cislo">
      <xmlPr mapId="6" xpath="/Pisemnost/DPFDP5/VetaP/@zast_ev_cislo" xmlDataType="string"/>
    </xmlCellPr>
  </singleXmlCell>
  <singleXmlCell id="94" r="F44" connectionId="0">
    <xmlCellPr id="1" uniqueName="zast_kod">
      <xmlPr mapId="6" xpath="/Pisemnost/DPFDP5/VetaP/@zast_kod" xmlDataType="string"/>
    </xmlCellPr>
  </singleXmlCell>
  <singleXmlCell id="95" r="F46" connectionId="0">
    <xmlCellPr id="1" uniqueName="zast_prijmeni">
      <xmlPr mapId="6" xpath="/Pisemnost/DPFDP5/VetaP/@zast_prijmeni" xmlDataType="string"/>
    </xmlCellPr>
  </singleXmlCell>
  <singleXmlCell id="96" r="F18" connectionId="0">
    <xmlCellPr id="1" uniqueName="krok_ulice">
      <xmlPr mapId="6" xpath="/Pisemnost/DPFDP5/VetaP/@krok_ulice" xmlDataType="string"/>
    </xmlCellPr>
  </singleXmlCell>
  <singleXmlCell id="97" r="F19" connectionId="0">
    <xmlCellPr id="1" uniqueName="naz_obce">
      <xmlPr mapId="6" xpath="/Pisemnost/DPFDP5/VetaP/@naz_obce" xmlDataType="string"/>
    </xmlCellPr>
  </singleXmlCell>
  <singleXmlCell id="98" r="F14" connectionId="0">
    <xmlCellPr id="1" uniqueName="krok_c_orient">
      <xmlPr mapId="6" xpath="/Pisemnost/DPFDP5/VetaP/@krok_c_orient" xmlDataType="string"/>
    </xmlCellPr>
  </singleXmlCell>
  <singleXmlCell id="99" r="F26" connectionId="0">
    <xmlCellPr id="1" uniqueName="rodnepr">
      <xmlPr mapId="6" xpath="/Pisemnost/DPFDP5/VetaP/@rodnepr" xmlDataType="string"/>
    </xmlCellPr>
  </singleXmlCell>
  <singleXmlCell id="100" r="F17" connectionId="0">
    <xmlCellPr id="1" uniqueName="krok_psc">
      <xmlPr mapId="6" xpath="/Pisemnost/DPFDP5/VetaP/@krok_psc" xmlDataType="string"/>
    </xmlCellPr>
  </singleXmlCell>
  <singleXmlCell id="101" r="F30" connectionId="0">
    <xmlCellPr id="1" uniqueName="ulice">
      <xmlPr mapId="6" xpath="/Pisemnost/DPFDP5/VetaP/@ulice" xmlDataType="string"/>
    </xmlCellPr>
  </singleXmlCell>
  <singleXmlCell id="102" r="F21" connectionId="0">
    <xmlCellPr id="1" uniqueName="opr_postaveni">
      <xmlPr mapId="6" xpath="/Pisemnost/DPFDP5/VetaP/@opr_postaveni" xmlDataType="string"/>
    </xmlCellPr>
  </singleXmlCell>
  <singleXmlCell id="103" r="F10" connectionId="0">
    <xmlCellPr id="1" uniqueName="email">
      <xmlPr mapId="6" xpath="/Pisemnost/DPFDP5/VetaP/@email" xmlDataType="string"/>
    </xmlCellPr>
  </singleXmlCell>
  <singleXmlCell id="104" r="F3" connectionId="0">
    <xmlCellPr id="1" uniqueName="c_obce">
      <xmlPr mapId="6" xpath="/Pisemnost/DPFDP5/VetaP/@c_obce" xmlDataType="decimal"/>
    </xmlCellPr>
  </singleXmlCell>
  <singleXmlCell id="105" r="F4" connectionId="0">
    <xmlCellPr id="1" uniqueName="c_orient">
      <xmlPr mapId="6" xpath="/Pisemnost/DPFDP5/VetaP/@c_orient" xmlDataType="string"/>
    </xmlCellPr>
  </singleXmlCell>
  <singleXmlCell id="106" r="F7" connectionId="0">
    <xmlCellPr id="1" uniqueName="c_pracufo">
      <xmlPr mapId="6" xpath="/Pisemnost/DPFDP5/VetaP/@c_pracufo" xmlDataType="decimal"/>
    </xmlCellPr>
  </singleXmlCell>
  <singleXmlCell id="107" r="F6" connectionId="0">
    <xmlCellPr id="1" uniqueName="c_pop">
      <xmlPr mapId="6" xpath="/Pisemnost/DPFDP5/VetaP/@c_pop" xmlDataType="decimal"/>
    </xmlCellPr>
  </singleXmlCell>
  <singleXmlCell id="108" r="F5" connectionId="0">
    <xmlCellPr id="1" uniqueName="c_pasu">
      <xmlPr mapId="6" xpath="/Pisemnost/DPFDP5/VetaP/@c_pasu" xmlDataType="string"/>
    </xmlCellPr>
  </singleXmlCell>
  <singleXmlCell id="109" r="F8" connectionId="0">
    <xmlCellPr id="1" uniqueName="c_telef">
      <xmlPr mapId="6" xpath="/Pisemnost/DPFDP5/VetaP/@c_telef" xmlDataType="string"/>
    </xmlCellPr>
  </singleXmlCell>
  <singleXmlCell id="110" r="F12" connectionId="0">
    <xmlCellPr id="1" uniqueName="k_stat">
      <xmlPr mapId="6" xpath="/Pisemnost/DPFDP5/VetaP/@k_stat" xmlDataType="string"/>
    </xmlCellPr>
  </singleXmlCell>
  <singleXmlCell id="111" r="F13" connectionId="0">
    <xmlCellPr id="1" uniqueName="krok_c_obce">
      <xmlPr mapId="6" xpath="/Pisemnost/DPFDP5/VetaP/@krok_c_obce" xmlDataType="decimal"/>
    </xmlCellPr>
  </singleXmlCell>
  <singleXmlCell id="112" r="F15" connectionId="0">
    <xmlCellPr id="1" uniqueName="krok_c_pop">
      <xmlPr mapId="6" xpath="/Pisemnost/DPFDP5/VetaP/@krok_c_pop" xmlDataType="decimal"/>
    </xmlCellPr>
  </singleXmlCell>
  <singleXmlCell id="113" r="F16" connectionId="0">
    <xmlCellPr id="1" uniqueName="krok_naz_obce">
      <xmlPr mapId="6" xpath="/Pisemnost/DPFDP5/VetaP/@krok_naz_obce" xmlDataType="string"/>
    </xmlCellPr>
  </singleXmlCell>
  <singleXmlCell id="114" r="F20" connectionId="0">
    <xmlCellPr id="1" uniqueName="opr_jmeno">
      <xmlPr mapId="6" xpath="/Pisemnost/DPFDP5/VetaP/@opr_jmeno" xmlDataType="string"/>
    </xmlCellPr>
  </singleXmlCell>
  <singleXmlCell id="115" r="F22" connectionId="0">
    <xmlCellPr id="1" uniqueName="opr_prijmeni">
      <xmlPr mapId="6" xpath="/Pisemnost/DPFDP5/VetaP/@opr_prijmeni" xmlDataType="string"/>
    </xmlCellPr>
  </singleXmlCell>
  <singleXmlCell id="116" r="F23" connectionId="0">
    <xmlCellPr id="1" uniqueName="prijmeni">
      <xmlPr mapId="6" xpath="/Pisemnost/DPFDP5/VetaP/@prijmeni" xmlDataType="string"/>
    </xmlCellPr>
  </singleXmlCell>
  <singleXmlCell id="117" r="F24" connectionId="0">
    <xmlCellPr id="1" uniqueName="psc">
      <xmlPr mapId="6" xpath="/Pisemnost/DPFDP5/VetaP/@psc" xmlDataType="string"/>
    </xmlCellPr>
  </singleXmlCell>
  <singleXmlCell id="118" r="F27" connectionId="0">
    <xmlCellPr id="1" uniqueName="st_prislus">
      <xmlPr mapId="6" xpath="/Pisemnost/DPFDP5/VetaP/@st_prislus" xmlDataType="string"/>
    </xmlCellPr>
  </singleXmlCell>
  <singleXmlCell id="119" r="F28" connectionId="0">
    <xmlCellPr id="1" uniqueName="stat">
      <xmlPr mapId="6" xpath="/Pisemnost/DPFDP5/VetaP/@stat" xmlDataType="string"/>
    </xmlCellPr>
  </singleXmlCell>
  <singleXmlCell id="120" r="F29" connectionId="0">
    <xmlCellPr id="1" uniqueName="titul">
      <xmlPr mapId="6" xpath="/Pisemnost/DPFDP5/VetaP/@titul" xmlDataType="string"/>
    </xmlCellPr>
  </singleXmlCell>
  <singleXmlCell id="121" r="J2" connectionId="0">
    <xmlCellPr id="1" uniqueName="celk_sl4">
      <xmlPr mapId="6" xpath="/Pisemnost/DPFDP5/VetaO/@celk_sl4" xmlDataType="decimal"/>
    </xmlCellPr>
  </singleXmlCell>
  <singleXmlCell id="122" r="J3" connectionId="0">
    <xmlCellPr id="1" uniqueName="celk_sl5">
      <xmlPr mapId="6" xpath="/Pisemnost/DPFDP5/VetaO/@celk_sl5" xmlDataType="decimal"/>
    </xmlCellPr>
  </singleXmlCell>
  <singleXmlCell id="123" r="J4" connectionId="0">
    <xmlCellPr id="1" uniqueName="kc_dan_zah">
      <xmlPr mapId="6" xpath="/Pisemnost/DPFDP5/VetaO/@kc_dan_zah" xmlDataType="decimal"/>
    </xmlCellPr>
  </singleXmlCell>
  <singleXmlCell id="124" r="J5" connectionId="0">
    <xmlCellPr id="1" uniqueName="kc_poj6">
      <xmlPr mapId="6" xpath="/Pisemnost/DPFDP5/VetaO/@kc_poj6" xmlDataType="decimal"/>
    </xmlCellPr>
  </singleXmlCell>
  <singleXmlCell id="125" r="J6" connectionId="0">
    <xmlCellPr id="1" uniqueName="kc_pomerzd">
      <xmlPr mapId="6" xpath="/Pisemnost/DPFDP5/VetaO/@kc_pomerzd" xmlDataType="decimal"/>
    </xmlCellPr>
  </singleXmlCell>
  <singleXmlCell id="126" r="J7" connectionId="0">
    <xmlCellPr id="1" uniqueName="kc_prij6">
      <xmlPr mapId="6" xpath="/Pisemnost/DPFDP5/VetaO/@kc_prij6" xmlDataType="decimal"/>
    </xmlCellPr>
  </singleXmlCell>
  <singleXmlCell id="127" r="J8" connectionId="0">
    <xmlCellPr id="1" uniqueName="kc_prij6vyn">
      <xmlPr mapId="6" xpath="/Pisemnost/DPFDP5/VetaO/@kc_prij6vyn" xmlDataType="decimal"/>
    </xmlCellPr>
  </singleXmlCell>
  <singleXmlCell id="128" r="J9" connectionId="0">
    <xmlCellPr id="1" uniqueName="kc_prij6zahr">
      <xmlPr mapId="6" xpath="/Pisemnost/DPFDP5/VetaO/@kc_prij6zahr" xmlDataType="decimal"/>
    </xmlCellPr>
  </singleXmlCell>
  <singleXmlCell id="129" r="J10" connectionId="0">
    <xmlCellPr id="1" uniqueName="kc_uhrn">
      <xmlPr mapId="6" xpath="/Pisemnost/DPFDP5/VetaO/@kc_uhrn" xmlDataType="decimal"/>
    </xmlCellPr>
  </singleXmlCell>
  <singleXmlCell id="130" r="J11" connectionId="0">
    <xmlCellPr id="1" uniqueName="kc_vynprij">
      <xmlPr mapId="6" xpath="/Pisemnost/DPFDP5/VetaO/@kc_vynprij" xmlDataType="decimal"/>
    </xmlCellPr>
  </singleXmlCell>
  <singleXmlCell id="131" r="J12" connectionId="0">
    <xmlCellPr id="1" uniqueName="kc_vynprij_6">
      <xmlPr mapId="6" xpath="/Pisemnost/DPFDP5/VetaO/@kc_vynprij_6" xmlDataType="decimal"/>
    </xmlCellPr>
  </singleXmlCell>
  <singleXmlCell id="132" r="J13" connectionId="0">
    <xmlCellPr id="1" uniqueName="kc_zakldan">
      <xmlPr mapId="6" xpath="/Pisemnost/DPFDP5/VetaO/@kc_zakldan" xmlDataType="decimal"/>
    </xmlCellPr>
  </singleXmlCell>
  <singleXmlCell id="133" r="J14" connectionId="0">
    <xmlCellPr id="1" uniqueName="kc_zakldan23">
      <xmlPr mapId="6" xpath="/Pisemnost/DPFDP5/VetaO/@kc_zakldan23" xmlDataType="decimal"/>
    </xmlCellPr>
  </singleXmlCell>
  <singleXmlCell id="134" r="J15" connectionId="0">
    <xmlCellPr id="1" uniqueName="kc_zakldan8">
      <xmlPr mapId="6" xpath="/Pisemnost/DPFDP5/VetaO/@kc_zakldan8" xmlDataType="decimal"/>
    </xmlCellPr>
  </singleXmlCell>
  <singleXmlCell id="135" r="J16" connectionId="0">
    <xmlCellPr id="1" uniqueName="kc_zd10">
      <xmlPr mapId="6" xpath="/Pisemnost/DPFDP5/VetaO/@kc_zd10" xmlDataType="decimal"/>
    </xmlCellPr>
  </singleXmlCell>
  <singleXmlCell id="136" r="J17" connectionId="0">
    <xmlCellPr id="1" uniqueName="kc_zd6">
      <xmlPr mapId="6" xpath="/Pisemnost/DPFDP5/VetaO/@kc_zd6" xmlDataType="decimal"/>
    </xmlCellPr>
  </singleXmlCell>
  <singleXmlCell id="137" r="J18" connectionId="0">
    <xmlCellPr id="1" uniqueName="kc_zd6p">
      <xmlPr mapId="6" xpath="/Pisemnost/DPFDP5/VetaO/@kc_zd6p" xmlDataType="decimal"/>
    </xmlCellPr>
  </singleXmlCell>
  <singleXmlCell id="138" r="J19" connectionId="0">
    <xmlCellPr id="1" uniqueName="kc_zd7">
      <xmlPr mapId="6" xpath="/Pisemnost/DPFDP5/VetaO/@kc_zd7" xmlDataType="decimal"/>
    </xmlCellPr>
  </singleXmlCell>
  <singleXmlCell id="139" r="J20" connectionId="0">
    <xmlCellPr id="1" uniqueName="kc_zd9">
      <xmlPr mapId="6" xpath="/Pisemnost/DPFDP5/VetaO/@kc_zd9" xmlDataType="decimal"/>
    </xmlCellPr>
  </singleXmlCell>
  <singleXmlCell id="140" r="J21" connectionId="0">
    <xmlCellPr id="1" uniqueName="kc_ztrata2">
      <xmlPr mapId="6" xpath="/Pisemnost/DPFDP5/VetaO/@kc_ztrata2" xmlDataType="decimal"/>
    </xmlCellPr>
  </singleXmlCell>
  <singleXmlCell id="141" r="N2" connectionId="0">
    <xmlCellPr id="1" uniqueName="da_dan16">
      <xmlPr mapId="6" xpath="/Pisemnost/DPFDP5/VetaS/@da_dan16" xmlDataType="decimal"/>
    </xmlCellPr>
  </singleXmlCell>
  <singleXmlCell id="142" r="N3" connectionId="0">
    <xmlCellPr id="1" uniqueName="kc_dalsivzd">
      <xmlPr mapId="6" xpath="/Pisemnost/DPFDP5/VetaS/@kc_dalsivzd" xmlDataType="decimal"/>
    </xmlCellPr>
  </singleXmlCell>
  <singleXmlCell id="143" r="N4" connectionId="0">
    <xmlCellPr id="1" uniqueName="kc_odcelk">
      <xmlPr mapId="6" xpath="/Pisemnost/DPFDP5/VetaS/@kc_odcelk" xmlDataType="decimal"/>
    </xmlCellPr>
  </singleXmlCell>
  <singleXmlCell id="144" r="N5" connectionId="0">
    <xmlCellPr id="1" uniqueName="kc_op15_12">
      <xmlPr mapId="6" xpath="/Pisemnost/DPFDP5/VetaS/@kc_op15_12" xmlDataType="decimal"/>
    </xmlCellPr>
  </singleXmlCell>
  <singleXmlCell id="145" r="N6" connectionId="0">
    <xmlCellPr id="1" uniqueName="kc_op15_13">
      <xmlPr mapId="6" xpath="/Pisemnost/DPFDP5/VetaS/@kc_op15_13" xmlDataType="decimal"/>
    </xmlCellPr>
  </singleXmlCell>
  <singleXmlCell id="146" r="N7" connectionId="0">
    <xmlCellPr id="1" uniqueName="kc_op15_14">
      <xmlPr mapId="6" xpath="/Pisemnost/DPFDP5/VetaS/@kc_op15_14" xmlDataType="decimal"/>
    </xmlCellPr>
  </singleXmlCell>
  <singleXmlCell id="147" r="N8" connectionId="0">
    <xmlCellPr id="1" uniqueName="kc_op15_8">
      <xmlPr mapId="6" xpath="/Pisemnost/DPFDP5/VetaS/@kc_op15_8" xmlDataType="decimal"/>
    </xmlCellPr>
  </singleXmlCell>
  <singleXmlCell id="148" r="N9" connectionId="0">
    <xmlCellPr id="1" uniqueName="kc_op28_5">
      <xmlPr mapId="6" xpath="/Pisemnost/DPFDP5/VetaS/@kc_op28_5" xmlDataType="decimal"/>
    </xmlCellPr>
  </singleXmlCell>
  <singleXmlCell id="149" r="N10" connectionId="0">
    <xmlCellPr id="1" uniqueName="kc_op34_4">
      <xmlPr mapId="6" xpath="/Pisemnost/DPFDP5/VetaS/@kc_op34_4" xmlDataType="decimal"/>
    </xmlCellPr>
  </singleXmlCell>
  <singleXmlCell id="150" r="N11" connectionId="0">
    <xmlCellPr id="1" uniqueName="kc_op_dal">
      <xmlPr mapId="6" xpath="/Pisemnost/DPFDP5/VetaS/@kc_op_dal" xmlDataType="decimal"/>
    </xmlCellPr>
  </singleXmlCell>
  <singleXmlCell id="151" r="N12" connectionId="0">
    <xmlCellPr id="1" uniqueName="kc_podvzdel">
      <xmlPr mapId="6" xpath="/Pisemnost/DPFDP5/VetaS/@kc_podvzdel" xmlDataType="decimal"/>
    </xmlCellPr>
  </singleXmlCell>
  <singleXmlCell id="152" r="N13" connectionId="0">
    <xmlCellPr id="1" uniqueName="kc_zdsniz">
      <xmlPr mapId="6" xpath="/Pisemnost/DPFDP5/VetaS/@kc_zdsniz" xmlDataType="decimal"/>
    </xmlCellPr>
  </singleXmlCell>
  <singleXmlCell id="153" r="N14" connectionId="0">
    <xmlCellPr id="1" uniqueName="kc_zdzaokr">
      <xmlPr mapId="6" xpath="/Pisemnost/DPFDP5/VetaS/@kc_zdzaokr" xmlDataType="decimal"/>
    </xmlCellPr>
  </singleXmlCell>
  <singleXmlCell id="154" r="N15" connectionId="0">
    <xmlCellPr id="1" uniqueName="m_dalsi">
      <xmlPr mapId="6" xpath="/Pisemnost/DPFDP5/VetaS/@m_dalsi" xmlDataType="decimal"/>
    </xmlCellPr>
  </singleXmlCell>
  <singleXmlCell id="155" r="N16" connectionId="0">
    <xmlCellPr id="1" uniqueName="m_uroky">
      <xmlPr mapId="6" xpath="/Pisemnost/DPFDP5/VetaS/@m_uroky" xmlDataType="decimal"/>
    </xmlCellPr>
  </singleXmlCell>
  <singleXmlCell id="156" r="N17" connectionId="0">
    <xmlCellPr id="1" uniqueName="text_op_dal">
      <xmlPr mapId="6" xpath="/Pisemnost/DPFDP5/VetaS/@text_op_dal" xmlDataType="string"/>
    </xmlCellPr>
  </singleXmlCell>
  <singleXmlCell id="157" r="J31" connectionId="0">
    <xmlCellPr id="1" uniqueName="dal_prilohy">
      <xmlPr mapId="6" xpath="/Pisemnost/DPFDP5/VetaB/@dal_prilohy" xmlDataType="decimal"/>
    </xmlCellPr>
  </singleXmlCell>
  <singleXmlCell id="158" r="J32" connectionId="0">
    <xmlCellPr id="1" uniqueName="doklad_dar">
      <xmlPr mapId="6" xpath="/Pisemnost/DPFDP5/VetaB/@doklad_dar" xmlDataType="decimal"/>
    </xmlCellPr>
  </singleXmlCell>
  <singleXmlCell id="159" r="J33" connectionId="0">
    <xmlCellPr id="1" uniqueName="duvody_dodap">
      <xmlPr mapId="6" xpath="/Pisemnost/DPFDP5/VetaB/@duvody_dodap" xmlDataType="decimal"/>
    </xmlCellPr>
  </singleXmlCell>
  <singleXmlCell id="160" r="J34" connectionId="0">
    <xmlCellPr id="1" uniqueName="pojpri">
      <xmlPr mapId="6" xpath="/Pisemnost/DPFDP5/VetaB/@pojpri" xmlDataType="decimal"/>
    </xmlCellPr>
  </singleXmlCell>
  <singleXmlCell id="161" r="J35" connectionId="0">
    <xmlCellPr id="1" uniqueName="potv_36">
      <xmlPr mapId="6" xpath="/Pisemnost/DPFDP5/VetaB/@potv_36" xmlDataType="decimal"/>
    </xmlCellPr>
  </singleXmlCell>
  <singleXmlCell id="162" r="J36" connectionId="0">
    <xmlCellPr id="1" uniqueName="potv_dalsivzd">
      <xmlPr mapId="6" xpath="/Pisemnost/DPFDP5/VetaB/@potv_dalsivzd" xmlDataType="decimal"/>
    </xmlCellPr>
  </singleXmlCell>
  <singleXmlCell id="163" r="J37" connectionId="0">
    <xmlCellPr id="1" uniqueName="potv_ms">
      <xmlPr mapId="6" xpath="/Pisemnost/DPFDP5/VetaB/@potv_ms" xmlDataType="decimal"/>
    </xmlCellPr>
  </singleXmlCell>
  <singleXmlCell id="164" r="J38" connectionId="0">
    <xmlCellPr id="1" uniqueName="potv_penpri">
      <xmlPr mapId="6" xpath="/Pisemnost/DPFDP5/VetaB/@potv_penpri" xmlDataType="decimal"/>
    </xmlCellPr>
  </singleXmlCell>
  <singleXmlCell id="165" r="J39" connectionId="0">
    <xmlCellPr id="1" uniqueName="potv_povod">
      <xmlPr mapId="6" xpath="/Pisemnost/DPFDP5/VetaB/@potv_povod" xmlDataType="decimal"/>
    </xmlCellPr>
  </singleXmlCell>
  <singleXmlCell id="166" r="J40" connectionId="0">
    <xmlCellPr id="1" uniqueName="potv_uver">
      <xmlPr mapId="6" xpath="/Pisemnost/DPFDP5/VetaB/@potv_uver" xmlDataType="decimal"/>
    </xmlCellPr>
  </singleXmlCell>
  <singleXmlCell id="167" r="J41" connectionId="0">
    <xmlCellPr id="1" uniqueName="potv_zahrsd">
      <xmlPr mapId="6" xpath="/Pisemnost/DPFDP5/VetaB/@potv_zahrsd" xmlDataType="decimal"/>
    </xmlCellPr>
  </singleXmlCell>
  <singleXmlCell id="168" r="J42" connectionId="0">
    <xmlCellPr id="1" uniqueName="potv_zam">
      <xmlPr mapId="6" xpath="/Pisemnost/DPFDP5/VetaB/@potv_zam" xmlDataType="decimal"/>
    </xmlCellPr>
  </singleXmlCell>
  <singleXmlCell id="169" r="J43" connectionId="0">
    <xmlCellPr id="1" uniqueName="potv_zivpoj">
      <xmlPr mapId="6" xpath="/Pisemnost/DPFDP5/VetaB/@potv_zivpoj" xmlDataType="decimal"/>
    </xmlCellPr>
  </singleXmlCell>
  <singleXmlCell id="171" r="J44" connectionId="0">
    <xmlCellPr id="1" uniqueName="pril3_samlist">
      <xmlPr mapId="6" xpath="/Pisemnost/DPFDP5/VetaB/@pril3_samlist" xmlDataType="decimal"/>
    </xmlCellPr>
  </singleXmlCell>
  <singleXmlCell id="172" r="J45" connectionId="0">
    <xmlCellPr id="1" uniqueName="pril_poduv">
      <xmlPr mapId="6" xpath="/Pisemnost/DPFDP5/VetaB/@pril_poduv" xmlDataType="decimal"/>
    </xmlCellPr>
  </singleXmlCell>
  <singleXmlCell id="173" r="J46" connectionId="0">
    <xmlCellPr id="1" uniqueName="pril_ztraty">
      <xmlPr mapId="6" xpath="/Pisemnost/DPFDP5/VetaB/@pril_ztraty" xmlDataType="decimal"/>
    </xmlCellPr>
  </singleXmlCell>
  <singleXmlCell id="174" r="J47" connectionId="0">
    <xmlCellPr id="1" uniqueName="priloh_celk">
      <xmlPr mapId="6" xpath="/Pisemnost/DPFDP5/VetaB/@priloh_celk" xmlDataType="decimal"/>
    </xmlCellPr>
  </singleXmlCell>
  <singleXmlCell id="175" r="J48" connectionId="0">
    <xmlCellPr id="1" uniqueName="priloha1">
      <xmlPr mapId="6" xpath="/Pisemnost/DPFDP5/VetaB/@priloha1" xmlDataType="string"/>
    </xmlCellPr>
  </singleXmlCell>
  <singleXmlCell id="176" r="J49" connectionId="0">
    <xmlCellPr id="1" uniqueName="priloha2">
      <xmlPr mapId="6" xpath="/Pisemnost/DPFDP5/VetaB/@priloha2" xmlDataType="string"/>
    </xmlCellPr>
  </singleXmlCell>
  <singleXmlCell id="177" r="J50" connectionId="0">
    <xmlCellPr id="1" uniqueName="seznam">
      <xmlPr mapId="6" xpath="/Pisemnost/DPFDP5/VetaB/@seznam" xmlDataType="decimal"/>
    </xmlCellPr>
  </singleXmlCell>
  <singleXmlCell id="178" r="J51" connectionId="0">
    <xmlCellPr id="1" uniqueName="vklad_ku">
      <xmlPr mapId="6" xpath="/Pisemnost/DPFDP5/VetaB/@vklad_ku" xmlDataType="decimal"/>
    </xmlCellPr>
  </singleXmlCell>
  <singleXmlCell id="179" r="J52" connectionId="0">
    <xmlCellPr id="1" uniqueName="potv_dazvyh">
      <xmlPr mapId="6" xpath="/Pisemnost/DPFDP5/VetaB/@potv_dazvyh" xmlDataType="decimal"/>
    </xmlCellPr>
  </singleXmlCell>
  <singleXmlCell id="180" r="N31" connectionId="0">
    <xmlCellPr id="1" uniqueName="c_nace">
      <xmlPr mapId="6" xpath="/Pisemnost/DPFDP5/VetaT/@c_nace" xmlDataType="decimal"/>
    </xmlCellPr>
  </singleXmlCell>
  <singleXmlCell id="181" r="N32" connectionId="0">
    <xmlCellPr id="1" uniqueName="celk_pr_prij7">
      <xmlPr mapId="6" xpath="/Pisemnost/DPFDP5/VetaT/@celk_pr_prij7" xmlDataType="decimal"/>
    </xmlCellPr>
  </singleXmlCell>
  <singleXmlCell id="182" r="N33" connectionId="0">
    <xmlCellPr id="1" uniqueName="celk_pr_vyd7">
      <xmlPr mapId="6" xpath="/Pisemnost/DPFDP5/VetaT/@celk_pr_vyd7" xmlDataType="decimal"/>
    </xmlCellPr>
  </singleXmlCell>
  <singleXmlCell id="183" r="N35" connectionId="0">
    <xmlCellPr id="1" uniqueName="d_precin">
      <xmlPr mapId="6" xpath="/Pisemnost/DPFDP5/VetaT/@d_precin" xmlDataType="string"/>
    </xmlCellPr>
  </singleXmlCell>
  <singleXmlCell id="184" r="N36" connectionId="0">
    <xmlCellPr id="1" uniqueName="d_ukoncin">
      <xmlPr mapId="6" xpath="/Pisemnost/DPFDP5/VetaT/@d_ukoncin" xmlDataType="string"/>
    </xmlCellPr>
  </singleXmlCell>
  <singleXmlCell id="185" r="N34" connectionId="0">
    <xmlCellPr id="1" uniqueName="d_obnocin">
      <xmlPr mapId="6" xpath="/Pisemnost/DPFDP5/VetaT/@d_obnocin" xmlDataType="string"/>
    </xmlCellPr>
  </singleXmlCell>
  <singleXmlCell id="186" r="N37" connectionId="0">
    <xmlCellPr id="1" uniqueName="d_zahcin">
      <xmlPr mapId="6" xpath="/Pisemnost/DPFDP5/VetaT/@d_zahcin" xmlDataType="string"/>
    </xmlCellPr>
  </singleXmlCell>
  <singleXmlCell id="187" r="N38" connectionId="0">
    <xmlCellPr id="1" uniqueName="kc_cisobr">
      <xmlPr mapId="6" xpath="/Pisemnost/DPFDP5/VetaT/@kc_cisobr" xmlDataType="decimal"/>
    </xmlCellPr>
  </singleXmlCell>
  <singleXmlCell id="188" r="N44" connectionId="0">
    <xmlCellPr id="1" uniqueName="kc_pod_vaso">
      <xmlPr mapId="6" xpath="/Pisemnost/DPFDP5/VetaT/@kc_pod_vaso" xmlDataType="decimal"/>
    </xmlCellPr>
  </singleXmlCell>
  <singleXmlCell id="189" r="N52" connectionId="0">
    <xmlCellPr id="1" uniqueName="kc_zd7vyn">
      <xmlPr mapId="6" xpath="/Pisemnost/DPFDP5/VetaT/@kc_zd7vyn" xmlDataType="decimal"/>
    </xmlCellPr>
  </singleXmlCell>
  <singleXmlCell id="190" r="N49" connectionId="0">
    <xmlCellPr id="1" uniqueName="kc_vyd_so">
      <xmlPr mapId="6" xpath="/Pisemnost/DPFDP5/VetaT/@kc_vyd_so" xmlDataType="decimal"/>
    </xmlCellPr>
  </singleXmlCell>
  <singleXmlCell id="191" r="N42" connectionId="0">
    <xmlCellPr id="1" uniqueName="kc_pod_komp">
      <xmlPr mapId="6" xpath="/Pisemnost/DPFDP5/VetaT/@kc_pod_komp" xmlDataType="decimal"/>
    </xmlCellPr>
  </singleXmlCell>
  <singleXmlCell id="193" r="N56" connectionId="0">
    <xmlCellPr id="1" uniqueName="pr_vyd7">
      <xmlPr mapId="6" xpath="/Pisemnost/DPFDP5/VetaT/@pr_vyd7" xmlDataType="decimal"/>
    </xmlCellPr>
  </singleXmlCell>
  <singleXmlCell id="194" r="N54" connectionId="0">
    <xmlCellPr id="1" uniqueName="pr_prij7">
      <xmlPr mapId="6" xpath="/Pisemnost/DPFDP5/VetaT/@pr_prij7" xmlDataType="decimal"/>
    </xmlCellPr>
  </singleXmlCell>
  <singleXmlCell id="195" r="N55" connectionId="0">
    <xmlCellPr id="1" uniqueName="pr_sazba">
      <xmlPr mapId="6" xpath="/Pisemnost/DPFDP5/VetaT/@pr_sazba" xmlDataType="decimal"/>
    </xmlCellPr>
  </singleXmlCell>
  <singleXmlCell id="196" r="N53" connectionId="0">
    <xmlCellPr id="1" uniqueName="m_podnik">
      <xmlPr mapId="6" xpath="/Pisemnost/DPFDP5/VetaT/@m_podnik" xmlDataType="decimal"/>
    </xmlCellPr>
  </singleXmlCell>
  <singleXmlCell id="197" r="N41" connectionId="0">
    <xmlCellPr id="1" uniqueName="kc_odpnem">
      <xmlPr mapId="6" xpath="/Pisemnost/DPFDP5/VetaT/@kc_odpnem" xmlDataType="decimal"/>
    </xmlCellPr>
  </singleXmlCell>
  <singleXmlCell id="198" r="N40" connectionId="0">
    <xmlCellPr id="1" uniqueName="kc_odpcelk">
      <xmlPr mapId="6" xpath="/Pisemnost/DPFDP5/VetaT/@kc_odpcelk" xmlDataType="decimal"/>
    </xmlCellPr>
  </singleXmlCell>
  <singleXmlCell id="199" r="N48" connectionId="0">
    <xmlCellPr id="1" uniqueName="kc_vyd7">
      <xmlPr mapId="6" xpath="/Pisemnost/DPFDP5/VetaT/@kc_vyd7" xmlDataType="decimal"/>
    </xmlCellPr>
  </singleXmlCell>
  <singleXmlCell id="200" r="N51" connectionId="0">
    <xmlCellPr id="1" uniqueName="kc_zd7p">
      <xmlPr mapId="6" xpath="/Pisemnost/DPFDP5/VetaT/@kc_zd7p" xmlDataType="decimal"/>
    </xmlCellPr>
  </singleXmlCell>
  <singleXmlCell id="201" r="N50" connectionId="0">
    <xmlCellPr id="1" uniqueName="kc_vyd_vaso">
      <xmlPr mapId="6" xpath="/Pisemnost/DPFDP5/VetaT/@kc_vyd_vaso" xmlDataType="decimal"/>
    </xmlCellPr>
  </singleXmlCell>
  <singleXmlCell id="203" r="N47" connectionId="0">
    <xmlCellPr id="1" uniqueName="kc_uhzvys">
      <xmlPr mapId="6" xpath="/Pisemnost/DPFDP5/VetaT/@kc_uhzvys" xmlDataType="decimal"/>
    </xmlCellPr>
  </singleXmlCell>
  <singleXmlCell id="204" r="N46" connectionId="0">
    <xmlCellPr id="1" uniqueName="kc_uhsniz">
      <xmlPr mapId="6" xpath="/Pisemnost/DPFDP5/VetaT/@kc_uhsniz" xmlDataType="decimal"/>
    </xmlCellPr>
  </singleXmlCell>
  <singleXmlCell id="205" r="N45" connectionId="0">
    <xmlCellPr id="1" uniqueName="kc_prij7">
      <xmlPr mapId="6" xpath="/Pisemnost/DPFDP5/VetaT/@kc_prij7" xmlDataType="decimal"/>
    </xmlCellPr>
  </singleXmlCell>
  <singleXmlCell id="206" r="N43" connectionId="0">
    <xmlCellPr id="1" uniqueName="kc_pod_so">
      <xmlPr mapId="6" xpath="/Pisemnost/DPFDP5/VetaT/@kc_pod_so" xmlDataType="decimal"/>
    </xmlCellPr>
  </singleXmlCell>
  <singleXmlCell id="207" r="N39" connectionId="0">
    <xmlCellPr id="1" uniqueName="kc_hosp_rozd">
      <xmlPr mapId="6" xpath="/Pisemnost/DPFDP5/VetaT/@kc_hosp_rozd" xmlDataType="decimal"/>
    </xmlCellPr>
  </singleXmlCell>
  <singleXmlCell id="208" r="N58" connectionId="0">
    <xmlCellPr id="1" uniqueName="vyd7proc">
      <xmlPr mapId="6" xpath="/Pisemnost/DPFDP5/VetaT/@vyd7proc" xmlDataType="string"/>
    </xmlCellPr>
  </singleXmlCell>
  <singleXmlCell id="209" r="N57" connectionId="0">
    <xmlCellPr id="1" uniqueName="uc_soust">
      <xmlPr mapId="6" xpath="/Pisemnost/DPFDP5/VetaT/@uc_soust" xmlDataType="string"/>
    </xmlCellPr>
  </singleXmlCell>
  <singleXmlCell id="210" r="N59" connectionId="0">
    <xmlCellPr id="1" uniqueName="sniz_lim7">
      <xmlPr mapId="6" xpath="/Pisemnost/DPFDP5/VetaT/@sniz_lim7" xmlDataType="string"/>
    </xmlCellPr>
  </singleXmlCell>
  <singleXmlCell id="211" r="F64" connectionId="0">
    <xmlCellPr id="1" uniqueName="kc_dpfmz05a">
      <xmlPr mapId="6" xpath="/Pisemnost/DPFDP5/VetaU/@kc_dpfmz05a" xmlDataType="decimal"/>
    </xmlCellPr>
  </singleXmlCell>
  <singleXmlCell id="212" r="F65" connectionId="0">
    <xmlCellPr id="1" uniqueName="kc_dpfmz06">
      <xmlPr mapId="6" xpath="/Pisemnost/DPFDP5/VetaU/@kc_dpfmz06" xmlDataType="decimal"/>
    </xmlCellPr>
  </singleXmlCell>
  <singleXmlCell id="214" r="F67" connectionId="0">
    <xmlCellPr id="1" uniqueName="kc_dpfmz10">
      <xmlPr mapId="6" xpath="/Pisemnost/DPFDP5/VetaU/@kc_dpfmz10" xmlDataType="decimal"/>
    </xmlCellPr>
  </singleXmlCell>
  <singleXmlCell id="215" r="F68" connectionId="0">
    <xmlCellPr id="1" uniqueName="kc_dpfmz11">
      <xmlPr mapId="6" xpath="/Pisemnost/DPFDP5/VetaU/@kc_dpfmz11" xmlDataType="decimal"/>
    </xmlCellPr>
  </singleXmlCell>
  <singleXmlCell id="216" r="F66" connectionId="0">
    <xmlCellPr id="1" uniqueName="kc_dpfmz08">
      <xmlPr mapId="6" xpath="/Pisemnost/DPFDP5/VetaU/@kc_dpfmz08" xmlDataType="decimal"/>
    </xmlCellPr>
  </singleXmlCell>
  <singleXmlCell id="217" r="F69" connectionId="0">
    <xmlCellPr id="1" uniqueName="kc_dpfmz18">
      <xmlPr mapId="6" xpath="/Pisemnost/DPFDP5/VetaU/@kc_dpfmz18" xmlDataType="decimal"/>
    </xmlCellPr>
  </singleXmlCell>
  <singleXmlCell id="218" r="F63" connectionId="0">
    <xmlCellPr id="1" uniqueName="kc_dpfmz04">
      <xmlPr mapId="6" xpath="/Pisemnost/DPFDP5/VetaU/@kc_dpfmz04" xmlDataType="decimal"/>
    </xmlCellPr>
  </singleXmlCell>
  <singleXmlCell id="219" r="F62" connectionId="0">
    <xmlCellPr id="1" uniqueName="kc_dpfmz03">
      <xmlPr mapId="6" xpath="/Pisemnost/DPFDP5/VetaU/@kc_dpfmz03" xmlDataType="decimal"/>
    </xmlCellPr>
  </singleXmlCell>
  <singleXmlCell id="221" r="F61" connectionId="0">
    <xmlCellPr id="1" uniqueName="kc_dpfmz02">
      <xmlPr mapId="6" xpath="/Pisemnost/DPFDP5/VetaU/@kc_dpfmz02" xmlDataType="decimal"/>
    </xmlCellPr>
  </singleXmlCell>
  <singleXmlCell id="222" r="F70" connectionId="0">
    <xmlCellPr id="1" uniqueName="kc_z_dpfmz02">
      <xmlPr mapId="6" xpath="/Pisemnost/DPFDP5/VetaU/@kc_z_dpfmz02" xmlDataType="decimal"/>
    </xmlCellPr>
  </singleXmlCell>
  <singleXmlCell id="223" r="F71" connectionId="0">
    <xmlCellPr id="1" uniqueName="kc_z_dpfmz03">
      <xmlPr mapId="6" xpath="/Pisemnost/DPFDP5/VetaU/@kc_z_dpfmz03" xmlDataType="decimal"/>
    </xmlCellPr>
  </singleXmlCell>
  <singleXmlCell id="224" r="F72" connectionId="0">
    <xmlCellPr id="1" uniqueName="kc_z_dpfmz04">
      <xmlPr mapId="6" xpath="/Pisemnost/DPFDP5/VetaU/@kc_z_dpfmz04" xmlDataType="decimal"/>
    </xmlCellPr>
  </singleXmlCell>
  <singleXmlCell id="225" r="F73" connectionId="0">
    <xmlCellPr id="1" uniqueName="kc_z_dpfmz05a">
      <xmlPr mapId="6" xpath="/Pisemnost/DPFDP5/VetaU/@kc_z_dpfmz05a" xmlDataType="decimal"/>
    </xmlCellPr>
  </singleXmlCell>
  <singleXmlCell id="226" r="F74" connectionId="0">
    <xmlCellPr id="1" uniqueName="kc_z_dpfmz06">
      <xmlPr mapId="6" xpath="/Pisemnost/DPFDP5/VetaU/@kc_z_dpfmz06" xmlDataType="decimal"/>
    </xmlCellPr>
  </singleXmlCell>
  <singleXmlCell id="227" r="F75" connectionId="0">
    <xmlCellPr id="1" uniqueName="kc_z_dpfmz08">
      <xmlPr mapId="6" xpath="/Pisemnost/DPFDP5/VetaU/@kc_z_dpfmz08" xmlDataType="decimal"/>
    </xmlCellPr>
  </singleXmlCell>
  <singleXmlCell id="228" r="F76" connectionId="0">
    <xmlCellPr id="1" uniqueName="kc_z_dpfmz10">
      <xmlPr mapId="6" xpath="/Pisemnost/DPFDP5/VetaU/@kc_z_dpfmz10" xmlDataType="decimal"/>
    </xmlCellPr>
  </singleXmlCell>
  <singleXmlCell id="229" r="F77" connectionId="0">
    <xmlCellPr id="1" uniqueName="kc_z_dpfmz11">
      <xmlPr mapId="6" xpath="/Pisemnost/DPFDP5/VetaU/@kc_z_dpfmz11" xmlDataType="decimal"/>
    </xmlCellPr>
  </singleXmlCell>
  <singleXmlCell id="230" r="J61" connectionId="0">
    <xmlCellPr id="1" uniqueName="kc_par9_nem">
      <xmlPr mapId="6" xpath="/Pisemnost/DPFDP5/VetaV/@kc_par9_nem" xmlDataType="decimal"/>
    </xmlCellPr>
  </singleXmlCell>
  <singleXmlCell id="231" r="J62" connectionId="0">
    <xmlCellPr id="1" uniqueName="kc_prij10">
      <xmlPr mapId="6" xpath="/Pisemnost/DPFDP5/VetaV/@kc_prij10" xmlDataType="decimal"/>
    </xmlCellPr>
  </singleXmlCell>
  <singleXmlCell id="232" r="J63" connectionId="0">
    <xmlCellPr id="1" uniqueName="kc_prij9">
      <xmlPr mapId="6" xpath="/Pisemnost/DPFDP5/VetaV/@kc_prij9" xmlDataType="decimal"/>
    </xmlCellPr>
  </singleXmlCell>
  <singleXmlCell id="233" r="J64" connectionId="0">
    <xmlCellPr id="1" uniqueName="kc_rezerv_k">
      <xmlPr mapId="6" xpath="/Pisemnost/DPFDP5/VetaV/@kc_rezerv_k" xmlDataType="decimal"/>
    </xmlCellPr>
  </singleXmlCell>
  <singleXmlCell id="234" r="J65" connectionId="0">
    <xmlCellPr id="1" uniqueName="kc_rezerv_z">
      <xmlPr mapId="6" xpath="/Pisemnost/DPFDP5/VetaV/@kc_rezerv_z" xmlDataType="decimal"/>
    </xmlCellPr>
  </singleXmlCell>
  <singleXmlCell id="235" r="J66" connectionId="0">
    <xmlCellPr id="1" uniqueName="kc_rozdil9">
      <xmlPr mapId="6" xpath="/Pisemnost/DPFDP5/VetaV/@kc_rozdil9" xmlDataType="decimal"/>
    </xmlCellPr>
  </singleXmlCell>
  <singleXmlCell id="236" r="J67" connectionId="0">
    <xmlCellPr id="1" uniqueName="kc_snizukon9">
      <xmlPr mapId="6" xpath="/Pisemnost/DPFDP5/VetaV/@kc_snizukon9" xmlDataType="decimal"/>
    </xmlCellPr>
  </singleXmlCell>
  <singleXmlCell id="237" r="J68" connectionId="0">
    <xmlCellPr id="1" uniqueName="kc_vyd10">
      <xmlPr mapId="6" xpath="/Pisemnost/DPFDP5/VetaV/@kc_vyd10" xmlDataType="decimal"/>
    </xmlCellPr>
  </singleXmlCell>
  <singleXmlCell id="244" r="J69" connectionId="0">
    <xmlCellPr id="1" uniqueName="kc_vyd9">
      <xmlPr mapId="6" xpath="/Pisemnost/DPFDP5/VetaV/@kc_vyd9" xmlDataType="decimal"/>
    </xmlCellPr>
  </singleXmlCell>
  <singleXmlCell id="245" r="J70" connectionId="0">
    <xmlCellPr id="1" uniqueName="kc_zd10p">
      <xmlPr mapId="6" xpath="/Pisemnost/DPFDP5/VetaV/@kc_zd10p" xmlDataType="decimal"/>
    </xmlCellPr>
  </singleXmlCell>
  <singleXmlCell id="246" r="J71" connectionId="0">
    <xmlCellPr id="1" uniqueName="kc_zd9p">
      <xmlPr mapId="6" xpath="/Pisemnost/DPFDP5/VetaV/@kc_zd9p" xmlDataType="decimal"/>
    </xmlCellPr>
  </singleXmlCell>
  <singleXmlCell id="247" r="J72" connectionId="0">
    <xmlCellPr id="1" uniqueName="kc_zvysukon9">
      <xmlPr mapId="6" xpath="/Pisemnost/DPFDP5/VetaV/@kc_zvysukon9" xmlDataType="decimal"/>
    </xmlCellPr>
  </singleXmlCell>
  <singleXmlCell id="248" r="J73" connectionId="0">
    <xmlCellPr id="1" uniqueName="spol_jm_manz">
      <xmlPr mapId="6" xpath="/Pisemnost/DPFDP5/VetaV/@spol_jm_manz" xmlDataType="string"/>
    </xmlCellPr>
  </singleXmlCell>
  <singleXmlCell id="249" r="J74" connectionId="0">
    <xmlCellPr id="1" uniqueName="uhrn_prijmy10">
      <xmlPr mapId="6" xpath="/Pisemnost/DPFDP5/VetaV/@uhrn_prijmy10" xmlDataType="decimal"/>
    </xmlCellPr>
  </singleXmlCell>
  <singleXmlCell id="250" r="J75" connectionId="0">
    <xmlCellPr id="1" uniqueName="uhrn_rozdil10">
      <xmlPr mapId="6" xpath="/Pisemnost/DPFDP5/VetaV/@uhrn_rozdil10" xmlDataType="decimal"/>
    </xmlCellPr>
  </singleXmlCell>
  <singleXmlCell id="251" r="J76" connectionId="0">
    <xmlCellPr id="1" uniqueName="uhrn_vydaje10">
      <xmlPr mapId="6" xpath="/Pisemnost/DPFDP5/VetaV/@uhrn_vydaje10" xmlDataType="decimal"/>
    </xmlCellPr>
  </singleXmlCell>
  <singleXmlCell id="252" r="J77" connectionId="0">
    <xmlCellPr id="1" uniqueName="vyd9proc">
      <xmlPr mapId="6" xpath="/Pisemnost/DPFDP5/VetaV/@vyd9proc" xmlDataType="string"/>
    </xmlCellPr>
  </singleXmlCell>
  <singleXmlCell id="253" r="J78" connectionId="0">
    <xmlCellPr id="1" uniqueName="sniz_lim9">
      <xmlPr mapId="6" xpath="/Pisemnost/DPFDP5/VetaV/@sniz_lim9" xmlDataType="string"/>
    </xmlCellPr>
  </singleXmlCell>
  <singleXmlCell id="254" r="N71" connectionId="0">
    <xmlCellPr id="1" uniqueName="da_zazahr">
      <xmlPr mapId="6" xpath="/Pisemnost/DPFDP5/VetaW/@da_zazahr" xmlDataType="decimal"/>
    </xmlCellPr>
  </singleXmlCell>
  <singleXmlCell id="255" r="N72" connectionId="0">
    <xmlCellPr id="1" uniqueName="uhrn_neuzndan">
      <xmlPr mapId="6" xpath="/Pisemnost/DPFDP5/VetaW/@uhrn_neuzndan" xmlDataType="decimal"/>
    </xmlCellPr>
  </singleXmlCell>
  <singleXmlCell id="256" r="N73" connectionId="0">
    <xmlCellPr id="1" uniqueName="uhrn_uzndan">
      <xmlPr mapId="6" xpath="/Pisemnost/DPFDP5/VetaW/@uhrn_uzndan" xmlDataType="decimal"/>
    </xmlCellPr>
  </singleXmlCell>
  <singleXmlCell id="257" r="B81" connectionId="0">
    <xmlCellPr id="1" uniqueName="c_nest_uctu">
      <xmlPr mapId="6" xpath="/Pisemnost/DPFDP5/VetaN/@c_nest_uctu" xmlDataType="string"/>
    </xmlCellPr>
  </singleXmlCell>
  <singleXmlCell id="258" r="B82" connectionId="0">
    <xmlCellPr id="1" uniqueName="id_banky">
      <xmlPr mapId="6" xpath="/Pisemnost/DPFDP5/VetaN/@id_banky" xmlDataType="string"/>
    </xmlCellPr>
  </singleXmlCell>
  <singleXmlCell id="259" r="B83" connectionId="0">
    <xmlCellPr id="1" uniqueName="k_meny_uctu">
      <xmlPr mapId="6" xpath="/Pisemnost/DPFDP5/VetaN/@k_meny_uctu" xmlDataType="string"/>
    </xmlCellPr>
  </singleXmlCell>
  <singleXmlCell id="260" r="B84" connectionId="0">
    <xmlCellPr id="1" uniqueName="k_stat_banky">
      <xmlPr mapId="6" xpath="/Pisemnost/DPFDP5/VetaN/@k_stat_banky" xmlDataType="string"/>
    </xmlCellPr>
  </singleXmlCell>
  <singleXmlCell id="261" r="B85" connectionId="0">
    <xmlCellPr id="1" uniqueName="kc_preplatek">
      <xmlPr mapId="6" xpath="/Pisemnost/DPFDP5/VetaN/@kc_preplatek" xmlDataType="decimal"/>
    </xmlCellPr>
  </singleXmlCell>
  <singleXmlCell id="262" r="B86" connectionId="0">
    <xmlCellPr id="1" uniqueName="mesto_banky">
      <xmlPr mapId="6" xpath="/Pisemnost/DPFDP5/VetaN/@mesto_banky" xmlDataType="string"/>
    </xmlCellPr>
  </singleXmlCell>
  <singleXmlCell id="264" r="B87" connectionId="0">
    <xmlCellPr id="1" uniqueName="mesto_prij">
      <xmlPr mapId="6" xpath="/Pisemnost/DPFDP5/VetaN/@mesto_prij" xmlDataType="string"/>
    </xmlCellPr>
  </singleXmlCell>
  <singleXmlCell id="265" r="B88" connectionId="0">
    <xmlCellPr id="1" uniqueName="naz_adr_banky">
      <xmlPr mapId="6" xpath="/Pisemnost/DPFDP5/VetaN/@naz_adr_banky" xmlDataType="string"/>
    </xmlCellPr>
  </singleXmlCell>
  <singleXmlCell id="266" r="B89" connectionId="0">
    <xmlCellPr id="1" uniqueName="nazev_prij">
      <xmlPr mapId="6" xpath="/Pisemnost/DPFDP5/VetaN/@nazev_prij" xmlDataType="string"/>
    </xmlCellPr>
  </singleXmlCell>
  <singleXmlCell id="267" r="B90" connectionId="0">
    <xmlCellPr id="1" uniqueName="psc_banky">
      <xmlPr mapId="6" xpath="/Pisemnost/DPFDP5/VetaN/@psc_banky" xmlDataType="string"/>
    </xmlCellPr>
  </singleXmlCell>
  <singleXmlCell id="268" r="B91" connectionId="0">
    <xmlCellPr id="1" uniqueName="psc_prij">
      <xmlPr mapId="6" xpath="/Pisemnost/DPFDP5/VetaN/@psc_prij" xmlDataType="string"/>
    </xmlCellPr>
  </singleXmlCell>
  <singleXmlCell id="269" r="B92" connectionId="0">
    <xmlCellPr id="1" uniqueName="region_banky">
      <xmlPr mapId="6" xpath="/Pisemnost/DPFDP5/VetaN/@region_banky" xmlDataType="string"/>
    </xmlCellPr>
  </singleXmlCell>
  <singleXmlCell id="271" r="B93" connectionId="0">
    <xmlCellPr id="1" uniqueName="region_prij">
      <xmlPr mapId="6" xpath="/Pisemnost/DPFDP5/VetaN/@region_prij" xmlDataType="string"/>
    </xmlCellPr>
  </singleXmlCell>
  <singleXmlCell id="274" r="B94" connectionId="0">
    <xmlCellPr id="1" uniqueName="stat_prij">
      <xmlPr mapId="6" xpath="/Pisemnost/DPFDP5/VetaN/@stat_prij" xmlDataType="string"/>
    </xmlCellPr>
  </singleXmlCell>
  <singleXmlCell id="275" r="B95" connectionId="0">
    <xmlCellPr id="1" uniqueName="sym_plvmpv">
      <xmlPr mapId="6" xpath="/Pisemnost/DPFDP5/VetaN/@sym_plvmpv" xmlDataType="string"/>
    </xmlCellPr>
  </singleXmlCell>
  <singleXmlCell id="276" r="B96" connectionId="0">
    <xmlCellPr id="1" uniqueName="ulice_banky">
      <xmlPr mapId="6" xpath="/Pisemnost/DPFDP5/VetaN/@ulice_banky" xmlDataType="string"/>
    </xmlCellPr>
  </singleXmlCell>
  <singleXmlCell id="277" r="B97" connectionId="0">
    <xmlCellPr id="1" uniqueName="ulice_prij">
      <xmlPr mapId="6" xpath="/Pisemnost/DPFDP5/VetaN/@ulice_prij" xmlDataType="string"/>
    </xmlCellPr>
  </singleXmlCell>
  <singleXmlCell id="278" r="B98" connectionId="0">
    <xmlCellPr id="1" uniqueName="zp_vrac">
      <xmlPr mapId="6" xpath="/Pisemnost/DPFDP5/VetaN/@zp_vrac" xmlDataType="string"/>
    </xmlCellPr>
  </singleXmlCell>
  <singleXmlCell id="279" r="B99" connectionId="0">
    <xmlCellPr id="1" uniqueName="zvp_c_komds">
      <xmlPr mapId="6" xpath="/Pisemnost/DPFDP5/VetaN/@zvp_c_komds" xmlDataType="string"/>
    </xmlCellPr>
  </singleXmlCell>
  <singleXmlCell id="280" r="B100" connectionId="0">
    <xmlCellPr id="1" uniqueName="zvp_c_obce">
      <xmlPr mapId="6" xpath="/Pisemnost/DPFDP5/VetaN/@zvp_c_obce" xmlDataType="decimal"/>
    </xmlCellPr>
  </singleXmlCell>
  <singleXmlCell id="281" r="B101" connectionId="0">
    <xmlCellPr id="1" uniqueName="zvp_c_orient">
      <xmlPr mapId="6" xpath="/Pisemnost/DPFDP5/VetaN/@zvp_c_orient" xmlDataType="string"/>
    </xmlCellPr>
  </singleXmlCell>
  <singleXmlCell id="282" r="B102" connectionId="0">
    <xmlCellPr id="1" uniqueName="zvp_c_pop">
      <xmlPr mapId="6" xpath="/Pisemnost/DPFDP5/VetaN/@zvp_c_pop" xmlDataType="decimal"/>
    </xmlCellPr>
  </singleXmlCell>
  <singleXmlCell id="283" r="B103" connectionId="0">
    <xmlCellPr id="1" uniqueName="zvp_jmeno">
      <xmlPr mapId="6" xpath="/Pisemnost/DPFDP5/VetaN/@zvp_jmeno" xmlDataType="string"/>
    </xmlCellPr>
  </singleXmlCell>
  <singleXmlCell id="284" r="B104" connectionId="0">
    <xmlCellPr id="1" uniqueName="zvp_k_bank">
      <xmlPr mapId="6" xpath="/Pisemnost/DPFDP5/VetaN/@zvp_k_bank" xmlDataType="decimal"/>
    </xmlCellPr>
  </singleXmlCell>
  <singleXmlCell id="286" r="B105" connectionId="0">
    <xmlCellPr id="1" uniqueName="zvp_naz_bank">
      <xmlPr mapId="6" xpath="/Pisemnost/DPFDP5/VetaN/@zvp_naz_bank" xmlDataType="string"/>
    </xmlCellPr>
  </singleXmlCell>
  <singleXmlCell id="287" r="B106" connectionId="0">
    <xmlCellPr id="1" uniqueName="zvp_naz_obce">
      <xmlPr mapId="6" xpath="/Pisemnost/DPFDP5/VetaN/@zvp_naz_obce" xmlDataType="string"/>
    </xmlCellPr>
  </singleXmlCell>
  <singleXmlCell id="288" r="B107" connectionId="0">
    <xmlCellPr id="1" uniqueName="zvp_pbu">
      <xmlPr mapId="6" xpath="/Pisemnost/DPFDP5/VetaN/@zvp_pbu" xmlDataType="decimal"/>
    </xmlCellPr>
  </singleXmlCell>
  <singleXmlCell id="289" r="B108" connectionId="0">
    <xmlCellPr id="1" uniqueName="zvp_prijmeni">
      <xmlPr mapId="6" xpath="/Pisemnost/DPFDP5/VetaN/@zvp_prijmeni" xmlDataType="string"/>
    </xmlCellPr>
  </singleXmlCell>
  <singleXmlCell id="290" r="B109" connectionId="0">
    <xmlCellPr id="1" uniqueName="zvp_psc">
      <xmlPr mapId="6" xpath="/Pisemnost/DPFDP5/VetaN/@zvp_psc" xmlDataType="decimal"/>
    </xmlCellPr>
  </singleXmlCell>
  <singleXmlCell id="291" r="B110" connectionId="0">
    <xmlCellPr id="1" uniqueName="zvp_spec_symb">
      <xmlPr mapId="6" xpath="/Pisemnost/DPFDP5/VetaN/@zvp_spec_symb" xmlDataType="string"/>
    </xmlCellPr>
  </singleXmlCell>
  <singleXmlCell id="292" r="B111" connectionId="0">
    <xmlCellPr id="1" uniqueName="zvp_titul">
      <xmlPr mapId="6" xpath="/Pisemnost/DPFDP5/VetaN/@zvp_titul" xmlDataType="string"/>
    </xmlCellPr>
  </singleXmlCell>
  <singleXmlCell id="293"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312"/>
      <c r="B1" s="312"/>
      <c r="C1" s="312"/>
      <c r="D1" s="313"/>
      <c r="E1" s="312"/>
      <c r="F1" s="312"/>
      <c r="G1" s="312"/>
      <c r="H1" s="312"/>
      <c r="I1" s="312"/>
      <c r="O1" s="314"/>
    </row>
    <row r="2" spans="1:17" ht="12.75" customHeight="1" thickBot="1">
      <c r="A2" s="312"/>
      <c r="B2" s="315" t="s">
        <v>700</v>
      </c>
      <c r="C2" s="316"/>
      <c r="D2" s="317"/>
      <c r="E2" s="318" t="s">
        <v>701</v>
      </c>
      <c r="F2" s="319"/>
      <c r="G2" s="318">
        <f>COUNTIF(H3:H210,"?*")</f>
        <v>202</v>
      </c>
      <c r="H2" s="320"/>
      <c r="I2" s="312"/>
      <c r="J2" s="321" t="s">
        <v>702</v>
      </c>
      <c r="M2" s="322" t="s">
        <v>703</v>
      </c>
      <c r="N2" s="323" t="s">
        <v>704</v>
      </c>
      <c r="O2" s="324" t="s">
        <v>705</v>
      </c>
      <c r="P2" s="325"/>
      <c r="Q2" s="321"/>
    </row>
    <row r="3" spans="1:26" ht="12.75" customHeight="1">
      <c r="A3" s="312"/>
      <c r="B3" s="326" t="s">
        <v>706</v>
      </c>
      <c r="C3" s="327">
        <v>451</v>
      </c>
      <c r="D3" s="328">
        <f>IF(ISNUMBER(SEARCH(ZAKL_DATA!$B$14,E3)),MAX($D$2:D2)+1,0)</f>
        <v>1</v>
      </c>
      <c r="E3" s="329" t="s">
        <v>707</v>
      </c>
      <c r="F3" s="330">
        <v>2001</v>
      </c>
      <c r="G3" s="331"/>
      <c r="H3" s="332" t="str">
        <f>IFERROR(VLOOKUP(ROWS($H$3:H3),$D$3:$E$204,2,0),"")</f>
        <v>PRAHA 1</v>
      </c>
      <c r="I3" s="312"/>
      <c r="J3" s="333" t="s">
        <v>708</v>
      </c>
      <c r="K3" s="334" t="s">
        <v>174</v>
      </c>
      <c r="M3" s="335">
        <f>IF(ISNUMBER(SEARCH(ZAKL_DATA!$B$29,N3)),MAX($M$2:M2)+1,0)</f>
        <v>1</v>
      </c>
      <c r="N3" s="336" t="s">
        <v>709</v>
      </c>
      <c r="O3" s="337" t="s">
        <v>710</v>
      </c>
      <c r="P3" s="338"/>
      <c r="Q3" s="339" t="str">
        <f>IFERROR(VLOOKUP(ROWS($Q$3:Q3),$M$3:$N$992,2,0),"")</f>
        <v>Rostlinná a živočišná výroba, myslivost a související činnosti</v>
      </c>
      <c r="R3">
        <f>IF(ISNUMBER(SEARCH('1Př1'!$A$33,N3)),MAX($M$2:M2)+1,0)</f>
        <v>1</v>
      </c>
      <c r="S3" s="336" t="s">
        <v>709</v>
      </c>
      <c r="T3" t="str">
        <f>IFERROR(VLOOKUP(ROWS($T$3:T3),$R$3:$S$992,2,0),"")</f>
        <v>Rostlinná a živočišná výroba, myslivost a související činnosti</v>
      </c>
      <c r="U3">
        <f>IF(ISNUMBER(SEARCH('1Př1'!$A$34,N3)),MAX($M$2:M2)+1,0)</f>
        <v>1</v>
      </c>
      <c r="V3" s="336" t="s">
        <v>709</v>
      </c>
      <c r="W3" t="str">
        <f>IFERROR(VLOOKUP(ROWS($W$3:W3),$U$3:$V$992,2,0),"")</f>
        <v>Rostlinná a živočišná výroba, myslivost a související činnosti</v>
      </c>
      <c r="X3">
        <f>IF(ISNUMBER(SEARCH('1Př1'!$A$35,N3)),MAX($M$2:M2)+1,0)</f>
        <v>1</v>
      </c>
      <c r="Y3" s="336" t="s">
        <v>709</v>
      </c>
      <c r="Z3" t="str">
        <f>IFERROR(VLOOKUP(ROWS($Z$3:Z3),$X$3:$Y$992,2,0),"")</f>
        <v>Rostlinná a živočišná výroba, myslivost a související činnosti</v>
      </c>
    </row>
    <row r="4" spans="1:26" ht="12.75" customHeight="1">
      <c r="A4" s="312"/>
      <c r="B4" s="340" t="s">
        <v>711</v>
      </c>
      <c r="C4" s="341">
        <v>452</v>
      </c>
      <c r="D4" s="328">
        <f>IF(ISNUMBER(SEARCH(ZAKL_DATA!$B$14,E4)),MAX($D$2:D3)+1,0)</f>
        <v>2</v>
      </c>
      <c r="E4" s="342" t="s">
        <v>712</v>
      </c>
      <c r="F4" s="343">
        <v>2002</v>
      </c>
      <c r="G4" s="344"/>
      <c r="H4" s="345" t="str">
        <f>IFERROR(VLOOKUP(ROWS($H$3:H4),$D$3:$E$204,2,0),"")</f>
        <v>PRAHA 2</v>
      </c>
      <c r="I4" s="312"/>
      <c r="J4" s="346" t="s">
        <v>713</v>
      </c>
      <c r="K4" s="334" t="s">
        <v>714</v>
      </c>
      <c r="M4" s="335">
        <f>IF(ISNUMBER(SEARCH(ZAKL_DATA!$B$29,N4)),MAX($M$2:M3)+1,0)</f>
        <v>2</v>
      </c>
      <c r="N4" s="336" t="s">
        <v>715</v>
      </c>
      <c r="O4" s="337" t="s">
        <v>716</v>
      </c>
      <c r="P4" s="338"/>
      <c r="Q4" s="339" t="str">
        <f>IFERROR(VLOOKUP(ROWS($Q$3:Q4),$M$3:$N$992,2,0),"")</f>
        <v>Lesnictví a těžba dřeva</v>
      </c>
      <c r="R4">
        <f>IF(ISNUMBER(SEARCH('1Př1'!$A$33,N4)),MAX($M$2:M3)+1,0)</f>
        <v>2</v>
      </c>
      <c r="S4" s="336" t="s">
        <v>715</v>
      </c>
      <c r="T4" t="str">
        <f>IFERROR(VLOOKUP(ROWS($T$3:T4),$R$3:$S$992,2,0),"")</f>
        <v>Lesnictví a těžba dřeva</v>
      </c>
      <c r="U4">
        <f>IF(ISNUMBER(SEARCH('1Př1'!$A$34,N4)),MAX($M$2:M3)+1,0)</f>
        <v>2</v>
      </c>
      <c r="V4" s="336" t="s">
        <v>715</v>
      </c>
      <c r="W4" t="str">
        <f>IFERROR(VLOOKUP(ROWS($W$3:W4),$U$3:$V$992,2,0),"")</f>
        <v>Lesnictví a těžba dřeva</v>
      </c>
      <c r="X4">
        <f>IF(ISNUMBER(SEARCH('1Př1'!$A$35,N4)),MAX($M$2:M3)+1,0)</f>
        <v>2</v>
      </c>
      <c r="Y4" s="336" t="s">
        <v>715</v>
      </c>
      <c r="Z4" t="str">
        <f>IFERROR(VLOOKUP(ROWS($Z$3:Z4),$X$3:$Y$992,2,0),"")</f>
        <v>Lesnictví a těžba dřeva</v>
      </c>
    </row>
    <row r="5" spans="1:26" ht="12.75" customHeight="1">
      <c r="A5" s="312"/>
      <c r="B5" s="340" t="s">
        <v>717</v>
      </c>
      <c r="C5" s="341">
        <v>453</v>
      </c>
      <c r="D5" s="328">
        <f>IF(ISNUMBER(SEARCH(ZAKL_DATA!$B$14,E5)),MAX($D$2:D4)+1,0)</f>
        <v>3</v>
      </c>
      <c r="E5" s="342" t="s">
        <v>718</v>
      </c>
      <c r="F5" s="343">
        <v>2003</v>
      </c>
      <c r="G5" s="344"/>
      <c r="H5" s="345" t="str">
        <f>IFERROR(VLOOKUP(ROWS($H$3:H5),$D$3:$E$204,2,0),"")</f>
        <v>PRAHA 3</v>
      </c>
      <c r="I5" s="312"/>
      <c r="J5" s="346" t="s">
        <v>719</v>
      </c>
      <c r="K5" s="334" t="s">
        <v>720</v>
      </c>
      <c r="M5" s="335">
        <f>IF(ISNUMBER(SEARCH(ZAKL_DATA!$B$29,N5)),MAX($M$2:M4)+1,0)</f>
        <v>3</v>
      </c>
      <c r="N5" s="336" t="s">
        <v>721</v>
      </c>
      <c r="O5" s="337" t="s">
        <v>722</v>
      </c>
      <c r="P5" s="338"/>
      <c r="Q5" s="339" t="str">
        <f>IFERROR(VLOOKUP(ROWS($Q$3:Q5),$M$3:$N$992,2,0),"")</f>
        <v>Rybolov a akvakultura</v>
      </c>
      <c r="R5">
        <f>IF(ISNUMBER(SEARCH('1Př1'!$A$33,N5)),MAX($M$2:M4)+1,0)</f>
        <v>3</v>
      </c>
      <c r="S5" s="336" t="s">
        <v>721</v>
      </c>
      <c r="T5" t="str">
        <f>IFERROR(VLOOKUP(ROWS($T$3:T5),$R$3:$S$992,2,0),"")</f>
        <v>Rybolov a akvakultura</v>
      </c>
      <c r="U5">
        <f>IF(ISNUMBER(SEARCH('1Př1'!$A$34,N5)),MAX($M$2:M4)+1,0)</f>
        <v>3</v>
      </c>
      <c r="V5" s="336" t="s">
        <v>721</v>
      </c>
      <c r="W5" t="str">
        <f>IFERROR(VLOOKUP(ROWS($W$3:W5),$U$3:$V$992,2,0),"")</f>
        <v>Rybolov a akvakultura</v>
      </c>
      <c r="X5">
        <f>IF(ISNUMBER(SEARCH('1Př1'!$A$35,N5)),MAX($M$2:M4)+1,0)</f>
        <v>3</v>
      </c>
      <c r="Y5" s="336" t="s">
        <v>721</v>
      </c>
      <c r="Z5" t="str">
        <f>IFERROR(VLOOKUP(ROWS($Z$3:Z5),$X$3:$Y$992,2,0),"")</f>
        <v>Rybolov a akvakultura</v>
      </c>
    </row>
    <row r="6" spans="1:26" ht="12.75" customHeight="1">
      <c r="A6" s="312"/>
      <c r="B6" s="340" t="s">
        <v>723</v>
      </c>
      <c r="C6" s="341">
        <v>454</v>
      </c>
      <c r="D6" s="328">
        <f>IF(ISNUMBER(SEARCH(ZAKL_DATA!$B$14,E6)),MAX($D$2:D5)+1,0)</f>
        <v>4</v>
      </c>
      <c r="E6" s="342" t="s">
        <v>724</v>
      </c>
      <c r="F6" s="343">
        <v>2004</v>
      </c>
      <c r="G6" s="344"/>
      <c r="H6" s="345" t="str">
        <f>IFERROR(VLOOKUP(ROWS($H$3:H6),$D$3:$E$204,2,0),"")</f>
        <v>PRAHA 4</v>
      </c>
      <c r="I6" s="312"/>
      <c r="J6" s="347" t="s">
        <v>725</v>
      </c>
      <c r="K6" s="334" t="s">
        <v>726</v>
      </c>
      <c r="M6" s="335">
        <f>IF(ISNUMBER(SEARCH(ZAKL_DATA!$B$29,N6)),MAX($M$2:M5)+1,0)</f>
        <v>4</v>
      </c>
      <c r="N6" s="336" t="s">
        <v>727</v>
      </c>
      <c r="O6" s="337" t="s">
        <v>728</v>
      </c>
      <c r="P6" s="338"/>
      <c r="Q6" s="339" t="str">
        <f>IFERROR(VLOOKUP(ROWS($Q$3:Q6),$M$3:$N$992,2,0),"")</f>
        <v>Těžba a úprava černého a hnědého uhlí</v>
      </c>
      <c r="R6">
        <f>IF(ISNUMBER(SEARCH('1Př1'!$A$33,N6)),MAX($M$2:M5)+1,0)</f>
        <v>4</v>
      </c>
      <c r="S6" s="336" t="s">
        <v>727</v>
      </c>
      <c r="T6" t="str">
        <f>IFERROR(VLOOKUP(ROWS($T$3:T6),$R$3:$S$992,2,0),"")</f>
        <v>Těžba a úprava černého a hnědého uhlí</v>
      </c>
      <c r="U6">
        <f>IF(ISNUMBER(SEARCH('1Př1'!$A$34,N6)),MAX($M$2:M5)+1,0)</f>
        <v>4</v>
      </c>
      <c r="V6" s="336" t="s">
        <v>727</v>
      </c>
      <c r="W6" t="str">
        <f>IFERROR(VLOOKUP(ROWS($W$3:W6),$U$3:$V$992,2,0),"")</f>
        <v>Těžba a úprava černého a hnědého uhlí</v>
      </c>
      <c r="X6">
        <f>IF(ISNUMBER(SEARCH('1Př1'!$A$35,N6)),MAX($M$2:M5)+1,0)</f>
        <v>4</v>
      </c>
      <c r="Y6" s="336" t="s">
        <v>727</v>
      </c>
      <c r="Z6" t="str">
        <f>IFERROR(VLOOKUP(ROWS($Z$3:Z6),$X$3:$Y$992,2,0),"")</f>
        <v>Těžba a úprava černého a hnědého uhlí</v>
      </c>
    </row>
    <row r="7" spans="1:26" ht="12.75" customHeight="1">
      <c r="A7" s="312"/>
      <c r="B7" s="340" t="s">
        <v>729</v>
      </c>
      <c r="C7" s="341">
        <v>455</v>
      </c>
      <c r="D7" s="328">
        <f>IF(ISNUMBER(SEARCH(ZAKL_DATA!$B$14,E7)),MAX($D$2:D6)+1,0)</f>
        <v>5</v>
      </c>
      <c r="E7" s="342" t="s">
        <v>730</v>
      </c>
      <c r="F7" s="343">
        <v>2005</v>
      </c>
      <c r="G7" s="344"/>
      <c r="H7" s="345" t="str">
        <f>IFERROR(VLOOKUP(ROWS($H$3:H7),$D$3:$E$204,2,0),"")</f>
        <v>PRAHA 5</v>
      </c>
      <c r="I7" s="312"/>
      <c r="J7" s="347" t="s">
        <v>731</v>
      </c>
      <c r="K7" s="334" t="s">
        <v>732</v>
      </c>
      <c r="M7" s="335">
        <f>IF(ISNUMBER(SEARCH(ZAKL_DATA!$B$29,N7)),MAX($M$2:M6)+1,0)</f>
        <v>5</v>
      </c>
      <c r="N7" s="336" t="s">
        <v>733</v>
      </c>
      <c r="O7" s="337" t="s">
        <v>734</v>
      </c>
      <c r="P7" s="338"/>
      <c r="Q7" s="339" t="str">
        <f>IFERROR(VLOOKUP(ROWS($Q$3:Q7),$M$3:$N$992,2,0),"")</f>
        <v>Těžba ropy a zemního plynu</v>
      </c>
      <c r="R7">
        <f>IF(ISNUMBER(SEARCH('1Př1'!$A$33,N7)),MAX($M$2:M6)+1,0)</f>
        <v>5</v>
      </c>
      <c r="S7" s="336" t="s">
        <v>733</v>
      </c>
      <c r="T7" t="str">
        <f>IFERROR(VLOOKUP(ROWS($T$3:T7),$R$3:$S$992,2,0),"")</f>
        <v>Těžba ropy a zemního plynu</v>
      </c>
      <c r="U7">
        <f>IF(ISNUMBER(SEARCH('1Př1'!$A$34,N7)),MAX($M$2:M6)+1,0)</f>
        <v>5</v>
      </c>
      <c r="V7" s="336" t="s">
        <v>733</v>
      </c>
      <c r="W7" t="str">
        <f>IFERROR(VLOOKUP(ROWS($W$3:W7),$U$3:$V$992,2,0),"")</f>
        <v>Těžba ropy a zemního plynu</v>
      </c>
      <c r="X7">
        <f>IF(ISNUMBER(SEARCH('1Př1'!$A$35,N7)),MAX($M$2:M6)+1,0)</f>
        <v>5</v>
      </c>
      <c r="Y7" s="336" t="s">
        <v>733</v>
      </c>
      <c r="Z7" t="str">
        <f>IFERROR(VLOOKUP(ROWS($Z$3:Z7),$X$3:$Y$992,2,0),"")</f>
        <v>Těžba ropy a zemního plynu</v>
      </c>
    </row>
    <row r="8" spans="1:26" ht="12.75" customHeight="1">
      <c r="A8" s="312"/>
      <c r="B8" s="340" t="s">
        <v>735</v>
      </c>
      <c r="C8" s="341">
        <v>456</v>
      </c>
      <c r="D8" s="328">
        <f>IF(ISNUMBER(SEARCH(ZAKL_DATA!$B$14,E8)),MAX($D$2:D7)+1,0)</f>
        <v>6</v>
      </c>
      <c r="E8" s="342" t="s">
        <v>736</v>
      </c>
      <c r="F8" s="343">
        <v>2006</v>
      </c>
      <c r="G8" s="344"/>
      <c r="H8" s="345" t="str">
        <f>IFERROR(VLOOKUP(ROWS($H$3:H8),$D$3:$E$204,2,0),"")</f>
        <v>PRAHA 6</v>
      </c>
      <c r="I8" s="312"/>
      <c r="J8" s="347" t="s">
        <v>737</v>
      </c>
      <c r="K8" s="334" t="s">
        <v>738</v>
      </c>
      <c r="M8" s="335">
        <f>IF(ISNUMBER(SEARCH(ZAKL_DATA!$B$29,N8)),MAX($M$2:M7)+1,0)</f>
        <v>6</v>
      </c>
      <c r="N8" s="336" t="s">
        <v>739</v>
      </c>
      <c r="O8" s="337" t="s">
        <v>740</v>
      </c>
      <c r="P8" s="338"/>
      <c r="Q8" s="339" t="str">
        <f>IFERROR(VLOOKUP(ROWS($Q$3:Q8),$M$3:$N$992,2,0),"")</f>
        <v>Těžba a úprava rud</v>
      </c>
      <c r="R8">
        <f>IF(ISNUMBER(SEARCH('1Př1'!$A$33,N8)),MAX($M$2:M7)+1,0)</f>
        <v>6</v>
      </c>
      <c r="S8" s="336" t="s">
        <v>739</v>
      </c>
      <c r="T8" t="str">
        <f>IFERROR(VLOOKUP(ROWS($T$3:T8),$R$3:$S$992,2,0),"")</f>
        <v>Těžba a úprava rud</v>
      </c>
      <c r="U8">
        <f>IF(ISNUMBER(SEARCH('1Př1'!$A$34,N8)),MAX($M$2:M7)+1,0)</f>
        <v>6</v>
      </c>
      <c r="V8" s="336" t="s">
        <v>739</v>
      </c>
      <c r="W8" t="str">
        <f>IFERROR(VLOOKUP(ROWS($W$3:W8),$U$3:$V$992,2,0),"")</f>
        <v>Těžba a úprava rud</v>
      </c>
      <c r="X8">
        <f>IF(ISNUMBER(SEARCH('1Př1'!$A$35,N8)),MAX($M$2:M7)+1,0)</f>
        <v>6</v>
      </c>
      <c r="Y8" s="336" t="s">
        <v>739</v>
      </c>
      <c r="Z8" t="str">
        <f>IFERROR(VLOOKUP(ROWS($Z$3:Z8),$X$3:$Y$992,2,0),"")</f>
        <v>Těžba a úprava rud</v>
      </c>
    </row>
    <row r="9" spans="1:26" ht="12.75" customHeight="1">
      <c r="A9" s="312"/>
      <c r="B9" s="340" t="s">
        <v>741</v>
      </c>
      <c r="C9" s="341">
        <v>457</v>
      </c>
      <c r="D9" s="328">
        <f>IF(ISNUMBER(SEARCH(ZAKL_DATA!$B$14,E9)),MAX($D$2:D8)+1,0)</f>
        <v>7</v>
      </c>
      <c r="E9" s="342" t="s">
        <v>742</v>
      </c>
      <c r="F9" s="343">
        <v>2007</v>
      </c>
      <c r="G9" s="344"/>
      <c r="H9" s="345" t="str">
        <f>IFERROR(VLOOKUP(ROWS($H$3:H9),$D$3:$E$204,2,0),"")</f>
        <v>PRAHA 7</v>
      </c>
      <c r="I9" s="312"/>
      <c r="J9" s="347" t="s">
        <v>743</v>
      </c>
      <c r="K9" s="334" t="s">
        <v>744</v>
      </c>
      <c r="M9" s="335">
        <f>IF(ISNUMBER(SEARCH(ZAKL_DATA!$B$29,N9)),MAX($M$2:M8)+1,0)</f>
        <v>7</v>
      </c>
      <c r="N9" s="336" t="s">
        <v>745</v>
      </c>
      <c r="O9" s="337" t="s">
        <v>746</v>
      </c>
      <c r="P9" s="338"/>
      <c r="Q9" s="339" t="str">
        <f>IFERROR(VLOOKUP(ROWS($Q$3:Q9),$M$3:$N$992,2,0),"")</f>
        <v>Ostatní těžba a dobývání</v>
      </c>
      <c r="R9">
        <f>IF(ISNUMBER(SEARCH('1Př1'!$A$33,N9)),MAX($M$2:M8)+1,0)</f>
        <v>7</v>
      </c>
      <c r="S9" s="336" t="s">
        <v>745</v>
      </c>
      <c r="T9" t="str">
        <f>IFERROR(VLOOKUP(ROWS($T$3:T9),$R$3:$S$992,2,0),"")</f>
        <v>Ostatní těžba a dobývání</v>
      </c>
      <c r="U9">
        <f>IF(ISNUMBER(SEARCH('1Př1'!$A$34,N9)),MAX($M$2:M8)+1,0)</f>
        <v>7</v>
      </c>
      <c r="V9" s="336" t="s">
        <v>745</v>
      </c>
      <c r="W9" t="str">
        <f>IFERROR(VLOOKUP(ROWS($W$3:W9),$U$3:$V$992,2,0),"")</f>
        <v>Ostatní těžba a dobývání</v>
      </c>
      <c r="X9">
        <f>IF(ISNUMBER(SEARCH('1Př1'!$A$35,N9)),MAX($M$2:M8)+1,0)</f>
        <v>7</v>
      </c>
      <c r="Y9" s="336" t="s">
        <v>745</v>
      </c>
      <c r="Z9" t="str">
        <f>IFERROR(VLOOKUP(ROWS($Z$3:Z9),$X$3:$Y$992,2,0),"")</f>
        <v>Ostatní těžba a dobývání</v>
      </c>
    </row>
    <row r="10" spans="1:26" ht="12.75" customHeight="1">
      <c r="A10" s="312"/>
      <c r="B10" s="340" t="s">
        <v>747</v>
      </c>
      <c r="C10" s="341">
        <v>458</v>
      </c>
      <c r="D10" s="328">
        <f>IF(ISNUMBER(SEARCH(ZAKL_DATA!$B$14,E10)),MAX($D$2:D9)+1,0)</f>
        <v>8</v>
      </c>
      <c r="E10" s="342" t="s">
        <v>748</v>
      </c>
      <c r="F10" s="343">
        <v>2008</v>
      </c>
      <c r="G10" s="344"/>
      <c r="H10" s="345" t="str">
        <f>IFERROR(VLOOKUP(ROWS($H$3:H10),$D$3:$E$204,2,0),"")</f>
        <v>PRAHA 8</v>
      </c>
      <c r="I10" s="312"/>
      <c r="J10" s="347" t="s">
        <v>749</v>
      </c>
      <c r="K10" s="334" t="s">
        <v>750</v>
      </c>
      <c r="M10" s="335">
        <f>IF(ISNUMBER(SEARCH(ZAKL_DATA!$B$29,N10)),MAX($M$2:M9)+1,0)</f>
        <v>8</v>
      </c>
      <c r="N10" s="336" t="s">
        <v>751</v>
      </c>
      <c r="O10" s="337" t="s">
        <v>752</v>
      </c>
      <c r="P10" s="338"/>
      <c r="Q10" s="339" t="str">
        <f>IFERROR(VLOOKUP(ROWS($Q$3:Q10),$M$3:$N$992,2,0),"")</f>
        <v>Podpůrné činnosti při těžbě</v>
      </c>
      <c r="R10">
        <f>IF(ISNUMBER(SEARCH('1Př1'!$A$33,N10)),MAX($M$2:M9)+1,0)</f>
        <v>8</v>
      </c>
      <c r="S10" s="336" t="s">
        <v>751</v>
      </c>
      <c r="T10" t="str">
        <f>IFERROR(VLOOKUP(ROWS($T$3:T10),$R$3:$S$992,2,0),"")</f>
        <v>Podpůrné činnosti při těžbě</v>
      </c>
      <c r="U10">
        <f>IF(ISNUMBER(SEARCH('1Př1'!$A$34,N10)),MAX($M$2:M9)+1,0)</f>
        <v>8</v>
      </c>
      <c r="V10" s="336" t="s">
        <v>751</v>
      </c>
      <c r="W10" t="str">
        <f>IFERROR(VLOOKUP(ROWS($W$3:W10),$U$3:$V$992,2,0),"")</f>
        <v>Podpůrné činnosti při těžbě</v>
      </c>
      <c r="X10">
        <f>IF(ISNUMBER(SEARCH('1Př1'!$A$35,N10)),MAX($M$2:M9)+1,0)</f>
        <v>8</v>
      </c>
      <c r="Y10" s="336" t="s">
        <v>751</v>
      </c>
      <c r="Z10" t="str">
        <f>IFERROR(VLOOKUP(ROWS($Z$3:Z10),$X$3:$Y$992,2,0),"")</f>
        <v>Podpůrné činnosti při těžbě</v>
      </c>
    </row>
    <row r="11" spans="1:26" ht="12.75" customHeight="1">
      <c r="A11" s="312"/>
      <c r="B11" s="340" t="s">
        <v>753</v>
      </c>
      <c r="C11" s="341">
        <v>459</v>
      </c>
      <c r="D11" s="328">
        <f>IF(ISNUMBER(SEARCH(ZAKL_DATA!$B$14,E11)),MAX($D$2:D10)+1,0)</f>
        <v>9</v>
      </c>
      <c r="E11" s="342" t="s">
        <v>754</v>
      </c>
      <c r="F11" s="343">
        <v>2009</v>
      </c>
      <c r="G11" s="344"/>
      <c r="H11" s="345" t="str">
        <f>IFERROR(VLOOKUP(ROWS($H$3:H11),$D$3:$E$204,2,0),"")</f>
        <v>PRAHA 9</v>
      </c>
      <c r="I11" s="312"/>
      <c r="J11" s="347" t="s">
        <v>755</v>
      </c>
      <c r="K11" s="334" t="s">
        <v>756</v>
      </c>
      <c r="M11" s="335">
        <f>IF(ISNUMBER(SEARCH(ZAKL_DATA!$B$29,N11)),MAX($M$2:M10)+1,0)</f>
        <v>9</v>
      </c>
      <c r="N11" s="336" t="s">
        <v>757</v>
      </c>
      <c r="O11" s="337" t="s">
        <v>758</v>
      </c>
      <c r="P11" s="338"/>
      <c r="Q11" s="339" t="str">
        <f>IFERROR(VLOOKUP(ROWS($Q$3:Q11),$M$3:$N$992,2,0),"")</f>
        <v>Výroba potravinářských výrobků</v>
      </c>
      <c r="R11">
        <f>IF(ISNUMBER(SEARCH('1Př1'!$A$33,N11)),MAX($M$2:M10)+1,0)</f>
        <v>9</v>
      </c>
      <c r="S11" s="336" t="s">
        <v>757</v>
      </c>
      <c r="T11" t="str">
        <f>IFERROR(VLOOKUP(ROWS($T$3:T11),$R$3:$S$992,2,0),"")</f>
        <v>Výroba potravinářských výrobků</v>
      </c>
      <c r="U11">
        <f>IF(ISNUMBER(SEARCH('1Př1'!$A$34,N11)),MAX($M$2:M10)+1,0)</f>
        <v>9</v>
      </c>
      <c r="V11" s="336" t="s">
        <v>757</v>
      </c>
      <c r="W11" t="str">
        <f>IFERROR(VLOOKUP(ROWS($W$3:W11),$U$3:$V$992,2,0),"")</f>
        <v>Výroba potravinářských výrobků</v>
      </c>
      <c r="X11">
        <f>IF(ISNUMBER(SEARCH('1Př1'!$A$35,N11)),MAX($M$2:M10)+1,0)</f>
        <v>9</v>
      </c>
      <c r="Y11" s="336" t="s">
        <v>757</v>
      </c>
      <c r="Z11" t="str">
        <f>IFERROR(VLOOKUP(ROWS($Z$3:Z11),$X$3:$Y$992,2,0),"")</f>
        <v>Výroba potravinářských výrobků</v>
      </c>
    </row>
    <row r="12" spans="1:26" ht="12.75" customHeight="1">
      <c r="A12" s="312"/>
      <c r="B12" s="340" t="s">
        <v>759</v>
      </c>
      <c r="C12" s="348">
        <v>460</v>
      </c>
      <c r="D12" s="328">
        <f>IF(ISNUMBER(SEARCH(ZAKL_DATA!$B$14,E12)),MAX($D$2:D11)+1,0)</f>
        <v>10</v>
      </c>
      <c r="E12" s="342" t="s">
        <v>760</v>
      </c>
      <c r="F12" s="343">
        <v>2010</v>
      </c>
      <c r="G12" s="344"/>
      <c r="H12" s="345" t="str">
        <f>IFERROR(VLOOKUP(ROWS($H$3:H12),$D$3:$E$204,2,0),"")</f>
        <v>PRAHA 10</v>
      </c>
      <c r="I12" s="312"/>
      <c r="J12" s="347" t="s">
        <v>761</v>
      </c>
      <c r="K12" s="334" t="s">
        <v>762</v>
      </c>
      <c r="M12" s="335">
        <f>IF(ISNUMBER(SEARCH(ZAKL_DATA!$B$29,N12)),MAX($M$2:M11)+1,0)</f>
        <v>10</v>
      </c>
      <c r="N12" s="336" t="s">
        <v>763</v>
      </c>
      <c r="O12" s="337" t="s">
        <v>764</v>
      </c>
      <c r="P12" s="338"/>
      <c r="Q12" s="339" t="str">
        <f>IFERROR(VLOOKUP(ROWS($Q$3:Q12),$M$3:$N$992,2,0),"")</f>
        <v>Výroba nápojů</v>
      </c>
      <c r="R12">
        <f>IF(ISNUMBER(SEARCH('1Př1'!$A$33,N12)),MAX($M$2:M11)+1,0)</f>
        <v>10</v>
      </c>
      <c r="S12" s="336" t="s">
        <v>763</v>
      </c>
      <c r="T12" t="str">
        <f>IFERROR(VLOOKUP(ROWS($T$3:T12),$R$3:$S$992,2,0),"")</f>
        <v>Výroba nápojů</v>
      </c>
      <c r="U12">
        <f>IF(ISNUMBER(SEARCH('1Př1'!$A$34,N12)),MAX($M$2:M11)+1,0)</f>
        <v>10</v>
      </c>
      <c r="V12" s="336" t="s">
        <v>763</v>
      </c>
      <c r="W12" t="str">
        <f>IFERROR(VLOOKUP(ROWS($W$3:W12),$U$3:$V$992,2,0),"")</f>
        <v>Výroba nápojů</v>
      </c>
      <c r="X12">
        <f>IF(ISNUMBER(SEARCH('1Př1'!$A$35,N12)),MAX($M$2:M11)+1,0)</f>
        <v>10</v>
      </c>
      <c r="Y12" s="336" t="s">
        <v>763</v>
      </c>
      <c r="Z12" t="str">
        <f>IFERROR(VLOOKUP(ROWS($Z$3:Z12),$X$3:$Y$992,2,0),"")</f>
        <v>Výroba nápojů</v>
      </c>
    </row>
    <row r="13" spans="1:26" ht="12.75" customHeight="1">
      <c r="A13" s="312"/>
      <c r="B13" s="340" t="s">
        <v>765</v>
      </c>
      <c r="C13" s="341">
        <v>461</v>
      </c>
      <c r="D13" s="328">
        <f>IF(ISNUMBER(SEARCH(ZAKL_DATA!$B$14,E13)),MAX($D$2:D12)+1,0)</f>
        <v>11</v>
      </c>
      <c r="E13" s="342" t="s">
        <v>766</v>
      </c>
      <c r="F13" s="343">
        <v>2011</v>
      </c>
      <c r="G13" s="344"/>
      <c r="H13" s="345" t="str">
        <f>IFERROR(VLOOKUP(ROWS($H$3:H13),$D$3:$E$204,2,0),"")</f>
        <v>PRAHA-JIŽNÍ MĚSTO</v>
      </c>
      <c r="I13" s="312"/>
      <c r="J13" s="347" t="s">
        <v>767</v>
      </c>
      <c r="K13" s="334" t="s">
        <v>768</v>
      </c>
      <c r="M13" s="335">
        <f>IF(ISNUMBER(SEARCH(ZAKL_DATA!$B$29,N13)),MAX($M$2:M12)+1,0)</f>
        <v>11</v>
      </c>
      <c r="N13" s="336" t="s">
        <v>769</v>
      </c>
      <c r="O13" s="337" t="s">
        <v>770</v>
      </c>
      <c r="P13" s="338"/>
      <c r="Q13" s="339" t="str">
        <f>IFERROR(VLOOKUP(ROWS($Q$3:Q13),$M$3:$N$992,2,0),"")</f>
        <v>Pěstování plodin jiných než trvalých</v>
      </c>
      <c r="R13">
        <f>IF(ISNUMBER(SEARCH('1Př1'!$A$33,N13)),MAX($M$2:M12)+1,0)</f>
        <v>11</v>
      </c>
      <c r="S13" s="336" t="s">
        <v>769</v>
      </c>
      <c r="T13" t="str">
        <f>IFERROR(VLOOKUP(ROWS($T$3:T13),$R$3:$S$992,2,0),"")</f>
        <v>Pěstování plodin jiných než trvalých</v>
      </c>
      <c r="U13">
        <f>IF(ISNUMBER(SEARCH('1Př1'!$A$34,N13)),MAX($M$2:M12)+1,0)</f>
        <v>11</v>
      </c>
      <c r="V13" s="336" t="s">
        <v>769</v>
      </c>
      <c r="W13" t="str">
        <f>IFERROR(VLOOKUP(ROWS($W$3:W13),$U$3:$V$992,2,0),"")</f>
        <v>Pěstování plodin jiných než trvalých</v>
      </c>
      <c r="X13">
        <f>IF(ISNUMBER(SEARCH('1Př1'!$A$35,N13)),MAX($M$2:M12)+1,0)</f>
        <v>11</v>
      </c>
      <c r="Y13" s="336" t="s">
        <v>769</v>
      </c>
      <c r="Z13" t="str">
        <f>IFERROR(VLOOKUP(ROWS($Z$3:Z13),$X$3:$Y$992,2,0),"")</f>
        <v>Pěstování plodin jiných než trvalých</v>
      </c>
    </row>
    <row r="14" spans="1:26" ht="12.75" customHeight="1">
      <c r="A14" s="312"/>
      <c r="B14" s="340" t="s">
        <v>771</v>
      </c>
      <c r="C14" s="341">
        <v>462</v>
      </c>
      <c r="D14" s="328">
        <f>IF(ISNUMBER(SEARCH(ZAKL_DATA!$B$14,E14)),MAX($D$2:D13)+1,0)</f>
        <v>12</v>
      </c>
      <c r="E14" s="342" t="s">
        <v>772</v>
      </c>
      <c r="F14" s="343">
        <v>2012</v>
      </c>
      <c r="G14" s="344"/>
      <c r="H14" s="345" t="str">
        <f>IFERROR(VLOOKUP(ROWS($H$3:H14),$D$3:$E$204,2,0),"")</f>
        <v>PRAHA-MODŘANY</v>
      </c>
      <c r="I14" s="312"/>
      <c r="J14" s="347" t="s">
        <v>773</v>
      </c>
      <c r="K14" s="334" t="s">
        <v>774</v>
      </c>
      <c r="M14" s="335">
        <f>IF(ISNUMBER(SEARCH(ZAKL_DATA!$B$29,N14)),MAX($M$2:M13)+1,0)</f>
        <v>12</v>
      </c>
      <c r="N14" s="336" t="s">
        <v>775</v>
      </c>
      <c r="O14" s="337" t="s">
        <v>776</v>
      </c>
      <c r="P14" s="338"/>
      <c r="Q14" s="339" t="str">
        <f>IFERROR(VLOOKUP(ROWS($Q$3:Q14),$M$3:$N$992,2,0),"")</f>
        <v>Výroba tabákových výrobků</v>
      </c>
      <c r="R14">
        <f>IF(ISNUMBER(SEARCH('1Př1'!$A$33,N14)),MAX($M$2:M13)+1,0)</f>
        <v>12</v>
      </c>
      <c r="S14" s="336" t="s">
        <v>775</v>
      </c>
      <c r="T14" t="str">
        <f>IFERROR(VLOOKUP(ROWS($T$3:T14),$R$3:$S$992,2,0),"")</f>
        <v>Výroba tabákových výrobků</v>
      </c>
      <c r="U14">
        <f>IF(ISNUMBER(SEARCH('1Př1'!$A$34,N14)),MAX($M$2:M13)+1,0)</f>
        <v>12</v>
      </c>
      <c r="V14" s="336" t="s">
        <v>775</v>
      </c>
      <c r="W14" t="str">
        <f>IFERROR(VLOOKUP(ROWS($W$3:W14),$U$3:$V$992,2,0),"")</f>
        <v>Výroba tabákových výrobků</v>
      </c>
      <c r="X14">
        <f>IF(ISNUMBER(SEARCH('1Př1'!$A$35,N14)),MAX($M$2:M13)+1,0)</f>
        <v>12</v>
      </c>
      <c r="Y14" s="336" t="s">
        <v>775</v>
      </c>
      <c r="Z14" t="str">
        <f>IFERROR(VLOOKUP(ROWS($Z$3:Z14),$X$3:$Y$992,2,0),"")</f>
        <v>Výroba tabákových výrobků</v>
      </c>
    </row>
    <row r="15" spans="1:26" ht="12.75" customHeight="1">
      <c r="A15" s="312"/>
      <c r="B15" s="340" t="s">
        <v>777</v>
      </c>
      <c r="C15" s="341">
        <v>463</v>
      </c>
      <c r="D15" s="328">
        <f>IF(ISNUMBER(SEARCH(ZAKL_DATA!$B$14,E15)),MAX($D$2:D14)+1,0)</f>
        <v>13</v>
      </c>
      <c r="E15" s="342" t="s">
        <v>778</v>
      </c>
      <c r="F15" s="343">
        <v>2101</v>
      </c>
      <c r="G15" s="344"/>
      <c r="H15" s="345" t="str">
        <f>IFERROR(VLOOKUP(ROWS($H$3:H15),$D$3:$E$204,2,0),"")</f>
        <v>PRAHA - VÝCHOD</v>
      </c>
      <c r="I15" s="312"/>
      <c r="J15" s="347" t="s">
        <v>779</v>
      </c>
      <c r="K15" s="334" t="s">
        <v>780</v>
      </c>
      <c r="M15" s="335">
        <f>IF(ISNUMBER(SEARCH(ZAKL_DATA!$B$29,N15)),MAX($M$2:M14)+1,0)</f>
        <v>13</v>
      </c>
      <c r="N15" s="336" t="s">
        <v>781</v>
      </c>
      <c r="O15" s="337" t="s">
        <v>782</v>
      </c>
      <c r="P15" s="338"/>
      <c r="Q15" s="339" t="str">
        <f>IFERROR(VLOOKUP(ROWS($Q$3:Q15),$M$3:$N$992,2,0),"")</f>
        <v>Pěstování trvalých plodin</v>
      </c>
      <c r="R15">
        <f>IF(ISNUMBER(SEARCH('1Př1'!$A$33,N15)),MAX($M$2:M14)+1,0)</f>
        <v>13</v>
      </c>
      <c r="S15" s="336" t="s">
        <v>781</v>
      </c>
      <c r="T15" t="str">
        <f>IFERROR(VLOOKUP(ROWS($T$3:T15),$R$3:$S$992,2,0),"")</f>
        <v>Pěstování trvalých plodin</v>
      </c>
      <c r="U15">
        <f>IF(ISNUMBER(SEARCH('1Př1'!$A$34,N15)),MAX($M$2:M14)+1,0)</f>
        <v>13</v>
      </c>
      <c r="V15" s="336" t="s">
        <v>781</v>
      </c>
      <c r="W15" t="str">
        <f>IFERROR(VLOOKUP(ROWS($W$3:W15),$U$3:$V$992,2,0),"")</f>
        <v>Pěstování trvalých plodin</v>
      </c>
      <c r="X15">
        <f>IF(ISNUMBER(SEARCH('1Př1'!$A$35,N15)),MAX($M$2:M14)+1,0)</f>
        <v>13</v>
      </c>
      <c r="Y15" s="336" t="s">
        <v>781</v>
      </c>
      <c r="Z15" t="str">
        <f>IFERROR(VLOOKUP(ROWS($Z$3:Z15),$X$3:$Y$992,2,0),"")</f>
        <v>Pěstování trvalých plodin</v>
      </c>
    </row>
    <row r="16" spans="1:26" ht="12.75" customHeight="1">
      <c r="A16" s="312"/>
      <c r="B16" s="340" t="s">
        <v>783</v>
      </c>
      <c r="C16" s="341">
        <v>464</v>
      </c>
      <c r="D16" s="328">
        <f>IF(ISNUMBER(SEARCH(ZAKL_DATA!$B$14,E16)),MAX($D$2:D15)+1,0)</f>
        <v>14</v>
      </c>
      <c r="E16" s="342" t="s">
        <v>784</v>
      </c>
      <c r="F16" s="343">
        <v>2102</v>
      </c>
      <c r="G16" s="344"/>
      <c r="H16" s="345" t="str">
        <f>IFERROR(VLOOKUP(ROWS($H$3:H16),$D$3:$E$204,2,0),"")</f>
        <v>PRAHA ZÁPAD</v>
      </c>
      <c r="I16" s="312"/>
      <c r="J16" s="347" t="s">
        <v>785</v>
      </c>
      <c r="K16" s="334" t="s">
        <v>786</v>
      </c>
      <c r="M16" s="335">
        <f>IF(ISNUMBER(SEARCH(ZAKL_DATA!$B$29,N16)),MAX($M$2:M15)+1,0)</f>
        <v>14</v>
      </c>
      <c r="N16" s="336" t="s">
        <v>787</v>
      </c>
      <c r="O16" s="337" t="s">
        <v>788</v>
      </c>
      <c r="P16" s="338"/>
      <c r="Q16" s="339" t="str">
        <f>IFERROR(VLOOKUP(ROWS($Q$3:Q16),$M$3:$N$992,2,0),"")</f>
        <v>Výroba textilií</v>
      </c>
      <c r="R16">
        <f>IF(ISNUMBER(SEARCH('1Př1'!$A$33,N16)),MAX($M$2:M15)+1,0)</f>
        <v>14</v>
      </c>
      <c r="S16" s="336" t="s">
        <v>787</v>
      </c>
      <c r="T16" t="str">
        <f>IFERROR(VLOOKUP(ROWS($T$3:T16),$R$3:$S$992,2,0),"")</f>
        <v>Výroba textilií</v>
      </c>
      <c r="U16">
        <f>IF(ISNUMBER(SEARCH('1Př1'!$A$34,N16)),MAX($M$2:M15)+1,0)</f>
        <v>14</v>
      </c>
      <c r="V16" s="336" t="s">
        <v>787</v>
      </c>
      <c r="W16" t="str">
        <f>IFERROR(VLOOKUP(ROWS($W$3:W16),$U$3:$V$992,2,0),"")</f>
        <v>Výroba textilií</v>
      </c>
      <c r="X16">
        <f>IF(ISNUMBER(SEARCH('1Př1'!$A$35,N16)),MAX($M$2:M15)+1,0)</f>
        <v>14</v>
      </c>
      <c r="Y16" s="336" t="s">
        <v>787</v>
      </c>
      <c r="Z16" t="str">
        <f>IFERROR(VLOOKUP(ROWS($Z$3:Z16),$X$3:$Y$992,2,0),"")</f>
        <v>Výroba textilií</v>
      </c>
    </row>
    <row r="17" spans="1:26" ht="12.75" customHeight="1" thickBot="1">
      <c r="A17" s="312"/>
      <c r="B17" s="349" t="s">
        <v>789</v>
      </c>
      <c r="C17" s="350">
        <v>13</v>
      </c>
      <c r="D17" s="328">
        <f>IF(ISNUMBER(SEARCH(ZAKL_DATA!$B$14,E17)),MAX($D$2:D16)+1,0)</f>
        <v>15</v>
      </c>
      <c r="E17" s="342" t="s">
        <v>790</v>
      </c>
      <c r="F17" s="343">
        <v>2103</v>
      </c>
      <c r="G17" s="344"/>
      <c r="H17" s="345" t="str">
        <f>IFERROR(VLOOKUP(ROWS($H$3:H17),$D$3:$E$204,2,0),"")</f>
        <v>BENEŠOV</v>
      </c>
      <c r="I17" s="312"/>
      <c r="J17" s="347" t="s">
        <v>791</v>
      </c>
      <c r="K17" s="334" t="s">
        <v>792</v>
      </c>
      <c r="M17" s="335">
        <f>IF(ISNUMBER(SEARCH(ZAKL_DATA!$B$29,N17)),MAX($M$2:M16)+1,0)</f>
        <v>15</v>
      </c>
      <c r="N17" s="336" t="s">
        <v>793</v>
      </c>
      <c r="O17" s="337" t="s">
        <v>794</v>
      </c>
      <c r="P17" s="338"/>
      <c r="Q17" s="339" t="str">
        <f>IFERROR(VLOOKUP(ROWS($Q$3:Q17),$M$3:$N$992,2,0),"")</f>
        <v>Množení rostlin</v>
      </c>
      <c r="R17">
        <f>IF(ISNUMBER(SEARCH('1Př1'!$A$33,N17)),MAX($M$2:M16)+1,0)</f>
        <v>15</v>
      </c>
      <c r="S17" s="336" t="s">
        <v>793</v>
      </c>
      <c r="T17" t="str">
        <f>IFERROR(VLOOKUP(ROWS($T$3:T17),$R$3:$S$992,2,0),"")</f>
        <v>Množení rostlin</v>
      </c>
      <c r="U17">
        <f>IF(ISNUMBER(SEARCH('1Př1'!$A$34,N17)),MAX($M$2:M16)+1,0)</f>
        <v>15</v>
      </c>
      <c r="V17" s="336" t="s">
        <v>793</v>
      </c>
      <c r="W17" t="str">
        <f>IFERROR(VLOOKUP(ROWS($W$3:W17),$U$3:$V$992,2,0),"")</f>
        <v>Množení rostlin</v>
      </c>
      <c r="X17">
        <f>IF(ISNUMBER(SEARCH('1Př1'!$A$35,N17)),MAX($M$2:M16)+1,0)</f>
        <v>15</v>
      </c>
      <c r="Y17" s="336" t="s">
        <v>793</v>
      </c>
      <c r="Z17" t="str">
        <f>IFERROR(VLOOKUP(ROWS($Z$3:Z17),$X$3:$Y$992,2,0),"")</f>
        <v>Množení rostlin</v>
      </c>
    </row>
    <row r="18" spans="1:26" ht="12.75" customHeight="1">
      <c r="A18" s="312"/>
      <c r="B18" s="312"/>
      <c r="C18" s="312"/>
      <c r="D18" s="328">
        <f>IF(ISNUMBER(SEARCH(ZAKL_DATA!$B$14,E18)),MAX($D$2:D17)+1,0)</f>
        <v>16</v>
      </c>
      <c r="E18" s="342" t="s">
        <v>795</v>
      </c>
      <c r="F18" s="343">
        <v>2104</v>
      </c>
      <c r="G18" s="344"/>
      <c r="H18" s="345" t="str">
        <f>IFERROR(VLOOKUP(ROWS($H$3:H18),$D$3:$E$204,2,0),"")</f>
        <v>BEROUN</v>
      </c>
      <c r="I18" s="312"/>
      <c r="J18" s="347" t="s">
        <v>796</v>
      </c>
      <c r="K18" s="334" t="s">
        <v>797</v>
      </c>
      <c r="M18" s="335">
        <f>IF(ISNUMBER(SEARCH(ZAKL_DATA!$B$29,N18)),MAX($M$2:M17)+1,0)</f>
        <v>16</v>
      </c>
      <c r="N18" s="336" t="s">
        <v>798</v>
      </c>
      <c r="O18" s="337" t="s">
        <v>799</v>
      </c>
      <c r="P18" s="338"/>
      <c r="Q18" s="339" t="str">
        <f>IFERROR(VLOOKUP(ROWS($Q$3:Q18),$M$3:$N$992,2,0),"")</f>
        <v>Výroba oděvů</v>
      </c>
      <c r="R18">
        <f>IF(ISNUMBER(SEARCH('1Př1'!$A$33,N18)),MAX($M$2:M17)+1,0)</f>
        <v>16</v>
      </c>
      <c r="S18" s="336" t="s">
        <v>798</v>
      </c>
      <c r="T18" t="str">
        <f>IFERROR(VLOOKUP(ROWS($T$3:T18),$R$3:$S$992,2,0),"")</f>
        <v>Výroba oděvů</v>
      </c>
      <c r="U18">
        <f>IF(ISNUMBER(SEARCH('1Př1'!$A$34,N18)),MAX($M$2:M17)+1,0)</f>
        <v>16</v>
      </c>
      <c r="V18" s="336" t="s">
        <v>798</v>
      </c>
      <c r="W18" t="str">
        <f>IFERROR(VLOOKUP(ROWS($W$3:W18),$U$3:$V$992,2,0),"")</f>
        <v>Výroba oděvů</v>
      </c>
      <c r="X18">
        <f>IF(ISNUMBER(SEARCH('1Př1'!$A$35,N18)),MAX($M$2:M17)+1,0)</f>
        <v>16</v>
      </c>
      <c r="Y18" s="336" t="s">
        <v>798</v>
      </c>
      <c r="Z18" t="str">
        <f>IFERROR(VLOOKUP(ROWS($Z$3:Z18),$X$3:$Y$992,2,0),"")</f>
        <v>Výroba oděvů</v>
      </c>
    </row>
    <row r="19" spans="1:26" ht="12.75" customHeight="1">
      <c r="A19" s="312"/>
      <c r="B19" s="312"/>
      <c r="C19" s="312"/>
      <c r="D19" s="328">
        <f>IF(ISNUMBER(SEARCH(ZAKL_DATA!$B$14,E19)),MAX($D$2:D18)+1,0)</f>
        <v>17</v>
      </c>
      <c r="E19" s="342" t="s">
        <v>800</v>
      </c>
      <c r="F19" s="343">
        <v>2105</v>
      </c>
      <c r="G19" s="344"/>
      <c r="H19" s="345" t="str">
        <f>IFERROR(VLOOKUP(ROWS($H$3:H19),$D$3:$E$204,2,0),"")</f>
        <v>BRANDÝS N.L. - ST.BOL.</v>
      </c>
      <c r="I19" s="312"/>
      <c r="J19" s="347" t="s">
        <v>801</v>
      </c>
      <c r="K19" s="334" t="s">
        <v>802</v>
      </c>
      <c r="M19" s="335">
        <f>IF(ISNUMBER(SEARCH(ZAKL_DATA!$B$29,N19)),MAX($M$2:M18)+1,0)</f>
        <v>17</v>
      </c>
      <c r="N19" s="336" t="s">
        <v>803</v>
      </c>
      <c r="O19" s="337" t="s">
        <v>804</v>
      </c>
      <c r="P19" s="338"/>
      <c r="Q19" s="339" t="str">
        <f>IFERROR(VLOOKUP(ROWS($Q$3:Q19),$M$3:$N$992,2,0),"")</f>
        <v>živočišná výroba</v>
      </c>
      <c r="R19">
        <f>IF(ISNUMBER(SEARCH('1Př1'!$A$33,N19)),MAX($M$2:M18)+1,0)</f>
        <v>17</v>
      </c>
      <c r="S19" s="336" t="s">
        <v>803</v>
      </c>
      <c r="T19" t="str">
        <f>IFERROR(VLOOKUP(ROWS($T$3:T19),$R$3:$S$992,2,0),"")</f>
        <v>živočišná výroba</v>
      </c>
      <c r="U19">
        <f>IF(ISNUMBER(SEARCH('1Př1'!$A$34,N19)),MAX($M$2:M18)+1,0)</f>
        <v>17</v>
      </c>
      <c r="V19" s="336" t="s">
        <v>803</v>
      </c>
      <c r="W19" t="str">
        <f>IFERROR(VLOOKUP(ROWS($W$3:W19),$U$3:$V$992,2,0),"")</f>
        <v>živočišná výroba</v>
      </c>
      <c r="X19">
        <f>IF(ISNUMBER(SEARCH('1Př1'!$A$35,N19)),MAX($M$2:M18)+1,0)</f>
        <v>17</v>
      </c>
      <c r="Y19" s="336" t="s">
        <v>803</v>
      </c>
      <c r="Z19" t="str">
        <f>IFERROR(VLOOKUP(ROWS($Z$3:Z19),$X$3:$Y$992,2,0),"")</f>
        <v>živočišná výroba</v>
      </c>
    </row>
    <row r="20" spans="1:26" ht="12.75" customHeight="1">
      <c r="A20" s="312"/>
      <c r="B20" s="312"/>
      <c r="C20" s="312"/>
      <c r="D20" s="328">
        <f>IF(ISNUMBER(SEARCH(ZAKL_DATA!$B$14,E20)),MAX($D$2:D19)+1,0)</f>
        <v>18</v>
      </c>
      <c r="E20" s="342" t="s">
        <v>805</v>
      </c>
      <c r="F20" s="343">
        <v>2106</v>
      </c>
      <c r="G20" s="344"/>
      <c r="H20" s="345" t="str">
        <f>IFERROR(VLOOKUP(ROWS($H$3:H20),$D$3:$E$204,2,0),"")</f>
        <v>ČÁSLAV</v>
      </c>
      <c r="I20" s="312"/>
      <c r="J20" s="347" t="s">
        <v>806</v>
      </c>
      <c r="K20" s="334" t="s">
        <v>807</v>
      </c>
      <c r="M20" s="335">
        <f>IF(ISNUMBER(SEARCH(ZAKL_DATA!$B$29,N20)),MAX($M$2:M19)+1,0)</f>
        <v>18</v>
      </c>
      <c r="N20" s="336" t="s">
        <v>808</v>
      </c>
      <c r="O20" s="337" t="s">
        <v>809</v>
      </c>
      <c r="P20" s="338"/>
      <c r="Q20" s="339" t="str">
        <f>IFERROR(VLOOKUP(ROWS($Q$3:Q20),$M$3:$N$992,2,0),"")</f>
        <v>Výroba usní a souvisejících výrobků</v>
      </c>
      <c r="R20">
        <f>IF(ISNUMBER(SEARCH('1Př1'!$A$33,N20)),MAX($M$2:M19)+1,0)</f>
        <v>18</v>
      </c>
      <c r="S20" s="336" t="s">
        <v>808</v>
      </c>
      <c r="T20" t="str">
        <f>IFERROR(VLOOKUP(ROWS($T$3:T20),$R$3:$S$992,2,0),"")</f>
        <v>Výroba usní a souvisejících výrobků</v>
      </c>
      <c r="U20">
        <f>IF(ISNUMBER(SEARCH('1Př1'!$A$34,N20)),MAX($M$2:M19)+1,0)</f>
        <v>18</v>
      </c>
      <c r="V20" s="336" t="s">
        <v>808</v>
      </c>
      <c r="W20" t="str">
        <f>IFERROR(VLOOKUP(ROWS($W$3:W20),$U$3:$V$992,2,0),"")</f>
        <v>Výroba usní a souvisejících výrobků</v>
      </c>
      <c r="X20">
        <f>IF(ISNUMBER(SEARCH('1Př1'!$A$35,N20)),MAX($M$2:M19)+1,0)</f>
        <v>18</v>
      </c>
      <c r="Y20" s="336" t="s">
        <v>808</v>
      </c>
      <c r="Z20" t="str">
        <f>IFERROR(VLOOKUP(ROWS($Z$3:Z20),$X$3:$Y$992,2,0),"")</f>
        <v>Výroba usní a souvisejících výrobků</v>
      </c>
    </row>
    <row r="21" spans="1:26" ht="12.75" customHeight="1">
      <c r="A21" s="312"/>
      <c r="B21" s="312"/>
      <c r="C21" s="312"/>
      <c r="D21" s="328">
        <f>IF(ISNUMBER(SEARCH(ZAKL_DATA!$B$14,E21)),MAX($D$2:D20)+1,0)</f>
        <v>19</v>
      </c>
      <c r="E21" s="342" t="s">
        <v>810</v>
      </c>
      <c r="F21" s="343">
        <v>2107</v>
      </c>
      <c r="G21" s="344"/>
      <c r="H21" s="345" t="str">
        <f>IFERROR(VLOOKUP(ROWS($H$3:H21),$D$3:$E$204,2,0),"")</f>
        <v>ČESKÝ BROD</v>
      </c>
      <c r="I21" s="312"/>
      <c r="J21" s="347" t="s">
        <v>811</v>
      </c>
      <c r="K21" s="334" t="s">
        <v>812</v>
      </c>
      <c r="M21" s="335">
        <f>IF(ISNUMBER(SEARCH(ZAKL_DATA!$B$29,N21)),MAX($M$2:M20)+1,0)</f>
        <v>19</v>
      </c>
      <c r="N21" s="336" t="s">
        <v>813</v>
      </c>
      <c r="O21" s="337" t="s">
        <v>814</v>
      </c>
      <c r="P21" s="338"/>
      <c r="Q21" s="339" t="str">
        <f>IFERROR(VLOOKUP(ROWS($Q$3:Q21),$M$3:$N$992,2,0),"")</f>
        <v>Smíšené hospodářství</v>
      </c>
      <c r="R21">
        <f>IF(ISNUMBER(SEARCH('1Př1'!$A$33,N21)),MAX($M$2:M20)+1,0)</f>
        <v>19</v>
      </c>
      <c r="S21" s="336" t="s">
        <v>813</v>
      </c>
      <c r="T21" t="str">
        <f>IFERROR(VLOOKUP(ROWS($T$3:T21),$R$3:$S$992,2,0),"")</f>
        <v>Smíšené hospodářství</v>
      </c>
      <c r="U21">
        <f>IF(ISNUMBER(SEARCH('1Př1'!$A$34,N21)),MAX($M$2:M20)+1,0)</f>
        <v>19</v>
      </c>
      <c r="V21" s="336" t="s">
        <v>813</v>
      </c>
      <c r="W21" t="str">
        <f>IFERROR(VLOOKUP(ROWS($W$3:W21),$U$3:$V$992,2,0),"")</f>
        <v>Smíšené hospodářství</v>
      </c>
      <c r="X21">
        <f>IF(ISNUMBER(SEARCH('1Př1'!$A$35,N21)),MAX($M$2:M20)+1,0)</f>
        <v>19</v>
      </c>
      <c r="Y21" s="336" t="s">
        <v>813</v>
      </c>
      <c r="Z21" t="str">
        <f>IFERROR(VLOOKUP(ROWS($Z$3:Z21),$X$3:$Y$992,2,0),"")</f>
        <v>Smíšené hospodářství</v>
      </c>
    </row>
    <row r="22" spans="1:26" ht="12.75" customHeight="1">
      <c r="A22" s="312"/>
      <c r="B22" s="312"/>
      <c r="C22" s="312"/>
      <c r="D22" s="328">
        <f>IF(ISNUMBER(SEARCH(ZAKL_DATA!$B$14,E22)),MAX($D$2:D21)+1,0)</f>
        <v>20</v>
      </c>
      <c r="E22" s="342" t="s">
        <v>815</v>
      </c>
      <c r="F22" s="343">
        <v>2108</v>
      </c>
      <c r="G22" s="344"/>
      <c r="H22" s="345" t="str">
        <f>IFERROR(VLOOKUP(ROWS($H$3:H22),$D$3:$E$204,2,0),"")</f>
        <v>DOBŘÍŠ</v>
      </c>
      <c r="I22" s="312"/>
      <c r="J22" s="347" t="s">
        <v>816</v>
      </c>
      <c r="K22" s="334" t="s">
        <v>817</v>
      </c>
      <c r="M22" s="335">
        <f>IF(ISNUMBER(SEARCH(ZAKL_DATA!$B$29,N22)),MAX($M$2:M21)+1,0)</f>
        <v>20</v>
      </c>
      <c r="N22" s="336" t="s">
        <v>818</v>
      </c>
      <c r="O22" s="337" t="s">
        <v>819</v>
      </c>
      <c r="P22" s="338"/>
      <c r="Q22" s="339" t="str">
        <f>IFERROR(VLOOKUP(ROWS($Q$3:Q22),$M$3:$N$992,2,0),"")</f>
        <v>Zprac.dřeva,výroba dřevěných,korkových,proutěných a slam.výr.,kromě nábytku</v>
      </c>
      <c r="R22">
        <f>IF(ISNUMBER(SEARCH('1Př1'!$A$33,N22)),MAX($M$2:M21)+1,0)</f>
        <v>20</v>
      </c>
      <c r="S22" s="336" t="s">
        <v>818</v>
      </c>
      <c r="T22" t="str">
        <f>IFERROR(VLOOKUP(ROWS($T$3:T22),$R$3:$S$992,2,0),"")</f>
        <v>Zprac.dřeva,výroba dřevěných,korkových,proutěných a slam.výr.,kromě nábytku</v>
      </c>
      <c r="U22">
        <f>IF(ISNUMBER(SEARCH('1Př1'!$A$34,N22)),MAX($M$2:M21)+1,0)</f>
        <v>20</v>
      </c>
      <c r="V22" s="336" t="s">
        <v>818</v>
      </c>
      <c r="W22" t="str">
        <f>IFERROR(VLOOKUP(ROWS($W$3:W22),$U$3:$V$992,2,0),"")</f>
        <v>Zprac.dřeva,výroba dřevěných,korkových,proutěných a slam.výr.,kromě nábytku</v>
      </c>
      <c r="X22">
        <f>IF(ISNUMBER(SEARCH('1Př1'!$A$35,N22)),MAX($M$2:M21)+1,0)</f>
        <v>20</v>
      </c>
      <c r="Y22" s="336" t="s">
        <v>818</v>
      </c>
      <c r="Z22" t="str">
        <f>IFERROR(VLOOKUP(ROWS($Z$3:Z22),$X$3:$Y$992,2,0),"")</f>
        <v>Zprac.dřeva,výroba dřevěných,korkových,proutěných a slam.výr.,kromě nábytku</v>
      </c>
    </row>
    <row r="23" spans="1:26" ht="12.75" customHeight="1">
      <c r="A23" s="312"/>
      <c r="B23" s="312"/>
      <c r="C23" s="312"/>
      <c r="D23" s="328">
        <f>IF(ISNUMBER(SEARCH(ZAKL_DATA!$B$14,E23)),MAX($D$2:D22)+1,0)</f>
        <v>21</v>
      </c>
      <c r="E23" s="342" t="s">
        <v>820</v>
      </c>
      <c r="F23" s="343">
        <v>2109</v>
      </c>
      <c r="G23" s="344"/>
      <c r="H23" s="345" t="str">
        <f>IFERROR(VLOOKUP(ROWS($H$3:H23),$D$3:$E$204,2,0),"")</f>
        <v>HOŘOVICE</v>
      </c>
      <c r="I23" s="312"/>
      <c r="J23" s="347" t="s">
        <v>821</v>
      </c>
      <c r="K23" s="334" t="s">
        <v>822</v>
      </c>
      <c r="M23" s="335">
        <f>IF(ISNUMBER(SEARCH(ZAKL_DATA!$B$29,N23)),MAX($M$2:M22)+1,0)</f>
        <v>21</v>
      </c>
      <c r="N23" s="336" t="s">
        <v>823</v>
      </c>
      <c r="O23" s="337" t="s">
        <v>824</v>
      </c>
      <c r="P23" s="338"/>
      <c r="Q23" s="339" t="str">
        <f>IFERROR(VLOOKUP(ROWS($Q$3:Q23),$M$3:$N$992,2,0),"")</f>
        <v>Podpůrné činnosti pro zemědělství a posklizňové činnosti</v>
      </c>
      <c r="R23">
        <f>IF(ISNUMBER(SEARCH('1Př1'!$A$33,N23)),MAX($M$2:M22)+1,0)</f>
        <v>21</v>
      </c>
      <c r="S23" s="336" t="s">
        <v>823</v>
      </c>
      <c r="T23" t="str">
        <f>IFERROR(VLOOKUP(ROWS($T$3:T23),$R$3:$S$992,2,0),"")</f>
        <v>Podpůrné činnosti pro zemědělství a posklizňové činnosti</v>
      </c>
      <c r="U23">
        <f>IF(ISNUMBER(SEARCH('1Př1'!$A$34,N23)),MAX($M$2:M22)+1,0)</f>
        <v>21</v>
      </c>
      <c r="V23" s="336" t="s">
        <v>823</v>
      </c>
      <c r="W23" t="str">
        <f>IFERROR(VLOOKUP(ROWS($W$3:W23),$U$3:$V$992,2,0),"")</f>
        <v>Podpůrné činnosti pro zemědělství a posklizňové činnosti</v>
      </c>
      <c r="X23">
        <f>IF(ISNUMBER(SEARCH('1Př1'!$A$35,N23)),MAX($M$2:M22)+1,0)</f>
        <v>21</v>
      </c>
      <c r="Y23" s="336" t="s">
        <v>823</v>
      </c>
      <c r="Z23" t="str">
        <f>IFERROR(VLOOKUP(ROWS($Z$3:Z23),$X$3:$Y$992,2,0),"")</f>
        <v>Podpůrné činnosti pro zemědělství a posklizňové činnosti</v>
      </c>
    </row>
    <row r="24" spans="1:26" ht="12.75" customHeight="1">
      <c r="A24" s="312"/>
      <c r="B24" s="312"/>
      <c r="C24" s="312"/>
      <c r="D24" s="328">
        <f>IF(ISNUMBER(SEARCH(ZAKL_DATA!$B$14,E24)),MAX($D$2:D23)+1,0)</f>
        <v>22</v>
      </c>
      <c r="E24" s="342" t="s">
        <v>825</v>
      </c>
      <c r="F24" s="343">
        <v>2110</v>
      </c>
      <c r="G24" s="344"/>
      <c r="H24" s="345" t="str">
        <f>IFERROR(VLOOKUP(ROWS($H$3:H24),$D$3:$E$204,2,0),"")</f>
        <v>KLADNO</v>
      </c>
      <c r="I24" s="312"/>
      <c r="J24" s="347" t="s">
        <v>826</v>
      </c>
      <c r="K24" s="334" t="s">
        <v>827</v>
      </c>
      <c r="M24" s="335">
        <f>IF(ISNUMBER(SEARCH(ZAKL_DATA!$B$29,N24)),MAX($M$2:M23)+1,0)</f>
        <v>22</v>
      </c>
      <c r="N24" s="336" t="s">
        <v>828</v>
      </c>
      <c r="O24" s="337" t="s">
        <v>829</v>
      </c>
      <c r="P24" s="338"/>
      <c r="Q24" s="339" t="str">
        <f>IFERROR(VLOOKUP(ROWS($Q$3:Q24),$M$3:$N$992,2,0),"")</f>
        <v>Výroba papíru a výrobků z papíru</v>
      </c>
      <c r="R24">
        <f>IF(ISNUMBER(SEARCH('1Př1'!$A$33,N24)),MAX($M$2:M23)+1,0)</f>
        <v>22</v>
      </c>
      <c r="S24" s="336" t="s">
        <v>828</v>
      </c>
      <c r="T24" t="str">
        <f>IFERROR(VLOOKUP(ROWS($T$3:T24),$R$3:$S$992,2,0),"")</f>
        <v>Výroba papíru a výrobků z papíru</v>
      </c>
      <c r="U24">
        <f>IF(ISNUMBER(SEARCH('1Př1'!$A$34,N24)),MAX($M$2:M23)+1,0)</f>
        <v>22</v>
      </c>
      <c r="V24" s="336" t="s">
        <v>828</v>
      </c>
      <c r="W24" t="str">
        <f>IFERROR(VLOOKUP(ROWS($W$3:W24),$U$3:$V$992,2,0),"")</f>
        <v>Výroba papíru a výrobků z papíru</v>
      </c>
      <c r="X24">
        <f>IF(ISNUMBER(SEARCH('1Př1'!$A$35,N24)),MAX($M$2:M23)+1,0)</f>
        <v>22</v>
      </c>
      <c r="Y24" s="336" t="s">
        <v>828</v>
      </c>
      <c r="Z24" t="str">
        <f>IFERROR(VLOOKUP(ROWS($Z$3:Z24),$X$3:$Y$992,2,0),"")</f>
        <v>Výroba papíru a výrobků z papíru</v>
      </c>
    </row>
    <row r="25" spans="1:26" ht="12.75" customHeight="1">
      <c r="A25" s="312"/>
      <c r="B25" s="312"/>
      <c r="C25" s="312"/>
      <c r="D25" s="328">
        <f>IF(ISNUMBER(SEARCH(ZAKL_DATA!$B$14,E25)),MAX($D$2:D24)+1,0)</f>
        <v>23</v>
      </c>
      <c r="E25" s="342" t="s">
        <v>830</v>
      </c>
      <c r="F25" s="343">
        <v>2111</v>
      </c>
      <c r="G25" s="344"/>
      <c r="H25" s="345" t="str">
        <f>IFERROR(VLOOKUP(ROWS($H$3:H25),$D$3:$E$204,2,0),"")</f>
        <v>KOLÍN</v>
      </c>
      <c r="I25" s="312"/>
      <c r="J25" s="347" t="s">
        <v>831</v>
      </c>
      <c r="K25" s="334" t="s">
        <v>832</v>
      </c>
      <c r="M25" s="335">
        <f>IF(ISNUMBER(SEARCH(ZAKL_DATA!$B$29,N25)),MAX($M$2:M24)+1,0)</f>
        <v>23</v>
      </c>
      <c r="N25" s="336" t="s">
        <v>833</v>
      </c>
      <c r="O25" s="337" t="s">
        <v>834</v>
      </c>
      <c r="P25" s="338"/>
      <c r="Q25" s="339" t="str">
        <f>IFERROR(VLOOKUP(ROWS($Q$3:Q25),$M$3:$N$992,2,0),"")</f>
        <v>Lov a odchyt divokých zvířat a související činnosti</v>
      </c>
      <c r="R25">
        <f>IF(ISNUMBER(SEARCH('1Př1'!$A$33,N25)),MAX($M$2:M24)+1,0)</f>
        <v>23</v>
      </c>
      <c r="S25" s="336" t="s">
        <v>833</v>
      </c>
      <c r="T25" t="str">
        <f>IFERROR(VLOOKUP(ROWS($T$3:T25),$R$3:$S$992,2,0),"")</f>
        <v>Lov a odchyt divokých zvířat a související činnosti</v>
      </c>
      <c r="U25">
        <f>IF(ISNUMBER(SEARCH('1Př1'!$A$34,N25)),MAX($M$2:M24)+1,0)</f>
        <v>23</v>
      </c>
      <c r="V25" s="336" t="s">
        <v>833</v>
      </c>
      <c r="W25" t="str">
        <f>IFERROR(VLOOKUP(ROWS($W$3:W25),$U$3:$V$992,2,0),"")</f>
        <v>Lov a odchyt divokých zvířat a související činnosti</v>
      </c>
      <c r="X25">
        <f>IF(ISNUMBER(SEARCH('1Př1'!$A$35,N25)),MAX($M$2:M24)+1,0)</f>
        <v>23</v>
      </c>
      <c r="Y25" s="336" t="s">
        <v>833</v>
      </c>
      <c r="Z25" t="str">
        <f>IFERROR(VLOOKUP(ROWS($Z$3:Z25),$X$3:$Y$992,2,0),"")</f>
        <v>Lov a odchyt divokých zvířat a související činnosti</v>
      </c>
    </row>
    <row r="26" spans="1:26" ht="12.75" customHeight="1">
      <c r="A26" s="312"/>
      <c r="B26" s="312"/>
      <c r="C26" s="312"/>
      <c r="D26" s="328">
        <f>IF(ISNUMBER(SEARCH(ZAKL_DATA!$B$14,E26)),MAX($D$2:D25)+1,0)</f>
        <v>24</v>
      </c>
      <c r="E26" s="342" t="s">
        <v>835</v>
      </c>
      <c r="F26" s="343">
        <v>2112</v>
      </c>
      <c r="G26" s="344"/>
      <c r="H26" s="345" t="str">
        <f>IFERROR(VLOOKUP(ROWS($H$3:H26),$D$3:$E$204,2,0),"")</f>
        <v>KRALUPY NAD VLTAVOU</v>
      </c>
      <c r="I26" s="312"/>
      <c r="J26" s="347" t="s">
        <v>836</v>
      </c>
      <c r="K26" s="334" t="s">
        <v>837</v>
      </c>
      <c r="M26" s="335">
        <f>IF(ISNUMBER(SEARCH(ZAKL_DATA!$B$29,N26)),MAX($M$2:M25)+1,0)</f>
        <v>24</v>
      </c>
      <c r="N26" s="336" t="s">
        <v>838</v>
      </c>
      <c r="O26" s="337" t="s">
        <v>839</v>
      </c>
      <c r="P26" s="338"/>
      <c r="Q26" s="339" t="str">
        <f>IFERROR(VLOOKUP(ROWS($Q$3:Q26),$M$3:$N$992,2,0),"")</f>
        <v>Tisk a rozmnožování nahraných nosičů</v>
      </c>
      <c r="R26">
        <f>IF(ISNUMBER(SEARCH('1Př1'!$A$33,N26)),MAX($M$2:M25)+1,0)</f>
        <v>24</v>
      </c>
      <c r="S26" s="336" t="s">
        <v>838</v>
      </c>
      <c r="T26" t="str">
        <f>IFERROR(VLOOKUP(ROWS($T$3:T26),$R$3:$S$992,2,0),"")</f>
        <v>Tisk a rozmnožování nahraných nosičů</v>
      </c>
      <c r="U26">
        <f>IF(ISNUMBER(SEARCH('1Př1'!$A$34,N26)),MAX($M$2:M25)+1,0)</f>
        <v>24</v>
      </c>
      <c r="V26" s="336" t="s">
        <v>838</v>
      </c>
      <c r="W26" t="str">
        <f>IFERROR(VLOOKUP(ROWS($W$3:W26),$U$3:$V$992,2,0),"")</f>
        <v>Tisk a rozmnožování nahraných nosičů</v>
      </c>
      <c r="X26">
        <f>IF(ISNUMBER(SEARCH('1Př1'!$A$35,N26)),MAX($M$2:M25)+1,0)</f>
        <v>24</v>
      </c>
      <c r="Y26" s="336" t="s">
        <v>838</v>
      </c>
      <c r="Z26" t="str">
        <f>IFERROR(VLOOKUP(ROWS($Z$3:Z26),$X$3:$Y$992,2,0),"")</f>
        <v>Tisk a rozmnožování nahraných nosičů</v>
      </c>
    </row>
    <row r="27" spans="1:26" ht="12.75" customHeight="1">
      <c r="A27" s="312"/>
      <c r="B27" s="312"/>
      <c r="C27" s="312"/>
      <c r="D27" s="328">
        <f>IF(ISNUMBER(SEARCH(ZAKL_DATA!$B$14,E27)),MAX($D$2:D26)+1,0)</f>
        <v>25</v>
      </c>
      <c r="E27" s="342" t="s">
        <v>840</v>
      </c>
      <c r="F27" s="343">
        <v>2113</v>
      </c>
      <c r="G27" s="344"/>
      <c r="H27" s="345" t="str">
        <f>IFERROR(VLOOKUP(ROWS($H$3:H27),$D$3:$E$204,2,0),"")</f>
        <v>KUTNÁ HORA</v>
      </c>
      <c r="I27" s="312"/>
      <c r="J27" s="347" t="s">
        <v>841</v>
      </c>
      <c r="K27" s="334" t="s">
        <v>842</v>
      </c>
      <c r="M27" s="335">
        <f>IF(ISNUMBER(SEARCH(ZAKL_DATA!$B$29,N27)),MAX($M$2:M26)+1,0)</f>
        <v>25</v>
      </c>
      <c r="N27" s="336" t="s">
        <v>843</v>
      </c>
      <c r="O27" s="337" t="s">
        <v>844</v>
      </c>
      <c r="P27" s="338"/>
      <c r="Q27" s="339" t="str">
        <f>IFERROR(VLOOKUP(ROWS($Q$3:Q27),$M$3:$N$992,2,0),"")</f>
        <v>Výroba koksu a rafinovaných ropných produktů</v>
      </c>
      <c r="R27">
        <f>IF(ISNUMBER(SEARCH('1Př1'!$A$33,N27)),MAX($M$2:M26)+1,0)</f>
        <v>25</v>
      </c>
      <c r="S27" s="336" t="s">
        <v>843</v>
      </c>
      <c r="T27" t="str">
        <f>IFERROR(VLOOKUP(ROWS($T$3:T27),$R$3:$S$992,2,0),"")</f>
        <v>Výroba koksu a rafinovaných ropných produktů</v>
      </c>
      <c r="U27">
        <f>IF(ISNUMBER(SEARCH('1Př1'!$A$34,N27)),MAX($M$2:M26)+1,0)</f>
        <v>25</v>
      </c>
      <c r="V27" s="336" t="s">
        <v>843</v>
      </c>
      <c r="W27" t="str">
        <f>IFERROR(VLOOKUP(ROWS($W$3:W27),$U$3:$V$992,2,0),"")</f>
        <v>Výroba koksu a rafinovaných ropných produktů</v>
      </c>
      <c r="X27">
        <f>IF(ISNUMBER(SEARCH('1Př1'!$A$35,N27)),MAX($M$2:M26)+1,0)</f>
        <v>25</v>
      </c>
      <c r="Y27" s="336" t="s">
        <v>843</v>
      </c>
      <c r="Z27" t="str">
        <f>IFERROR(VLOOKUP(ROWS($Z$3:Z27),$X$3:$Y$992,2,0),"")</f>
        <v>Výroba koksu a rafinovaných ropných produktů</v>
      </c>
    </row>
    <row r="28" spans="1:26" ht="12.75" customHeight="1">
      <c r="A28" s="312"/>
      <c r="B28" s="312"/>
      <c r="C28" s="312"/>
      <c r="D28" s="328">
        <f>IF(ISNUMBER(SEARCH(ZAKL_DATA!$B$14,E28)),MAX($D$2:D27)+1,0)</f>
        <v>26</v>
      </c>
      <c r="E28" s="342" t="s">
        <v>845</v>
      </c>
      <c r="F28" s="343">
        <v>2114</v>
      </c>
      <c r="G28" s="344"/>
      <c r="H28" s="345" t="str">
        <f>IFERROR(VLOOKUP(ROWS($H$3:H28),$D$3:$E$204,2,0),"")</f>
        <v>MĚLNÍK</v>
      </c>
      <c r="I28" s="312"/>
      <c r="J28" s="347" t="s">
        <v>846</v>
      </c>
      <c r="K28" s="334" t="s">
        <v>847</v>
      </c>
      <c r="M28" s="335">
        <f>IF(ISNUMBER(SEARCH(ZAKL_DATA!$B$29,N28)),MAX($M$2:M27)+1,0)</f>
        <v>26</v>
      </c>
      <c r="N28" s="336" t="s">
        <v>848</v>
      </c>
      <c r="O28" s="337" t="s">
        <v>849</v>
      </c>
      <c r="P28" s="338"/>
      <c r="Q28" s="339" t="str">
        <f>IFERROR(VLOOKUP(ROWS($Q$3:Q28),$M$3:$N$992,2,0),"")</f>
        <v>Výroba chemických látek a chemických přípravků</v>
      </c>
      <c r="R28">
        <f>IF(ISNUMBER(SEARCH('1Př1'!$A$33,N28)),MAX($M$2:M27)+1,0)</f>
        <v>26</v>
      </c>
      <c r="S28" s="336" t="s">
        <v>848</v>
      </c>
      <c r="T28" t="str">
        <f>IFERROR(VLOOKUP(ROWS($T$3:T28),$R$3:$S$992,2,0),"")</f>
        <v>Výroba chemických látek a chemických přípravků</v>
      </c>
      <c r="U28">
        <f>IF(ISNUMBER(SEARCH('1Př1'!$A$34,N28)),MAX($M$2:M27)+1,0)</f>
        <v>26</v>
      </c>
      <c r="V28" s="336" t="s">
        <v>848</v>
      </c>
      <c r="W28" t="str">
        <f>IFERROR(VLOOKUP(ROWS($W$3:W28),$U$3:$V$992,2,0),"")</f>
        <v>Výroba chemických látek a chemických přípravků</v>
      </c>
      <c r="X28">
        <f>IF(ISNUMBER(SEARCH('1Př1'!$A$35,N28)),MAX($M$2:M27)+1,0)</f>
        <v>26</v>
      </c>
      <c r="Y28" s="336" t="s">
        <v>848</v>
      </c>
      <c r="Z28" t="str">
        <f>IFERROR(VLOOKUP(ROWS($Z$3:Z28),$X$3:$Y$992,2,0),"")</f>
        <v>Výroba chemických látek a chemických přípravků</v>
      </c>
    </row>
    <row r="29" spans="1:26" ht="12.75" customHeight="1">
      <c r="A29" s="312"/>
      <c r="B29" s="312"/>
      <c r="C29" s="312"/>
      <c r="D29" s="328">
        <f>IF(ISNUMBER(SEARCH(ZAKL_DATA!$B$14,E29)),MAX($D$2:D28)+1,0)</f>
        <v>27</v>
      </c>
      <c r="E29" s="342" t="s">
        <v>850</v>
      </c>
      <c r="F29" s="343">
        <v>2115</v>
      </c>
      <c r="G29" s="344"/>
      <c r="H29" s="345" t="str">
        <f>IFERROR(VLOOKUP(ROWS($H$3:H29),$D$3:$E$204,2,0),"")</f>
        <v>MLADÁ BOLESLAV</v>
      </c>
      <c r="I29" s="312"/>
      <c r="J29" s="347" t="s">
        <v>851</v>
      </c>
      <c r="K29" s="334" t="s">
        <v>852</v>
      </c>
      <c r="M29" s="335">
        <f>IF(ISNUMBER(SEARCH(ZAKL_DATA!$B$29,N29)),MAX($M$2:M28)+1,0)</f>
        <v>27</v>
      </c>
      <c r="N29" s="336" t="s">
        <v>853</v>
      </c>
      <c r="O29" s="337" t="s">
        <v>854</v>
      </c>
      <c r="P29" s="338"/>
      <c r="Q29" s="339" t="str">
        <f>IFERROR(VLOOKUP(ROWS($Q$3:Q29),$M$3:$N$992,2,0),"")</f>
        <v>Výroba základních farmaceutických výrobků a farmaceutických přípravků</v>
      </c>
      <c r="R29">
        <f>IF(ISNUMBER(SEARCH('1Př1'!$A$33,N29)),MAX($M$2:M28)+1,0)</f>
        <v>27</v>
      </c>
      <c r="S29" s="336" t="s">
        <v>853</v>
      </c>
      <c r="T29" t="str">
        <f>IFERROR(VLOOKUP(ROWS($T$3:T29),$R$3:$S$992,2,0),"")</f>
        <v>Výroba základních farmaceutických výrobků a farmaceutických přípravků</v>
      </c>
      <c r="U29">
        <f>IF(ISNUMBER(SEARCH('1Př1'!$A$34,N29)),MAX($M$2:M28)+1,0)</f>
        <v>27</v>
      </c>
      <c r="V29" s="336" t="s">
        <v>853</v>
      </c>
      <c r="W29" t="str">
        <f>IFERROR(VLOOKUP(ROWS($W$3:W29),$U$3:$V$992,2,0),"")</f>
        <v>Výroba základních farmaceutických výrobků a farmaceutických přípravků</v>
      </c>
      <c r="X29">
        <f>IF(ISNUMBER(SEARCH('1Př1'!$A$35,N29)),MAX($M$2:M28)+1,0)</f>
        <v>27</v>
      </c>
      <c r="Y29" s="336" t="s">
        <v>853</v>
      </c>
      <c r="Z29" t="str">
        <f>IFERROR(VLOOKUP(ROWS($Z$3:Z29),$X$3:$Y$992,2,0),"")</f>
        <v>Výroba základních farmaceutických výrobků a farmaceutických přípravků</v>
      </c>
    </row>
    <row r="30" spans="1:26" ht="12.75" customHeight="1">
      <c r="A30" s="312"/>
      <c r="B30" s="312"/>
      <c r="C30" s="312"/>
      <c r="D30" s="328">
        <f>IF(ISNUMBER(SEARCH(ZAKL_DATA!$B$14,E30)),MAX($D$2:D29)+1,0)</f>
        <v>28</v>
      </c>
      <c r="E30" s="342" t="s">
        <v>855</v>
      </c>
      <c r="F30" s="343">
        <v>2116</v>
      </c>
      <c r="G30" s="344"/>
      <c r="H30" s="345" t="str">
        <f>IFERROR(VLOOKUP(ROWS($H$3:H30),$D$3:$E$204,2,0),"")</f>
        <v>MNICHOVO HRADIŠTĚ</v>
      </c>
      <c r="I30" s="312"/>
      <c r="J30" s="347" t="s">
        <v>856</v>
      </c>
      <c r="K30" s="334" t="s">
        <v>857</v>
      </c>
      <c r="M30" s="335">
        <f>IF(ISNUMBER(SEARCH(ZAKL_DATA!$B$29,N30)),MAX($M$2:M29)+1,0)</f>
        <v>28</v>
      </c>
      <c r="N30" s="336" t="s">
        <v>858</v>
      </c>
      <c r="O30" s="337" t="s">
        <v>859</v>
      </c>
      <c r="P30" s="338"/>
      <c r="Q30" s="339" t="str">
        <f>IFERROR(VLOOKUP(ROWS($Q$3:Q30),$M$3:$N$992,2,0),"")</f>
        <v>Lesní hospodářství a jiné činnosti v oblasti lesnictví</v>
      </c>
      <c r="R30">
        <f>IF(ISNUMBER(SEARCH('1Př1'!$A$33,N30)),MAX($M$2:M29)+1,0)</f>
        <v>28</v>
      </c>
      <c r="S30" s="336" t="s">
        <v>858</v>
      </c>
      <c r="T30" t="str">
        <f>IFERROR(VLOOKUP(ROWS($T$3:T30),$R$3:$S$992,2,0),"")</f>
        <v>Lesní hospodářství a jiné činnosti v oblasti lesnictví</v>
      </c>
      <c r="U30">
        <f>IF(ISNUMBER(SEARCH('1Př1'!$A$34,N30)),MAX($M$2:M29)+1,0)</f>
        <v>28</v>
      </c>
      <c r="V30" s="336" t="s">
        <v>858</v>
      </c>
      <c r="W30" t="str">
        <f>IFERROR(VLOOKUP(ROWS($W$3:W30),$U$3:$V$992,2,0),"")</f>
        <v>Lesní hospodářství a jiné činnosti v oblasti lesnictví</v>
      </c>
      <c r="X30">
        <f>IF(ISNUMBER(SEARCH('1Př1'!$A$35,N30)),MAX($M$2:M29)+1,0)</f>
        <v>28</v>
      </c>
      <c r="Y30" s="336" t="s">
        <v>858</v>
      </c>
      <c r="Z30" t="str">
        <f>IFERROR(VLOOKUP(ROWS($Z$3:Z30),$X$3:$Y$992,2,0),"")</f>
        <v>Lesní hospodářství a jiné činnosti v oblasti lesnictví</v>
      </c>
    </row>
    <row r="31" spans="1:26" ht="12.75" customHeight="1">
      <c r="A31" s="312"/>
      <c r="B31" s="312"/>
      <c r="C31" s="312"/>
      <c r="D31" s="328">
        <f>IF(ISNUMBER(SEARCH(ZAKL_DATA!$B$14,E31)),MAX($D$2:D30)+1,0)</f>
        <v>29</v>
      </c>
      <c r="E31" s="342" t="s">
        <v>860</v>
      </c>
      <c r="F31" s="343">
        <v>2117</v>
      </c>
      <c r="G31" s="344"/>
      <c r="H31" s="345" t="str">
        <f>IFERROR(VLOOKUP(ROWS($H$3:H31),$D$3:$E$204,2,0),"")</f>
        <v>NERATOVICE</v>
      </c>
      <c r="I31" s="312"/>
      <c r="J31" s="347" t="s">
        <v>861</v>
      </c>
      <c r="K31" s="334" t="s">
        <v>862</v>
      </c>
      <c r="M31" s="335">
        <f>IF(ISNUMBER(SEARCH(ZAKL_DATA!$B$29,N31)),MAX($M$2:M30)+1,0)</f>
        <v>29</v>
      </c>
      <c r="N31" s="336" t="s">
        <v>863</v>
      </c>
      <c r="O31" s="337" t="s">
        <v>864</v>
      </c>
      <c r="P31" s="338"/>
      <c r="Q31" s="339" t="str">
        <f>IFERROR(VLOOKUP(ROWS($Q$3:Q31),$M$3:$N$992,2,0),"")</f>
        <v>Výroba pryžových a plastových výrobků</v>
      </c>
      <c r="R31">
        <f>IF(ISNUMBER(SEARCH('1Př1'!$A$33,N31)),MAX($M$2:M30)+1,0)</f>
        <v>29</v>
      </c>
      <c r="S31" s="336" t="s">
        <v>863</v>
      </c>
      <c r="T31" t="str">
        <f>IFERROR(VLOOKUP(ROWS($T$3:T31),$R$3:$S$992,2,0),"")</f>
        <v>Výroba pryžových a plastových výrobků</v>
      </c>
      <c r="U31">
        <f>IF(ISNUMBER(SEARCH('1Př1'!$A$34,N31)),MAX($M$2:M30)+1,0)</f>
        <v>29</v>
      </c>
      <c r="V31" s="336" t="s">
        <v>863</v>
      </c>
      <c r="W31" t="str">
        <f>IFERROR(VLOOKUP(ROWS($W$3:W31),$U$3:$V$992,2,0),"")</f>
        <v>Výroba pryžových a plastových výrobků</v>
      </c>
      <c r="X31">
        <f>IF(ISNUMBER(SEARCH('1Př1'!$A$35,N31)),MAX($M$2:M30)+1,0)</f>
        <v>29</v>
      </c>
      <c r="Y31" s="336" t="s">
        <v>863</v>
      </c>
      <c r="Z31" t="str">
        <f>IFERROR(VLOOKUP(ROWS($Z$3:Z31),$X$3:$Y$992,2,0),"")</f>
        <v>Výroba pryžových a plastových výrobků</v>
      </c>
    </row>
    <row r="32" spans="1:26" ht="12.75" customHeight="1">
      <c r="A32" s="312"/>
      <c r="B32" s="312"/>
      <c r="C32" s="312"/>
      <c r="D32" s="328">
        <f>IF(ISNUMBER(SEARCH(ZAKL_DATA!$B$14,E32)),MAX($D$2:D31)+1,0)</f>
        <v>30</v>
      </c>
      <c r="E32" s="342" t="s">
        <v>865</v>
      </c>
      <c r="F32" s="343">
        <v>2118</v>
      </c>
      <c r="G32" s="344"/>
      <c r="H32" s="345" t="str">
        <f>IFERROR(VLOOKUP(ROWS($H$3:H32),$D$3:$E$204,2,0),"")</f>
        <v>NYMBURK</v>
      </c>
      <c r="I32" s="312"/>
      <c r="J32" s="347" t="s">
        <v>866</v>
      </c>
      <c r="K32" s="334" t="s">
        <v>867</v>
      </c>
      <c r="M32" s="335">
        <f>IF(ISNUMBER(SEARCH(ZAKL_DATA!$B$29,N32)),MAX($M$2:M31)+1,0)</f>
        <v>30</v>
      </c>
      <c r="N32" s="336" t="s">
        <v>868</v>
      </c>
      <c r="O32" s="337" t="s">
        <v>869</v>
      </c>
      <c r="P32" s="338"/>
      <c r="Q32" s="339" t="str">
        <f>IFERROR(VLOOKUP(ROWS($Q$3:Q32),$M$3:$N$992,2,0),"")</f>
        <v>Těžba dřeva</v>
      </c>
      <c r="R32">
        <f>IF(ISNUMBER(SEARCH('1Př1'!$A$33,N32)),MAX($M$2:M31)+1,0)</f>
        <v>30</v>
      </c>
      <c r="S32" s="336" t="s">
        <v>868</v>
      </c>
      <c r="T32" t="str">
        <f>IFERROR(VLOOKUP(ROWS($T$3:T32),$R$3:$S$992,2,0),"")</f>
        <v>Těžba dřeva</v>
      </c>
      <c r="U32">
        <f>IF(ISNUMBER(SEARCH('1Př1'!$A$34,N32)),MAX($M$2:M31)+1,0)</f>
        <v>30</v>
      </c>
      <c r="V32" s="336" t="s">
        <v>868</v>
      </c>
      <c r="W32" t="str">
        <f>IFERROR(VLOOKUP(ROWS($W$3:W32),$U$3:$V$992,2,0),"")</f>
        <v>Těžba dřeva</v>
      </c>
      <c r="X32">
        <f>IF(ISNUMBER(SEARCH('1Př1'!$A$35,N32)),MAX($M$2:M31)+1,0)</f>
        <v>30</v>
      </c>
      <c r="Y32" s="336" t="s">
        <v>868</v>
      </c>
      <c r="Z32" t="str">
        <f>IFERROR(VLOOKUP(ROWS($Z$3:Z32),$X$3:$Y$992,2,0),"")</f>
        <v>Těžba dřeva</v>
      </c>
    </row>
    <row r="33" spans="1:26" ht="12.75" customHeight="1">
      <c r="A33" s="312"/>
      <c r="B33" s="312"/>
      <c r="C33" s="312"/>
      <c r="D33" s="328">
        <f>IF(ISNUMBER(SEARCH(ZAKL_DATA!$B$14,E33)),MAX($D$2:D32)+1,0)</f>
        <v>31</v>
      </c>
      <c r="E33" s="342" t="s">
        <v>870</v>
      </c>
      <c r="F33" s="343">
        <v>2119</v>
      </c>
      <c r="G33" s="344"/>
      <c r="H33" s="345" t="str">
        <f>IFERROR(VLOOKUP(ROWS($H$3:H33),$D$3:$E$204,2,0),"")</f>
        <v>PODĚBRADY</v>
      </c>
      <c r="I33" s="312"/>
      <c r="J33" s="347" t="s">
        <v>871</v>
      </c>
      <c r="K33" s="334" t="s">
        <v>872</v>
      </c>
      <c r="M33" s="335">
        <f>IF(ISNUMBER(SEARCH(ZAKL_DATA!$B$29,N33)),MAX($M$2:M32)+1,0)</f>
        <v>31</v>
      </c>
      <c r="N33" s="336" t="s">
        <v>873</v>
      </c>
      <c r="O33" s="337" t="s">
        <v>874</v>
      </c>
      <c r="P33" s="338"/>
      <c r="Q33" s="339" t="str">
        <f>IFERROR(VLOOKUP(ROWS($Q$3:Q33),$M$3:$N$992,2,0),"")</f>
        <v>Výroba ostatních nekovových minerálních výrobků</v>
      </c>
      <c r="R33">
        <f>IF(ISNUMBER(SEARCH('1Př1'!$A$33,N33)),MAX($M$2:M32)+1,0)</f>
        <v>31</v>
      </c>
      <c r="S33" s="336" t="s">
        <v>873</v>
      </c>
      <c r="T33" t="str">
        <f>IFERROR(VLOOKUP(ROWS($T$3:T33),$R$3:$S$992,2,0),"")</f>
        <v>Výroba ostatních nekovových minerálních výrobků</v>
      </c>
      <c r="U33">
        <f>IF(ISNUMBER(SEARCH('1Př1'!$A$34,N33)),MAX($M$2:M32)+1,0)</f>
        <v>31</v>
      </c>
      <c r="V33" s="336" t="s">
        <v>873</v>
      </c>
      <c r="W33" t="str">
        <f>IFERROR(VLOOKUP(ROWS($W$3:W33),$U$3:$V$992,2,0),"")</f>
        <v>Výroba ostatních nekovových minerálních výrobků</v>
      </c>
      <c r="X33">
        <f>IF(ISNUMBER(SEARCH('1Př1'!$A$35,N33)),MAX($M$2:M32)+1,0)</f>
        <v>31</v>
      </c>
      <c r="Y33" s="336" t="s">
        <v>873</v>
      </c>
      <c r="Z33" t="str">
        <f>IFERROR(VLOOKUP(ROWS($Z$3:Z33),$X$3:$Y$992,2,0),"")</f>
        <v>Výroba ostatních nekovových minerálních výrobků</v>
      </c>
    </row>
    <row r="34" spans="1:26" ht="12.75" customHeight="1">
      <c r="A34" s="312"/>
      <c r="B34" s="312"/>
      <c r="C34" s="312"/>
      <c r="D34" s="328">
        <f>IF(ISNUMBER(SEARCH(ZAKL_DATA!$B$14,E34)),MAX($D$2:D33)+1,0)</f>
        <v>32</v>
      </c>
      <c r="E34" s="342" t="s">
        <v>875</v>
      </c>
      <c r="F34" s="343">
        <v>2120</v>
      </c>
      <c r="G34" s="344"/>
      <c r="H34" s="345" t="str">
        <f>IFERROR(VLOOKUP(ROWS($H$3:H34),$D$3:$E$204,2,0),"")</f>
        <v>PŘÍBRAM</v>
      </c>
      <c r="I34" s="312"/>
      <c r="J34" s="347" t="s">
        <v>876</v>
      </c>
      <c r="K34" s="334" t="s">
        <v>877</v>
      </c>
      <c r="M34" s="335">
        <f>IF(ISNUMBER(SEARCH(ZAKL_DATA!$B$29,N34)),MAX($M$2:M33)+1,0)</f>
        <v>32</v>
      </c>
      <c r="N34" s="336" t="s">
        <v>878</v>
      </c>
      <c r="O34" s="337" t="s">
        <v>879</v>
      </c>
      <c r="P34" s="338"/>
      <c r="Q34" s="339" t="str">
        <f>IFERROR(VLOOKUP(ROWS($Q$3:Q34),$M$3:$N$992,2,0),"")</f>
        <v>Sběr a získávání volně rostoucích plodů a materiálů, kromě dřeva</v>
      </c>
      <c r="R34">
        <f>IF(ISNUMBER(SEARCH('1Př1'!$A$33,N34)),MAX($M$2:M33)+1,0)</f>
        <v>32</v>
      </c>
      <c r="S34" s="336" t="s">
        <v>878</v>
      </c>
      <c r="T34" t="str">
        <f>IFERROR(VLOOKUP(ROWS($T$3:T34),$R$3:$S$992,2,0),"")</f>
        <v>Sběr a získávání volně rostoucích plodů a materiálů, kromě dřeva</v>
      </c>
      <c r="U34">
        <f>IF(ISNUMBER(SEARCH('1Př1'!$A$34,N34)),MAX($M$2:M33)+1,0)</f>
        <v>32</v>
      </c>
      <c r="V34" s="336" t="s">
        <v>878</v>
      </c>
      <c r="W34" t="str">
        <f>IFERROR(VLOOKUP(ROWS($W$3:W34),$U$3:$V$992,2,0),"")</f>
        <v>Sběr a získávání volně rostoucích plodů a materiálů, kromě dřeva</v>
      </c>
      <c r="X34">
        <f>IF(ISNUMBER(SEARCH('1Př1'!$A$35,N34)),MAX($M$2:M33)+1,0)</f>
        <v>32</v>
      </c>
      <c r="Y34" s="336" t="s">
        <v>878</v>
      </c>
      <c r="Z34" t="str">
        <f>IFERROR(VLOOKUP(ROWS($Z$3:Z34),$X$3:$Y$992,2,0),"")</f>
        <v>Sběr a získávání volně rostoucích plodů a materiálů, kromě dřeva</v>
      </c>
    </row>
    <row r="35" spans="1:26" ht="12.75" customHeight="1">
      <c r="A35" s="312"/>
      <c r="B35" s="312"/>
      <c r="C35" s="312"/>
      <c r="D35" s="328">
        <f>IF(ISNUMBER(SEARCH(ZAKL_DATA!$B$14,E35)),MAX($D$2:D34)+1,0)</f>
        <v>33</v>
      </c>
      <c r="E35" s="342" t="s">
        <v>880</v>
      </c>
      <c r="F35" s="343">
        <v>2121</v>
      </c>
      <c r="G35" s="344"/>
      <c r="H35" s="345" t="str">
        <f>IFERROR(VLOOKUP(ROWS($H$3:H35),$D$3:$E$204,2,0),"")</f>
        <v>RAKOVNÍK</v>
      </c>
      <c r="I35" s="312"/>
      <c r="J35" s="347" t="s">
        <v>881</v>
      </c>
      <c r="K35" s="334" t="s">
        <v>882</v>
      </c>
      <c r="M35" s="335">
        <f>IF(ISNUMBER(SEARCH(ZAKL_DATA!$B$29,N35)),MAX($M$2:M34)+1,0)</f>
        <v>33</v>
      </c>
      <c r="N35" s="336" t="s">
        <v>883</v>
      </c>
      <c r="O35" s="337" t="s">
        <v>884</v>
      </c>
      <c r="P35" s="338"/>
      <c r="Q35" s="339" t="str">
        <f>IFERROR(VLOOKUP(ROWS($Q$3:Q35),$M$3:$N$992,2,0),"")</f>
        <v>Výroba základních kovů, hutní zpracování kovů; slévárenství</v>
      </c>
      <c r="R35">
        <f>IF(ISNUMBER(SEARCH('1Př1'!$A$33,N35)),MAX($M$2:M34)+1,0)</f>
        <v>33</v>
      </c>
      <c r="S35" s="336" t="s">
        <v>883</v>
      </c>
      <c r="T35" t="str">
        <f>IFERROR(VLOOKUP(ROWS($T$3:T35),$R$3:$S$992,2,0),"")</f>
        <v>Výroba základních kovů, hutní zpracování kovů; slévárenství</v>
      </c>
      <c r="U35">
        <f>IF(ISNUMBER(SEARCH('1Př1'!$A$34,N35)),MAX($M$2:M34)+1,0)</f>
        <v>33</v>
      </c>
      <c r="V35" s="336" t="s">
        <v>883</v>
      </c>
      <c r="W35" t="str">
        <f>IFERROR(VLOOKUP(ROWS($W$3:W35),$U$3:$V$992,2,0),"")</f>
        <v>Výroba základních kovů, hutní zpracování kovů; slévárenství</v>
      </c>
      <c r="X35">
        <f>IF(ISNUMBER(SEARCH('1Př1'!$A$35,N35)),MAX($M$2:M34)+1,0)</f>
        <v>33</v>
      </c>
      <c r="Y35" s="336" t="s">
        <v>883</v>
      </c>
      <c r="Z35" t="str">
        <f>IFERROR(VLOOKUP(ROWS($Z$3:Z35),$X$3:$Y$992,2,0),"")</f>
        <v>Výroba základních kovů, hutní zpracování kovů; slévárenství</v>
      </c>
    </row>
    <row r="36" spans="1:26" ht="12.75" customHeight="1">
      <c r="A36" s="312"/>
      <c r="B36" s="312"/>
      <c r="C36" s="312"/>
      <c r="D36" s="328">
        <f>IF(ISNUMBER(SEARCH(ZAKL_DATA!$B$14,E36)),MAX($D$2:D35)+1,0)</f>
        <v>34</v>
      </c>
      <c r="E36" s="342" t="s">
        <v>885</v>
      </c>
      <c r="F36" s="343">
        <v>2122</v>
      </c>
      <c r="G36" s="344"/>
      <c r="H36" s="345" t="str">
        <f>IFERROR(VLOOKUP(ROWS($H$3:H36),$D$3:$E$204,2,0),"")</f>
        <v>ŘÍČANY</v>
      </c>
      <c r="I36" s="312"/>
      <c r="J36" s="347" t="s">
        <v>886</v>
      </c>
      <c r="K36" s="334" t="s">
        <v>887</v>
      </c>
      <c r="M36" s="335">
        <f>IF(ISNUMBER(SEARCH(ZAKL_DATA!$B$29,N36)),MAX($M$2:M35)+1,0)</f>
        <v>34</v>
      </c>
      <c r="N36" s="336" t="s">
        <v>888</v>
      </c>
      <c r="O36" s="337" t="s">
        <v>889</v>
      </c>
      <c r="P36" s="338"/>
      <c r="Q36" s="339" t="str">
        <f>IFERROR(VLOOKUP(ROWS($Q$3:Q36),$M$3:$N$992,2,0),"")</f>
        <v>Podpůrné činnosti pro lesnictví</v>
      </c>
      <c r="R36">
        <f>IF(ISNUMBER(SEARCH('1Př1'!$A$33,N36)),MAX($M$2:M35)+1,0)</f>
        <v>34</v>
      </c>
      <c r="S36" s="336" t="s">
        <v>888</v>
      </c>
      <c r="T36" t="str">
        <f>IFERROR(VLOOKUP(ROWS($T$3:T36),$R$3:$S$992,2,0),"")</f>
        <v>Podpůrné činnosti pro lesnictví</v>
      </c>
      <c r="U36">
        <f>IF(ISNUMBER(SEARCH('1Př1'!$A$34,N36)),MAX($M$2:M35)+1,0)</f>
        <v>34</v>
      </c>
      <c r="V36" s="336" t="s">
        <v>888</v>
      </c>
      <c r="W36" t="str">
        <f>IFERROR(VLOOKUP(ROWS($W$3:W36),$U$3:$V$992,2,0),"")</f>
        <v>Podpůrné činnosti pro lesnictví</v>
      </c>
      <c r="X36">
        <f>IF(ISNUMBER(SEARCH('1Př1'!$A$35,N36)),MAX($M$2:M35)+1,0)</f>
        <v>34</v>
      </c>
      <c r="Y36" s="336" t="s">
        <v>888</v>
      </c>
      <c r="Z36" t="str">
        <f>IFERROR(VLOOKUP(ROWS($Z$3:Z36),$X$3:$Y$992,2,0),"")</f>
        <v>Podpůrné činnosti pro lesnictví</v>
      </c>
    </row>
    <row r="37" spans="1:26" ht="12.75" customHeight="1">
      <c r="A37" s="312"/>
      <c r="B37" s="312"/>
      <c r="C37" s="312"/>
      <c r="D37" s="328">
        <f>IF(ISNUMBER(SEARCH(ZAKL_DATA!$B$14,E37)),MAX($D$2:D36)+1,0)</f>
        <v>35</v>
      </c>
      <c r="E37" s="342" t="s">
        <v>890</v>
      </c>
      <c r="F37" s="343">
        <v>2123</v>
      </c>
      <c r="G37" s="344"/>
      <c r="H37" s="345" t="str">
        <f>IFERROR(VLOOKUP(ROWS($H$3:H37),$D$3:$E$204,2,0),"")</f>
        <v>SEDLČANY</v>
      </c>
      <c r="I37" s="312"/>
      <c r="J37" s="347" t="s">
        <v>891</v>
      </c>
      <c r="K37" s="334" t="s">
        <v>892</v>
      </c>
      <c r="M37" s="335">
        <f>IF(ISNUMBER(SEARCH(ZAKL_DATA!$B$29,N37)),MAX($M$2:M36)+1,0)</f>
        <v>35</v>
      </c>
      <c r="N37" s="336" t="s">
        <v>893</v>
      </c>
      <c r="O37" s="337" t="s">
        <v>894</v>
      </c>
      <c r="P37" s="338"/>
      <c r="Q37" s="339" t="str">
        <f>IFERROR(VLOOKUP(ROWS($Q$3:Q37),$M$3:$N$992,2,0),"")</f>
        <v>Výroba kovových konstrukcí a kovodělných výrobků, kromě strojů a zařízení</v>
      </c>
      <c r="R37">
        <f>IF(ISNUMBER(SEARCH('1Př1'!$A$33,N37)),MAX($M$2:M36)+1,0)</f>
        <v>35</v>
      </c>
      <c r="S37" s="336" t="s">
        <v>893</v>
      </c>
      <c r="T37" t="str">
        <f>IFERROR(VLOOKUP(ROWS($T$3:T37),$R$3:$S$992,2,0),"")</f>
        <v>Výroba kovových konstrukcí a kovodělných výrobků, kromě strojů a zařízení</v>
      </c>
      <c r="U37">
        <f>IF(ISNUMBER(SEARCH('1Př1'!$A$34,N37)),MAX($M$2:M36)+1,0)</f>
        <v>35</v>
      </c>
      <c r="V37" s="336" t="s">
        <v>893</v>
      </c>
      <c r="W37" t="str">
        <f>IFERROR(VLOOKUP(ROWS($W$3:W37),$U$3:$V$992,2,0),"")</f>
        <v>Výroba kovových konstrukcí a kovodělných výrobků, kromě strojů a zařízení</v>
      </c>
      <c r="X37">
        <f>IF(ISNUMBER(SEARCH('1Př1'!$A$35,N37)),MAX($M$2:M36)+1,0)</f>
        <v>35</v>
      </c>
      <c r="Y37" s="336" t="s">
        <v>893</v>
      </c>
      <c r="Z37" t="str">
        <f>IFERROR(VLOOKUP(ROWS($Z$3:Z37),$X$3:$Y$992,2,0),"")</f>
        <v>Výroba kovových konstrukcí a kovodělných výrobků, kromě strojů a zařízení</v>
      </c>
    </row>
    <row r="38" spans="1:26" ht="12.75" customHeight="1">
      <c r="A38" s="312"/>
      <c r="B38" s="312"/>
      <c r="C38" s="312"/>
      <c r="D38" s="328">
        <f>IF(ISNUMBER(SEARCH(ZAKL_DATA!$B$14,E38)),MAX($D$2:D37)+1,0)</f>
        <v>36</v>
      </c>
      <c r="E38" s="342" t="s">
        <v>895</v>
      </c>
      <c r="F38" s="343">
        <v>2124</v>
      </c>
      <c r="G38" s="344"/>
      <c r="H38" s="345" t="str">
        <f>IFERROR(VLOOKUP(ROWS($H$3:H38),$D$3:$E$204,2,0),"")</f>
        <v>SLANÝ</v>
      </c>
      <c r="I38" s="312"/>
      <c r="J38" s="347" t="s">
        <v>896</v>
      </c>
      <c r="K38" s="334" t="s">
        <v>897</v>
      </c>
      <c r="M38" s="335">
        <f>IF(ISNUMBER(SEARCH(ZAKL_DATA!$B$29,N38)),MAX($M$2:M37)+1,0)</f>
        <v>36</v>
      </c>
      <c r="N38" s="336" t="s">
        <v>898</v>
      </c>
      <c r="O38" s="337" t="s">
        <v>899</v>
      </c>
      <c r="P38" s="338"/>
      <c r="Q38" s="339" t="str">
        <f>IFERROR(VLOOKUP(ROWS($Q$3:Q38),$M$3:$N$992,2,0),"")</f>
        <v>Výroba počítačů, elektronických a optických přístrojů a zařízení</v>
      </c>
      <c r="R38">
        <f>IF(ISNUMBER(SEARCH('1Př1'!$A$33,N38)),MAX($M$2:M37)+1,0)</f>
        <v>36</v>
      </c>
      <c r="S38" s="336" t="s">
        <v>898</v>
      </c>
      <c r="T38" t="str">
        <f>IFERROR(VLOOKUP(ROWS($T$3:T38),$R$3:$S$992,2,0),"")</f>
        <v>Výroba počítačů, elektronických a optických přístrojů a zařízení</v>
      </c>
      <c r="U38">
        <f>IF(ISNUMBER(SEARCH('1Př1'!$A$34,N38)),MAX($M$2:M37)+1,0)</f>
        <v>36</v>
      </c>
      <c r="V38" s="336" t="s">
        <v>898</v>
      </c>
      <c r="W38" t="str">
        <f>IFERROR(VLOOKUP(ROWS($W$3:W38),$U$3:$V$992,2,0),"")</f>
        <v>Výroba počítačů, elektronických a optických přístrojů a zařízení</v>
      </c>
      <c r="X38">
        <f>IF(ISNUMBER(SEARCH('1Př1'!$A$35,N38)),MAX($M$2:M37)+1,0)</f>
        <v>36</v>
      </c>
      <c r="Y38" s="336" t="s">
        <v>898</v>
      </c>
      <c r="Z38" t="str">
        <f>IFERROR(VLOOKUP(ROWS($Z$3:Z38),$X$3:$Y$992,2,0),"")</f>
        <v>Výroba počítačů, elektronických a optických přístrojů a zařízení</v>
      </c>
    </row>
    <row r="39" spans="1:26" ht="12.75" customHeight="1">
      <c r="A39" s="312"/>
      <c r="B39" s="312"/>
      <c r="C39" s="312"/>
      <c r="D39" s="328">
        <f>IF(ISNUMBER(SEARCH(ZAKL_DATA!$B$14,E39)),MAX($D$2:D38)+1,0)</f>
        <v>37</v>
      </c>
      <c r="E39" s="342" t="s">
        <v>900</v>
      </c>
      <c r="F39" s="343">
        <v>2125</v>
      </c>
      <c r="G39" s="344"/>
      <c r="H39" s="345" t="str">
        <f>IFERROR(VLOOKUP(ROWS($H$3:H39),$D$3:$E$204,2,0),"")</f>
        <v>VLAŠIM</v>
      </c>
      <c r="I39" s="312"/>
      <c r="J39" s="347" t="s">
        <v>901</v>
      </c>
      <c r="K39" s="334" t="s">
        <v>902</v>
      </c>
      <c r="M39" s="335">
        <f>IF(ISNUMBER(SEARCH(ZAKL_DATA!$B$29,N39)),MAX($M$2:M38)+1,0)</f>
        <v>37</v>
      </c>
      <c r="N39" s="336" t="s">
        <v>903</v>
      </c>
      <c r="O39" s="337" t="s">
        <v>904</v>
      </c>
      <c r="P39" s="338"/>
      <c r="Q39" s="339" t="str">
        <f>IFERROR(VLOOKUP(ROWS($Q$3:Q39),$M$3:$N$992,2,0),"")</f>
        <v>Výroba elektrických zařízení</v>
      </c>
      <c r="R39">
        <f>IF(ISNUMBER(SEARCH('1Př1'!$A$33,N39)),MAX($M$2:M38)+1,0)</f>
        <v>37</v>
      </c>
      <c r="S39" s="336" t="s">
        <v>903</v>
      </c>
      <c r="T39" t="str">
        <f>IFERROR(VLOOKUP(ROWS($T$3:T39),$R$3:$S$992,2,0),"")</f>
        <v>Výroba elektrických zařízení</v>
      </c>
      <c r="U39">
        <f>IF(ISNUMBER(SEARCH('1Př1'!$A$34,N39)),MAX($M$2:M38)+1,0)</f>
        <v>37</v>
      </c>
      <c r="V39" s="336" t="s">
        <v>903</v>
      </c>
      <c r="W39" t="str">
        <f>IFERROR(VLOOKUP(ROWS($W$3:W39),$U$3:$V$992,2,0),"")</f>
        <v>Výroba elektrických zařízení</v>
      </c>
      <c r="X39">
        <f>IF(ISNUMBER(SEARCH('1Př1'!$A$35,N39)),MAX($M$2:M38)+1,0)</f>
        <v>37</v>
      </c>
      <c r="Y39" s="336" t="s">
        <v>903</v>
      </c>
      <c r="Z39" t="str">
        <f>IFERROR(VLOOKUP(ROWS($Z$3:Z39),$X$3:$Y$992,2,0),"")</f>
        <v>Výroba elektrických zařízení</v>
      </c>
    </row>
    <row r="40" spans="1:26" ht="12.75" customHeight="1">
      <c r="A40" s="312"/>
      <c r="B40" s="312"/>
      <c r="C40" s="312"/>
      <c r="D40" s="328">
        <f>IF(ISNUMBER(SEARCH(ZAKL_DATA!$B$14,E40)),MAX($D$2:D39)+1,0)</f>
        <v>38</v>
      </c>
      <c r="E40" s="342" t="s">
        <v>905</v>
      </c>
      <c r="F40" s="343">
        <v>2126</v>
      </c>
      <c r="G40" s="344"/>
      <c r="H40" s="345" t="str">
        <f>IFERROR(VLOOKUP(ROWS($H$3:H40),$D$3:$E$204,2,0),"")</f>
        <v>VOTICE</v>
      </c>
      <c r="I40" s="312"/>
      <c r="J40" s="347" t="s">
        <v>906</v>
      </c>
      <c r="K40" s="334" t="s">
        <v>907</v>
      </c>
      <c r="M40" s="335">
        <f>IF(ISNUMBER(SEARCH(ZAKL_DATA!$B$29,N40)),MAX($M$2:M39)+1,0)</f>
        <v>38</v>
      </c>
      <c r="N40" s="336" t="s">
        <v>908</v>
      </c>
      <c r="O40" s="337" t="s">
        <v>909</v>
      </c>
      <c r="P40" s="338"/>
      <c r="Q40" s="339" t="str">
        <f>IFERROR(VLOOKUP(ROWS($Q$3:Q40),$M$3:$N$992,2,0),"")</f>
        <v>Výroba strojů a zařízení j. n.</v>
      </c>
      <c r="R40">
        <f>IF(ISNUMBER(SEARCH('1Př1'!$A$33,N40)),MAX($M$2:M39)+1,0)</f>
        <v>38</v>
      </c>
      <c r="S40" s="336" t="s">
        <v>908</v>
      </c>
      <c r="T40" t="str">
        <f>IFERROR(VLOOKUP(ROWS($T$3:T40),$R$3:$S$992,2,0),"")</f>
        <v>Výroba strojů a zařízení j. n.</v>
      </c>
      <c r="U40">
        <f>IF(ISNUMBER(SEARCH('1Př1'!$A$34,N40)),MAX($M$2:M39)+1,0)</f>
        <v>38</v>
      </c>
      <c r="V40" s="336" t="s">
        <v>908</v>
      </c>
      <c r="W40" t="str">
        <f>IFERROR(VLOOKUP(ROWS($W$3:W40),$U$3:$V$992,2,0),"")</f>
        <v>Výroba strojů a zařízení j. n.</v>
      </c>
      <c r="X40">
        <f>IF(ISNUMBER(SEARCH('1Př1'!$A$35,N40)),MAX($M$2:M39)+1,0)</f>
        <v>38</v>
      </c>
      <c r="Y40" s="336" t="s">
        <v>908</v>
      </c>
      <c r="Z40" t="str">
        <f>IFERROR(VLOOKUP(ROWS($Z$3:Z40),$X$3:$Y$992,2,0),"")</f>
        <v>Výroba strojů a zařízení j. n.</v>
      </c>
    </row>
    <row r="41" spans="1:26" ht="12.75" customHeight="1">
      <c r="A41" s="312"/>
      <c r="B41" s="312"/>
      <c r="C41" s="312"/>
      <c r="D41" s="328">
        <f>IF(ISNUMBER(SEARCH(ZAKL_DATA!$B$14,E41)),MAX($D$2:D40)+1,0)</f>
        <v>39</v>
      </c>
      <c r="E41" s="342" t="s">
        <v>910</v>
      </c>
      <c r="F41" s="343">
        <v>2201</v>
      </c>
      <c r="G41" s="344"/>
      <c r="H41" s="345" t="str">
        <f>IFERROR(VLOOKUP(ROWS($H$3:H41),$D$3:$E$204,2,0),"")</f>
        <v>ČESKÉ BUDĚJOVICE</v>
      </c>
      <c r="I41" s="312"/>
      <c r="J41" s="347" t="s">
        <v>911</v>
      </c>
      <c r="K41" s="334" t="s">
        <v>912</v>
      </c>
      <c r="M41" s="335">
        <f>IF(ISNUMBER(SEARCH(ZAKL_DATA!$B$29,N41)),MAX($M$2:M40)+1,0)</f>
        <v>39</v>
      </c>
      <c r="N41" s="336" t="s">
        <v>913</v>
      </c>
      <c r="O41" s="337" t="s">
        <v>914</v>
      </c>
      <c r="P41" s="338"/>
      <c r="Q41" s="339" t="str">
        <f>IFERROR(VLOOKUP(ROWS($Q$3:Q41),$M$3:$N$992,2,0),"")</f>
        <v>Výroba motorových vozidel (kromě motocyklů), přívěsů a návěsů</v>
      </c>
      <c r="R41">
        <f>IF(ISNUMBER(SEARCH('1Př1'!$A$33,N41)),MAX($M$2:M40)+1,0)</f>
        <v>39</v>
      </c>
      <c r="S41" s="336" t="s">
        <v>913</v>
      </c>
      <c r="T41" t="str">
        <f>IFERROR(VLOOKUP(ROWS($T$3:T41),$R$3:$S$992,2,0),"")</f>
        <v>Výroba motorových vozidel (kromě motocyklů), přívěsů a návěsů</v>
      </c>
      <c r="U41">
        <f>IF(ISNUMBER(SEARCH('1Př1'!$A$34,N41)),MAX($M$2:M40)+1,0)</f>
        <v>39</v>
      </c>
      <c r="V41" s="336" t="s">
        <v>913</v>
      </c>
      <c r="W41" t="str">
        <f>IFERROR(VLOOKUP(ROWS($W$3:W41),$U$3:$V$992,2,0),"")</f>
        <v>Výroba motorových vozidel (kromě motocyklů), přívěsů a návěsů</v>
      </c>
      <c r="X41">
        <f>IF(ISNUMBER(SEARCH('1Př1'!$A$35,N41)),MAX($M$2:M40)+1,0)</f>
        <v>39</v>
      </c>
      <c r="Y41" s="336" t="s">
        <v>913</v>
      </c>
      <c r="Z41" t="str">
        <f>IFERROR(VLOOKUP(ROWS($Z$3:Z41),$X$3:$Y$992,2,0),"")</f>
        <v>Výroba motorových vozidel (kromě motocyklů), přívěsů a návěsů</v>
      </c>
    </row>
    <row r="42" spans="1:26" ht="12.75" customHeight="1">
      <c r="A42" s="312"/>
      <c r="B42" s="312"/>
      <c r="C42" s="312"/>
      <c r="D42" s="328">
        <f>IF(ISNUMBER(SEARCH(ZAKL_DATA!$B$14,E42)),MAX($D$2:D41)+1,0)</f>
        <v>40</v>
      </c>
      <c r="E42" s="342" t="s">
        <v>915</v>
      </c>
      <c r="F42" s="343">
        <v>2202</v>
      </c>
      <c r="G42" s="344"/>
      <c r="H42" s="345" t="str">
        <f>IFERROR(VLOOKUP(ROWS($H$3:H42),$D$3:$E$204,2,0),"")</f>
        <v>BLATNÁ</v>
      </c>
      <c r="I42" s="312"/>
      <c r="J42" s="347" t="s">
        <v>916</v>
      </c>
      <c r="K42" s="334" t="s">
        <v>917</v>
      </c>
      <c r="M42" s="335">
        <f>IF(ISNUMBER(SEARCH(ZAKL_DATA!$B$29,N42)),MAX($M$2:M41)+1,0)</f>
        <v>40</v>
      </c>
      <c r="N42" s="336" t="s">
        <v>918</v>
      </c>
      <c r="O42" s="337" t="s">
        <v>919</v>
      </c>
      <c r="P42" s="338"/>
      <c r="Q42" s="339" t="str">
        <f>IFERROR(VLOOKUP(ROWS($Q$3:Q42),$M$3:$N$992,2,0),"")</f>
        <v>Výroba ostatních dopravních prostředků a zařízení</v>
      </c>
      <c r="R42">
        <f>IF(ISNUMBER(SEARCH('1Př1'!$A$33,N42)),MAX($M$2:M41)+1,0)</f>
        <v>40</v>
      </c>
      <c r="S42" s="336" t="s">
        <v>918</v>
      </c>
      <c r="T42" t="str">
        <f>IFERROR(VLOOKUP(ROWS($T$3:T42),$R$3:$S$992,2,0),"")</f>
        <v>Výroba ostatních dopravních prostředků a zařízení</v>
      </c>
      <c r="U42">
        <f>IF(ISNUMBER(SEARCH('1Př1'!$A$34,N42)),MAX($M$2:M41)+1,0)</f>
        <v>40</v>
      </c>
      <c r="V42" s="336" t="s">
        <v>918</v>
      </c>
      <c r="W42" t="str">
        <f>IFERROR(VLOOKUP(ROWS($W$3:W42),$U$3:$V$992,2,0),"")</f>
        <v>Výroba ostatních dopravních prostředků a zařízení</v>
      </c>
      <c r="X42">
        <f>IF(ISNUMBER(SEARCH('1Př1'!$A$35,N42)),MAX($M$2:M41)+1,0)</f>
        <v>40</v>
      </c>
      <c r="Y42" s="336" t="s">
        <v>918</v>
      </c>
      <c r="Z42" t="str">
        <f>IFERROR(VLOOKUP(ROWS($Z$3:Z42),$X$3:$Y$992,2,0),"")</f>
        <v>Výroba ostatních dopravních prostředků a zařízení</v>
      </c>
    </row>
    <row r="43" spans="1:26" ht="12.75" customHeight="1">
      <c r="A43" s="312"/>
      <c r="B43" s="312"/>
      <c r="C43" s="312"/>
      <c r="D43" s="328">
        <f>IF(ISNUMBER(SEARCH(ZAKL_DATA!$B$14,E43)),MAX($D$2:D42)+1,0)</f>
        <v>41</v>
      </c>
      <c r="E43" s="342" t="s">
        <v>920</v>
      </c>
      <c r="F43" s="343">
        <v>2203</v>
      </c>
      <c r="G43" s="344"/>
      <c r="H43" s="345" t="str">
        <f>IFERROR(VLOOKUP(ROWS($H$3:H43),$D$3:$E$204,2,0),"")</f>
        <v>ČESKÝ KRUMLOV</v>
      </c>
      <c r="I43" s="312"/>
      <c r="J43" s="347" t="s">
        <v>921</v>
      </c>
      <c r="K43" s="334" t="s">
        <v>922</v>
      </c>
      <c r="M43" s="335">
        <f>IF(ISNUMBER(SEARCH(ZAKL_DATA!$B$29,N43)),MAX($M$2:M42)+1,0)</f>
        <v>41</v>
      </c>
      <c r="N43" s="336" t="s">
        <v>923</v>
      </c>
      <c r="O43" s="337" t="s">
        <v>924</v>
      </c>
      <c r="P43" s="338"/>
      <c r="Q43" s="339" t="str">
        <f>IFERROR(VLOOKUP(ROWS($Q$3:Q43),$M$3:$N$992,2,0),"")</f>
        <v>Výroba nábytku</v>
      </c>
      <c r="R43">
        <f>IF(ISNUMBER(SEARCH('1Př1'!$A$33,N43)),MAX($M$2:M42)+1,0)</f>
        <v>41</v>
      </c>
      <c r="S43" s="336" t="s">
        <v>923</v>
      </c>
      <c r="T43" t="str">
        <f>IFERROR(VLOOKUP(ROWS($T$3:T43),$R$3:$S$992,2,0),"")</f>
        <v>Výroba nábytku</v>
      </c>
      <c r="U43">
        <f>IF(ISNUMBER(SEARCH('1Př1'!$A$34,N43)),MAX($M$2:M42)+1,0)</f>
        <v>41</v>
      </c>
      <c r="V43" s="336" t="s">
        <v>923</v>
      </c>
      <c r="W43" t="str">
        <f>IFERROR(VLOOKUP(ROWS($W$3:W43),$U$3:$V$992,2,0),"")</f>
        <v>Výroba nábytku</v>
      </c>
      <c r="X43">
        <f>IF(ISNUMBER(SEARCH('1Př1'!$A$35,N43)),MAX($M$2:M42)+1,0)</f>
        <v>41</v>
      </c>
      <c r="Y43" s="336" t="s">
        <v>923</v>
      </c>
      <c r="Z43" t="str">
        <f>IFERROR(VLOOKUP(ROWS($Z$3:Z43),$X$3:$Y$992,2,0),"")</f>
        <v>Výroba nábytku</v>
      </c>
    </row>
    <row r="44" spans="1:26" ht="12.75" customHeight="1">
      <c r="A44" s="312"/>
      <c r="B44" s="312"/>
      <c r="C44" s="312"/>
      <c r="D44" s="328">
        <f>IF(ISNUMBER(SEARCH(ZAKL_DATA!$B$14,E44)),MAX($D$2:D43)+1,0)</f>
        <v>42</v>
      </c>
      <c r="E44" s="342" t="s">
        <v>925</v>
      </c>
      <c r="F44" s="343">
        <v>2204</v>
      </c>
      <c r="G44" s="344"/>
      <c r="H44" s="345" t="str">
        <f>IFERROR(VLOOKUP(ROWS($H$3:H44),$D$3:$E$204,2,0),"")</f>
        <v>DAČICE</v>
      </c>
      <c r="I44" s="312"/>
      <c r="J44" s="347" t="s">
        <v>926</v>
      </c>
      <c r="K44" s="334" t="s">
        <v>927</v>
      </c>
      <c r="M44" s="335">
        <f>IF(ISNUMBER(SEARCH(ZAKL_DATA!$B$29,N44)),MAX($M$2:M43)+1,0)</f>
        <v>42</v>
      </c>
      <c r="N44" s="336" t="s">
        <v>928</v>
      </c>
      <c r="O44" s="337" t="s">
        <v>929</v>
      </c>
      <c r="P44" s="338"/>
      <c r="Q44" s="339" t="str">
        <f>IFERROR(VLOOKUP(ROWS($Q$3:Q44),$M$3:$N$992,2,0),"")</f>
        <v>Rybolov</v>
      </c>
      <c r="R44">
        <f>IF(ISNUMBER(SEARCH('1Př1'!$A$33,N44)),MAX($M$2:M43)+1,0)</f>
        <v>42</v>
      </c>
      <c r="S44" s="336" t="s">
        <v>928</v>
      </c>
      <c r="T44" t="str">
        <f>IFERROR(VLOOKUP(ROWS($T$3:T44),$R$3:$S$992,2,0),"")</f>
        <v>Rybolov</v>
      </c>
      <c r="U44">
        <f>IF(ISNUMBER(SEARCH('1Př1'!$A$34,N44)),MAX($M$2:M43)+1,0)</f>
        <v>42</v>
      </c>
      <c r="V44" s="336" t="s">
        <v>928</v>
      </c>
      <c r="W44" t="str">
        <f>IFERROR(VLOOKUP(ROWS($W$3:W44),$U$3:$V$992,2,0),"")</f>
        <v>Rybolov</v>
      </c>
      <c r="X44">
        <f>IF(ISNUMBER(SEARCH('1Př1'!$A$35,N44)),MAX($M$2:M43)+1,0)</f>
        <v>42</v>
      </c>
      <c r="Y44" s="336" t="s">
        <v>928</v>
      </c>
      <c r="Z44" t="str">
        <f>IFERROR(VLOOKUP(ROWS($Z$3:Z44),$X$3:$Y$992,2,0),"")</f>
        <v>Rybolov</v>
      </c>
    </row>
    <row r="45" spans="1:26" ht="12.75" customHeight="1">
      <c r="A45" s="312"/>
      <c r="B45" s="312"/>
      <c r="C45" s="312"/>
      <c r="D45" s="328">
        <f>IF(ISNUMBER(SEARCH(ZAKL_DATA!$B$14,E45)),MAX($D$2:D44)+1,0)</f>
        <v>43</v>
      </c>
      <c r="E45" s="342" t="s">
        <v>930</v>
      </c>
      <c r="F45" s="343">
        <v>2205</v>
      </c>
      <c r="G45" s="344"/>
      <c r="H45" s="345" t="str">
        <f>IFERROR(VLOOKUP(ROWS($H$3:H45),$D$3:$E$204,2,0),"")</f>
        <v>JINDŘICHŮV HRADEC</v>
      </c>
      <c r="I45" s="312"/>
      <c r="J45" s="346" t="s">
        <v>931</v>
      </c>
      <c r="K45" s="334" t="s">
        <v>932</v>
      </c>
      <c r="M45" s="335">
        <f>IF(ISNUMBER(SEARCH(ZAKL_DATA!$B$29,N45)),MAX($M$2:M44)+1,0)</f>
        <v>43</v>
      </c>
      <c r="N45" s="336" t="s">
        <v>933</v>
      </c>
      <c r="O45" s="337" t="s">
        <v>934</v>
      </c>
      <c r="P45" s="338"/>
      <c r="Q45" s="339" t="str">
        <f>IFERROR(VLOOKUP(ROWS($Q$3:Q45),$M$3:$N$992,2,0),"")</f>
        <v>Ostatní zpracovatelský průmysl</v>
      </c>
      <c r="R45">
        <f>IF(ISNUMBER(SEARCH('1Př1'!$A$33,N45)),MAX($M$2:M44)+1,0)</f>
        <v>43</v>
      </c>
      <c r="S45" s="336" t="s">
        <v>933</v>
      </c>
      <c r="T45" t="str">
        <f>IFERROR(VLOOKUP(ROWS($T$3:T45),$R$3:$S$992,2,0),"")</f>
        <v>Ostatní zpracovatelský průmysl</v>
      </c>
      <c r="U45">
        <f>IF(ISNUMBER(SEARCH('1Př1'!$A$34,N45)),MAX($M$2:M44)+1,0)</f>
        <v>43</v>
      </c>
      <c r="V45" s="336" t="s">
        <v>933</v>
      </c>
      <c r="W45" t="str">
        <f>IFERROR(VLOOKUP(ROWS($W$3:W45),$U$3:$V$992,2,0),"")</f>
        <v>Ostatní zpracovatelský průmysl</v>
      </c>
      <c r="X45">
        <f>IF(ISNUMBER(SEARCH('1Př1'!$A$35,N45)),MAX($M$2:M44)+1,0)</f>
        <v>43</v>
      </c>
      <c r="Y45" s="336" t="s">
        <v>933</v>
      </c>
      <c r="Z45" t="str">
        <f>IFERROR(VLOOKUP(ROWS($Z$3:Z45),$X$3:$Y$992,2,0),"")</f>
        <v>Ostatní zpracovatelský průmysl</v>
      </c>
    </row>
    <row r="46" spans="1:26" ht="12.75" customHeight="1">
      <c r="A46" s="312"/>
      <c r="B46" s="312"/>
      <c r="C46" s="312"/>
      <c r="D46" s="328">
        <f>IF(ISNUMBER(SEARCH(ZAKL_DATA!$B$14,E46)),MAX($D$2:D45)+1,0)</f>
        <v>44</v>
      </c>
      <c r="E46" s="342" t="s">
        <v>935</v>
      </c>
      <c r="F46" s="343">
        <v>2206</v>
      </c>
      <c r="G46" s="344"/>
      <c r="H46" s="345" t="str">
        <f>IFERROR(VLOOKUP(ROWS($H$3:H46),$D$3:$E$204,2,0),"")</f>
        <v>KAPLICE</v>
      </c>
      <c r="I46" s="312"/>
      <c r="J46" s="347" t="s">
        <v>936</v>
      </c>
      <c r="K46" s="334" t="s">
        <v>174</v>
      </c>
      <c r="M46" s="335">
        <f>IF(ISNUMBER(SEARCH(ZAKL_DATA!$B$29,N46)),MAX($M$2:M45)+1,0)</f>
        <v>44</v>
      </c>
      <c r="N46" s="336" t="s">
        <v>937</v>
      </c>
      <c r="O46" s="337" t="s">
        <v>938</v>
      </c>
      <c r="P46" s="338"/>
      <c r="Q46" s="339" t="str">
        <f>IFERROR(VLOOKUP(ROWS($Q$3:Q46),$M$3:$N$992,2,0),"")</f>
        <v>Akvakultura</v>
      </c>
      <c r="R46">
        <f>IF(ISNUMBER(SEARCH('1Př1'!$A$33,N46)),MAX($M$2:M45)+1,0)</f>
        <v>44</v>
      </c>
      <c r="S46" s="336" t="s">
        <v>937</v>
      </c>
      <c r="T46" t="str">
        <f>IFERROR(VLOOKUP(ROWS($T$3:T46),$R$3:$S$992,2,0),"")</f>
        <v>Akvakultura</v>
      </c>
      <c r="U46">
        <f>IF(ISNUMBER(SEARCH('1Př1'!$A$34,N46)),MAX($M$2:M45)+1,0)</f>
        <v>44</v>
      </c>
      <c r="V46" s="336" t="s">
        <v>937</v>
      </c>
      <c r="W46" t="str">
        <f>IFERROR(VLOOKUP(ROWS($W$3:W46),$U$3:$V$992,2,0),"")</f>
        <v>Akvakultura</v>
      </c>
      <c r="X46">
        <f>IF(ISNUMBER(SEARCH('1Př1'!$A$35,N46)),MAX($M$2:M45)+1,0)</f>
        <v>44</v>
      </c>
      <c r="Y46" s="336" t="s">
        <v>937</v>
      </c>
      <c r="Z46" t="str">
        <f>IFERROR(VLOOKUP(ROWS($Z$3:Z46),$X$3:$Y$992,2,0),"")</f>
        <v>Akvakultura</v>
      </c>
    </row>
    <row r="47" spans="1:26" ht="12.75" customHeight="1">
      <c r="A47" s="312"/>
      <c r="B47" s="312"/>
      <c r="C47" s="312"/>
      <c r="D47" s="328">
        <f>IF(ISNUMBER(SEARCH(ZAKL_DATA!$B$14,E47)),MAX($D$2:D46)+1,0)</f>
        <v>45</v>
      </c>
      <c r="E47" s="342" t="s">
        <v>939</v>
      </c>
      <c r="F47" s="343">
        <v>2207</v>
      </c>
      <c r="G47" s="344"/>
      <c r="H47" s="345" t="str">
        <f>IFERROR(VLOOKUP(ROWS($H$3:H47),$D$3:$E$204,2,0),"")</f>
        <v>MILEVSKO</v>
      </c>
      <c r="I47" s="312"/>
      <c r="J47" s="347" t="s">
        <v>940</v>
      </c>
      <c r="K47" s="334" t="s">
        <v>941</v>
      </c>
      <c r="M47" s="335">
        <f>IF(ISNUMBER(SEARCH(ZAKL_DATA!$B$29,N47)),MAX($M$2:M46)+1,0)</f>
        <v>45</v>
      </c>
      <c r="N47" s="336" t="s">
        <v>942</v>
      </c>
      <c r="O47" s="337" t="s">
        <v>943</v>
      </c>
      <c r="P47" s="338"/>
      <c r="Q47" s="339" t="str">
        <f>IFERROR(VLOOKUP(ROWS($Q$3:Q47),$M$3:$N$992,2,0),"")</f>
        <v>Opravy a instalace strojů a zařízení</v>
      </c>
      <c r="R47">
        <f>IF(ISNUMBER(SEARCH('1Př1'!$A$33,N47)),MAX($M$2:M46)+1,0)</f>
        <v>45</v>
      </c>
      <c r="S47" s="336" t="s">
        <v>942</v>
      </c>
      <c r="T47" t="str">
        <f>IFERROR(VLOOKUP(ROWS($T$3:T47),$R$3:$S$992,2,0),"")</f>
        <v>Opravy a instalace strojů a zařízení</v>
      </c>
      <c r="U47">
        <f>IF(ISNUMBER(SEARCH('1Př1'!$A$34,N47)),MAX($M$2:M46)+1,0)</f>
        <v>45</v>
      </c>
      <c r="V47" s="336" t="s">
        <v>942</v>
      </c>
      <c r="W47" t="str">
        <f>IFERROR(VLOOKUP(ROWS($W$3:W47),$U$3:$V$992,2,0),"")</f>
        <v>Opravy a instalace strojů a zařízení</v>
      </c>
      <c r="X47">
        <f>IF(ISNUMBER(SEARCH('1Př1'!$A$35,N47)),MAX($M$2:M46)+1,0)</f>
        <v>45</v>
      </c>
      <c r="Y47" s="336" t="s">
        <v>942</v>
      </c>
      <c r="Z47" t="str">
        <f>IFERROR(VLOOKUP(ROWS($Z$3:Z47),$X$3:$Y$992,2,0),"")</f>
        <v>Opravy a instalace strojů a zařízení</v>
      </c>
    </row>
    <row r="48" spans="1:26" ht="12.75" customHeight="1">
      <c r="A48" s="312"/>
      <c r="B48" s="312"/>
      <c r="C48" s="312"/>
      <c r="D48" s="328">
        <f>IF(ISNUMBER(SEARCH(ZAKL_DATA!$B$14,E48)),MAX($D$2:D47)+1,0)</f>
        <v>46</v>
      </c>
      <c r="E48" s="342" t="s">
        <v>944</v>
      </c>
      <c r="F48" s="343">
        <v>2208</v>
      </c>
      <c r="G48" s="344"/>
      <c r="H48" s="345" t="str">
        <f>IFERROR(VLOOKUP(ROWS($H$3:H48),$D$3:$E$204,2,0),"")</f>
        <v>PÍSEK</v>
      </c>
      <c r="I48" s="312"/>
      <c r="J48" s="347" t="s">
        <v>945</v>
      </c>
      <c r="K48" s="334" t="s">
        <v>946</v>
      </c>
      <c r="M48" s="335">
        <f>IF(ISNUMBER(SEARCH(ZAKL_DATA!$B$29,N48)),MAX($M$2:M47)+1,0)</f>
        <v>46</v>
      </c>
      <c r="N48" s="336" t="s">
        <v>947</v>
      </c>
      <c r="O48" s="337" t="s">
        <v>948</v>
      </c>
      <c r="P48" s="338"/>
      <c r="Q48" s="339" t="str">
        <f>IFERROR(VLOOKUP(ROWS($Q$3:Q48),$M$3:$N$992,2,0),"")</f>
        <v>Výroba a rozvod elektřiny, plynu, tepla a klimatizovaného vzduchu</v>
      </c>
      <c r="R48">
        <f>IF(ISNUMBER(SEARCH('1Př1'!$A$33,N48)),MAX($M$2:M47)+1,0)</f>
        <v>46</v>
      </c>
      <c r="S48" s="336" t="s">
        <v>947</v>
      </c>
      <c r="T48" t="str">
        <f>IFERROR(VLOOKUP(ROWS($T$3:T48),$R$3:$S$992,2,0),"")</f>
        <v>Výroba a rozvod elektřiny, plynu, tepla a klimatizovaného vzduchu</v>
      </c>
      <c r="U48">
        <f>IF(ISNUMBER(SEARCH('1Př1'!$A$34,N48)),MAX($M$2:M47)+1,0)</f>
        <v>46</v>
      </c>
      <c r="V48" s="336" t="s">
        <v>947</v>
      </c>
      <c r="W48" t="str">
        <f>IFERROR(VLOOKUP(ROWS($W$3:W48),$U$3:$V$992,2,0),"")</f>
        <v>Výroba a rozvod elektřiny, plynu, tepla a klimatizovaného vzduchu</v>
      </c>
      <c r="X48">
        <f>IF(ISNUMBER(SEARCH('1Př1'!$A$35,N48)),MAX($M$2:M47)+1,0)</f>
        <v>46</v>
      </c>
      <c r="Y48" s="336" t="s">
        <v>947</v>
      </c>
      <c r="Z48" t="str">
        <f>IFERROR(VLOOKUP(ROWS($Z$3:Z48),$X$3:$Y$992,2,0),"")</f>
        <v>Výroba a rozvod elektřiny, plynu, tepla a klimatizovaného vzduchu</v>
      </c>
    </row>
    <row r="49" spans="1:26" ht="12.75" customHeight="1">
      <c r="A49" s="312"/>
      <c r="B49" s="312"/>
      <c r="C49" s="312"/>
      <c r="D49" s="328">
        <f>IF(ISNUMBER(SEARCH(ZAKL_DATA!$B$14,E49)),MAX($D$2:D48)+1,0)</f>
        <v>47</v>
      </c>
      <c r="E49" s="342" t="s">
        <v>949</v>
      </c>
      <c r="F49" s="343">
        <v>2209</v>
      </c>
      <c r="G49" s="344"/>
      <c r="H49" s="345" t="str">
        <f>IFERROR(VLOOKUP(ROWS($H$3:H49),$D$3:$E$204,2,0),"")</f>
        <v>PRACHATICE</v>
      </c>
      <c r="I49" s="312"/>
      <c r="J49" s="347" t="s">
        <v>950</v>
      </c>
      <c r="K49" s="334" t="s">
        <v>951</v>
      </c>
      <c r="M49" s="335">
        <f>IF(ISNUMBER(SEARCH(ZAKL_DATA!$B$29,N49)),MAX($M$2:M48)+1,0)</f>
        <v>47</v>
      </c>
      <c r="N49" s="336" t="s">
        <v>952</v>
      </c>
      <c r="O49" s="337" t="s">
        <v>953</v>
      </c>
      <c r="P49" s="338"/>
      <c r="Q49" s="339" t="str">
        <f>IFERROR(VLOOKUP(ROWS($Q$3:Q49),$M$3:$N$992,2,0),"")</f>
        <v>Shromažďování, úprava a rozvod vody</v>
      </c>
      <c r="R49">
        <f>IF(ISNUMBER(SEARCH('1Př1'!$A$33,N49)),MAX($M$2:M48)+1,0)</f>
        <v>47</v>
      </c>
      <c r="S49" s="336" t="s">
        <v>952</v>
      </c>
      <c r="T49" t="str">
        <f>IFERROR(VLOOKUP(ROWS($T$3:T49),$R$3:$S$992,2,0),"")</f>
        <v>Shromažďování, úprava a rozvod vody</v>
      </c>
      <c r="U49">
        <f>IF(ISNUMBER(SEARCH('1Př1'!$A$34,N49)),MAX($M$2:M48)+1,0)</f>
        <v>47</v>
      </c>
      <c r="V49" s="336" t="s">
        <v>952</v>
      </c>
      <c r="W49" t="str">
        <f>IFERROR(VLOOKUP(ROWS($W$3:W49),$U$3:$V$992,2,0),"")</f>
        <v>Shromažďování, úprava a rozvod vody</v>
      </c>
      <c r="X49">
        <f>IF(ISNUMBER(SEARCH('1Př1'!$A$35,N49)),MAX($M$2:M48)+1,0)</f>
        <v>47</v>
      </c>
      <c r="Y49" s="336" t="s">
        <v>952</v>
      </c>
      <c r="Z49" t="str">
        <f>IFERROR(VLOOKUP(ROWS($Z$3:Z49),$X$3:$Y$992,2,0),"")</f>
        <v>Shromažďování, úprava a rozvod vody</v>
      </c>
    </row>
    <row r="50" spans="1:26" ht="12.75" customHeight="1">
      <c r="A50" s="312"/>
      <c r="B50" s="312"/>
      <c r="C50" s="312"/>
      <c r="D50" s="328">
        <f>IF(ISNUMBER(SEARCH(ZAKL_DATA!$B$14,E50)),MAX($D$2:D49)+1,0)</f>
        <v>48</v>
      </c>
      <c r="E50" s="342" t="s">
        <v>954</v>
      </c>
      <c r="F50" s="343">
        <v>2210</v>
      </c>
      <c r="G50" s="344"/>
      <c r="H50" s="345" t="str">
        <f>IFERROR(VLOOKUP(ROWS($H$3:H50),$D$3:$E$204,2,0),"")</f>
        <v>SOBĚSLAV</v>
      </c>
      <c r="I50" s="312"/>
      <c r="J50" s="347" t="s">
        <v>955</v>
      </c>
      <c r="K50" s="334" t="s">
        <v>956</v>
      </c>
      <c r="M50" s="335">
        <f>IF(ISNUMBER(SEARCH(ZAKL_DATA!$B$29,N50)),MAX($M$2:M49)+1,0)</f>
        <v>48</v>
      </c>
      <c r="N50" s="336" t="s">
        <v>957</v>
      </c>
      <c r="O50" s="337" t="s">
        <v>958</v>
      </c>
      <c r="P50" s="338"/>
      <c r="Q50" s="339" t="str">
        <f>IFERROR(VLOOKUP(ROWS($Q$3:Q50),$M$3:$N$992,2,0),"")</f>
        <v>Činnosti související s odpadními vodami</v>
      </c>
      <c r="R50">
        <f>IF(ISNUMBER(SEARCH('1Př1'!$A$33,N50)),MAX($M$2:M49)+1,0)</f>
        <v>48</v>
      </c>
      <c r="S50" s="336" t="s">
        <v>957</v>
      </c>
      <c r="T50" t="str">
        <f>IFERROR(VLOOKUP(ROWS($T$3:T50),$R$3:$S$992,2,0),"")</f>
        <v>Činnosti související s odpadními vodami</v>
      </c>
      <c r="U50">
        <f>IF(ISNUMBER(SEARCH('1Př1'!$A$34,N50)),MAX($M$2:M49)+1,0)</f>
        <v>48</v>
      </c>
      <c r="V50" s="336" t="s">
        <v>957</v>
      </c>
      <c r="W50" t="str">
        <f>IFERROR(VLOOKUP(ROWS($W$3:W50),$U$3:$V$992,2,0),"")</f>
        <v>Činnosti související s odpadními vodami</v>
      </c>
      <c r="X50">
        <f>IF(ISNUMBER(SEARCH('1Př1'!$A$35,N50)),MAX($M$2:M49)+1,0)</f>
        <v>48</v>
      </c>
      <c r="Y50" s="336" t="s">
        <v>957</v>
      </c>
      <c r="Z50" t="str">
        <f>IFERROR(VLOOKUP(ROWS($Z$3:Z50),$X$3:$Y$992,2,0),"")</f>
        <v>Činnosti související s odpadními vodami</v>
      </c>
    </row>
    <row r="51" spans="1:26" ht="12.75" customHeight="1">
      <c r="A51" s="312"/>
      <c r="B51" s="312"/>
      <c r="C51" s="312"/>
      <c r="D51" s="328">
        <f>IF(ISNUMBER(SEARCH(ZAKL_DATA!$B$14,E51)),MAX($D$2:D50)+1,0)</f>
        <v>49</v>
      </c>
      <c r="E51" s="342" t="s">
        <v>959</v>
      </c>
      <c r="F51" s="343">
        <v>2211</v>
      </c>
      <c r="G51" s="344"/>
      <c r="H51" s="345" t="str">
        <f>IFERROR(VLOOKUP(ROWS($H$3:H51),$D$3:$E$204,2,0),"")</f>
        <v>STRAKONICE</v>
      </c>
      <c r="I51" s="312"/>
      <c r="J51" s="347" t="s">
        <v>960</v>
      </c>
      <c r="K51" s="334" t="s">
        <v>961</v>
      </c>
      <c r="M51" s="335">
        <f>IF(ISNUMBER(SEARCH(ZAKL_DATA!$B$29,N51)),MAX($M$2:M50)+1,0)</f>
        <v>49</v>
      </c>
      <c r="N51" s="336" t="s">
        <v>962</v>
      </c>
      <c r="O51" s="337" t="s">
        <v>963</v>
      </c>
      <c r="P51" s="338"/>
      <c r="Q51" s="339" t="str">
        <f>IFERROR(VLOOKUP(ROWS($Q$3:Q51),$M$3:$N$992,2,0),"")</f>
        <v>Shromažďování,sběr a odstraňování odpadů,úprava odpadů k dalšímu využití</v>
      </c>
      <c r="R51">
        <f>IF(ISNUMBER(SEARCH('1Př1'!$A$33,N51)),MAX($M$2:M50)+1,0)</f>
        <v>49</v>
      </c>
      <c r="S51" s="336" t="s">
        <v>962</v>
      </c>
      <c r="T51" t="str">
        <f>IFERROR(VLOOKUP(ROWS($T$3:T51),$R$3:$S$992,2,0),"")</f>
        <v>Shromažďování,sběr a odstraňování odpadů,úprava odpadů k dalšímu využití</v>
      </c>
      <c r="U51">
        <f>IF(ISNUMBER(SEARCH('1Př1'!$A$34,N51)),MAX($M$2:M50)+1,0)</f>
        <v>49</v>
      </c>
      <c r="V51" s="336" t="s">
        <v>962</v>
      </c>
      <c r="W51" t="str">
        <f>IFERROR(VLOOKUP(ROWS($W$3:W51),$U$3:$V$992,2,0),"")</f>
        <v>Shromažďování,sběr a odstraňování odpadů,úprava odpadů k dalšímu využití</v>
      </c>
      <c r="X51">
        <f>IF(ISNUMBER(SEARCH('1Př1'!$A$35,N51)),MAX($M$2:M50)+1,0)</f>
        <v>49</v>
      </c>
      <c r="Y51" s="336" t="s">
        <v>962</v>
      </c>
      <c r="Z51" t="str">
        <f>IFERROR(VLOOKUP(ROWS($Z$3:Z51),$X$3:$Y$992,2,0),"")</f>
        <v>Shromažďování,sběr a odstraňování odpadů,úprava odpadů k dalšímu využití</v>
      </c>
    </row>
    <row r="52" spans="1:26" ht="12.75" customHeight="1">
      <c r="A52" s="312"/>
      <c r="B52" s="312"/>
      <c r="C52" s="312"/>
      <c r="D52" s="328">
        <f>IF(ISNUMBER(SEARCH(ZAKL_DATA!$B$14,E52)),MAX($D$2:D51)+1,0)</f>
        <v>50</v>
      </c>
      <c r="E52" s="342" t="s">
        <v>964</v>
      </c>
      <c r="F52" s="343">
        <v>2212</v>
      </c>
      <c r="G52" s="344"/>
      <c r="H52" s="345" t="str">
        <f>IFERROR(VLOOKUP(ROWS($H$3:H52),$D$3:$E$204,2,0),"")</f>
        <v>TÁBOR</v>
      </c>
      <c r="I52" s="312"/>
      <c r="J52" s="347" t="s">
        <v>965</v>
      </c>
      <c r="K52" s="334" t="s">
        <v>966</v>
      </c>
      <c r="M52" s="335">
        <f>IF(ISNUMBER(SEARCH(ZAKL_DATA!$B$29,N52)),MAX($M$2:M51)+1,0)</f>
        <v>50</v>
      </c>
      <c r="N52" s="336" t="s">
        <v>967</v>
      </c>
      <c r="O52" s="337" t="s">
        <v>968</v>
      </c>
      <c r="P52" s="338"/>
      <c r="Q52" s="339" t="str">
        <f>IFERROR(VLOOKUP(ROWS($Q$3:Q52),$M$3:$N$992,2,0),"")</f>
        <v>Sanace a jiné činnosti související s odpady</v>
      </c>
      <c r="R52">
        <f>IF(ISNUMBER(SEARCH('1Př1'!$A$33,N52)),MAX($M$2:M51)+1,0)</f>
        <v>50</v>
      </c>
      <c r="S52" s="336" t="s">
        <v>967</v>
      </c>
      <c r="T52" t="str">
        <f>IFERROR(VLOOKUP(ROWS($T$3:T52),$R$3:$S$992,2,0),"")</f>
        <v>Sanace a jiné činnosti související s odpady</v>
      </c>
      <c r="U52">
        <f>IF(ISNUMBER(SEARCH('1Př1'!$A$34,N52)),MAX($M$2:M51)+1,0)</f>
        <v>50</v>
      </c>
      <c r="V52" s="336" t="s">
        <v>967</v>
      </c>
      <c r="W52" t="str">
        <f>IFERROR(VLOOKUP(ROWS($W$3:W52),$U$3:$V$992,2,0),"")</f>
        <v>Sanace a jiné činnosti související s odpady</v>
      </c>
      <c r="X52">
        <f>IF(ISNUMBER(SEARCH('1Př1'!$A$35,N52)),MAX($M$2:M51)+1,0)</f>
        <v>50</v>
      </c>
      <c r="Y52" s="336" t="s">
        <v>967</v>
      </c>
      <c r="Z52" t="str">
        <f>IFERROR(VLOOKUP(ROWS($Z$3:Z52),$X$3:$Y$992,2,0),"")</f>
        <v>Sanace a jiné činnosti související s odpady</v>
      </c>
    </row>
    <row r="53" spans="1:26" ht="12.75" customHeight="1">
      <c r="A53" s="312"/>
      <c r="B53" s="312"/>
      <c r="C53" s="312"/>
      <c r="D53" s="328">
        <f>IF(ISNUMBER(SEARCH(ZAKL_DATA!$B$14,E53)),MAX($D$2:D52)+1,0)</f>
        <v>51</v>
      </c>
      <c r="E53" s="342" t="s">
        <v>969</v>
      </c>
      <c r="F53" s="343">
        <v>2213</v>
      </c>
      <c r="G53" s="344"/>
      <c r="H53" s="345" t="str">
        <f>IFERROR(VLOOKUP(ROWS($H$3:H53),$D$3:$E$204,2,0),"")</f>
        <v>TRHOVÉ SVINY</v>
      </c>
      <c r="I53" s="312"/>
      <c r="J53" s="347" t="s">
        <v>970</v>
      </c>
      <c r="K53" s="334" t="s">
        <v>971</v>
      </c>
      <c r="M53" s="335">
        <f>IF(ISNUMBER(SEARCH(ZAKL_DATA!$B$29,N53)),MAX($M$2:M52)+1,0)</f>
        <v>51</v>
      </c>
      <c r="N53" s="336" t="s">
        <v>972</v>
      </c>
      <c r="O53" s="337" t="s">
        <v>973</v>
      </c>
      <c r="P53" s="338"/>
      <c r="Q53" s="339" t="str">
        <f>IFERROR(VLOOKUP(ROWS($Q$3:Q53),$M$3:$N$992,2,0),"")</f>
        <v>Výstavba budov</v>
      </c>
      <c r="R53">
        <f>IF(ISNUMBER(SEARCH('1Př1'!$A$33,N53)),MAX($M$2:M52)+1,0)</f>
        <v>51</v>
      </c>
      <c r="S53" s="336" t="s">
        <v>972</v>
      </c>
      <c r="T53" t="str">
        <f>IFERROR(VLOOKUP(ROWS($T$3:T53),$R$3:$S$992,2,0),"")</f>
        <v>Výstavba budov</v>
      </c>
      <c r="U53">
        <f>IF(ISNUMBER(SEARCH('1Př1'!$A$34,N53)),MAX($M$2:M52)+1,0)</f>
        <v>51</v>
      </c>
      <c r="V53" s="336" t="s">
        <v>972</v>
      </c>
      <c r="W53" t="str">
        <f>IFERROR(VLOOKUP(ROWS($W$3:W53),$U$3:$V$992,2,0),"")</f>
        <v>Výstavba budov</v>
      </c>
      <c r="X53">
        <f>IF(ISNUMBER(SEARCH('1Př1'!$A$35,N53)),MAX($M$2:M52)+1,0)</f>
        <v>51</v>
      </c>
      <c r="Y53" s="336" t="s">
        <v>972</v>
      </c>
      <c r="Z53" t="str">
        <f>IFERROR(VLOOKUP(ROWS($Z$3:Z53),$X$3:$Y$992,2,0),"")</f>
        <v>Výstavba budov</v>
      </c>
    </row>
    <row r="54" spans="1:26" ht="12.75" customHeight="1">
      <c r="A54" s="312"/>
      <c r="B54" s="312"/>
      <c r="C54" s="312"/>
      <c r="D54" s="328">
        <f>IF(ISNUMBER(SEARCH(ZAKL_DATA!$B$14,E54)),MAX($D$2:D53)+1,0)</f>
        <v>52</v>
      </c>
      <c r="E54" s="342" t="s">
        <v>974</v>
      </c>
      <c r="F54" s="343">
        <v>2214</v>
      </c>
      <c r="G54" s="344"/>
      <c r="H54" s="345" t="str">
        <f>IFERROR(VLOOKUP(ROWS($H$3:H54),$D$3:$E$204,2,0),"")</f>
        <v>TŘEBOŇ</v>
      </c>
      <c r="I54" s="312"/>
      <c r="J54" s="347" t="s">
        <v>975</v>
      </c>
      <c r="K54" s="334" t="s">
        <v>976</v>
      </c>
      <c r="M54" s="335">
        <f>IF(ISNUMBER(SEARCH(ZAKL_DATA!$B$29,N54)),MAX($M$2:M53)+1,0)</f>
        <v>52</v>
      </c>
      <c r="N54" s="336" t="s">
        <v>977</v>
      </c>
      <c r="O54" s="337" t="s">
        <v>978</v>
      </c>
      <c r="P54" s="338"/>
      <c r="Q54" s="339" t="str">
        <f>IFERROR(VLOOKUP(ROWS($Q$3:Q54),$M$3:$N$992,2,0),"")</f>
        <v>Inženýrské stavitelství</v>
      </c>
      <c r="R54">
        <f>IF(ISNUMBER(SEARCH('1Př1'!$A$33,N54)),MAX($M$2:M53)+1,0)</f>
        <v>52</v>
      </c>
      <c r="S54" s="336" t="s">
        <v>977</v>
      </c>
      <c r="T54" t="str">
        <f>IFERROR(VLOOKUP(ROWS($T$3:T54),$R$3:$S$992,2,0),"")</f>
        <v>Inženýrské stavitelství</v>
      </c>
      <c r="U54">
        <f>IF(ISNUMBER(SEARCH('1Př1'!$A$34,N54)),MAX($M$2:M53)+1,0)</f>
        <v>52</v>
      </c>
      <c r="V54" s="336" t="s">
        <v>977</v>
      </c>
      <c r="W54" t="str">
        <f>IFERROR(VLOOKUP(ROWS($W$3:W54),$U$3:$V$992,2,0),"")</f>
        <v>Inženýrské stavitelství</v>
      </c>
      <c r="X54">
        <f>IF(ISNUMBER(SEARCH('1Př1'!$A$35,N54)),MAX($M$2:M53)+1,0)</f>
        <v>52</v>
      </c>
      <c r="Y54" s="336" t="s">
        <v>977</v>
      </c>
      <c r="Z54" t="str">
        <f>IFERROR(VLOOKUP(ROWS($Z$3:Z54),$X$3:$Y$992,2,0),"")</f>
        <v>Inženýrské stavitelství</v>
      </c>
    </row>
    <row r="55" spans="1:26" ht="12.75" customHeight="1">
      <c r="A55" s="312"/>
      <c r="B55" s="312"/>
      <c r="C55" s="312"/>
      <c r="D55" s="328">
        <f>IF(ISNUMBER(SEARCH(ZAKL_DATA!$B$14,E55)),MAX($D$2:D54)+1,0)</f>
        <v>53</v>
      </c>
      <c r="E55" s="342" t="s">
        <v>979</v>
      </c>
      <c r="F55" s="343">
        <v>2215</v>
      </c>
      <c r="G55" s="344"/>
      <c r="H55" s="345" t="str">
        <f>IFERROR(VLOOKUP(ROWS($H$3:H55),$D$3:$E$204,2,0),"")</f>
        <v>TÝN NAD VLTAVOU</v>
      </c>
      <c r="I55" s="312"/>
      <c r="J55" s="347" t="s">
        <v>980</v>
      </c>
      <c r="K55" s="334" t="s">
        <v>981</v>
      </c>
      <c r="M55" s="335">
        <f>IF(ISNUMBER(SEARCH(ZAKL_DATA!$B$29,N55)),MAX($M$2:M54)+1,0)</f>
        <v>53</v>
      </c>
      <c r="N55" s="336" t="s">
        <v>982</v>
      </c>
      <c r="O55" s="337" t="s">
        <v>983</v>
      </c>
      <c r="P55" s="338"/>
      <c r="Q55" s="339" t="str">
        <f>IFERROR(VLOOKUP(ROWS($Q$3:Q55),$M$3:$N$992,2,0),"")</f>
        <v>Specializované stavební činnosti</v>
      </c>
      <c r="R55">
        <f>IF(ISNUMBER(SEARCH('1Př1'!$A$33,N55)),MAX($M$2:M54)+1,0)</f>
        <v>53</v>
      </c>
      <c r="S55" s="336" t="s">
        <v>982</v>
      </c>
      <c r="T55" t="str">
        <f>IFERROR(VLOOKUP(ROWS($T$3:T55),$R$3:$S$992,2,0),"")</f>
        <v>Specializované stavební činnosti</v>
      </c>
      <c r="U55">
        <f>IF(ISNUMBER(SEARCH('1Př1'!$A$34,N55)),MAX($M$2:M54)+1,0)</f>
        <v>53</v>
      </c>
      <c r="V55" s="336" t="s">
        <v>982</v>
      </c>
      <c r="W55" t="str">
        <f>IFERROR(VLOOKUP(ROWS($W$3:W55),$U$3:$V$992,2,0),"")</f>
        <v>Specializované stavební činnosti</v>
      </c>
      <c r="X55">
        <f>IF(ISNUMBER(SEARCH('1Př1'!$A$35,N55)),MAX($M$2:M54)+1,0)</f>
        <v>53</v>
      </c>
      <c r="Y55" s="336" t="s">
        <v>982</v>
      </c>
      <c r="Z55" t="str">
        <f>IFERROR(VLOOKUP(ROWS($Z$3:Z55),$X$3:$Y$992,2,0),"")</f>
        <v>Specializované stavební činnosti</v>
      </c>
    </row>
    <row r="56" spans="1:26" ht="12.75" customHeight="1">
      <c r="A56" s="312"/>
      <c r="B56" s="312"/>
      <c r="C56" s="312"/>
      <c r="D56" s="328">
        <f>IF(ISNUMBER(SEARCH(ZAKL_DATA!$B$14,E56)),MAX($D$2:D55)+1,0)</f>
        <v>54</v>
      </c>
      <c r="E56" s="342" t="s">
        <v>984</v>
      </c>
      <c r="F56" s="343">
        <v>2216</v>
      </c>
      <c r="G56" s="344"/>
      <c r="H56" s="345" t="str">
        <f>IFERROR(VLOOKUP(ROWS($H$3:H56),$D$3:$E$204,2,0),"")</f>
        <v>VIMPERK</v>
      </c>
      <c r="I56" s="312"/>
      <c r="J56" s="347" t="s">
        <v>985</v>
      </c>
      <c r="K56" s="334" t="s">
        <v>986</v>
      </c>
      <c r="M56" s="335">
        <f>IF(ISNUMBER(SEARCH(ZAKL_DATA!$B$29,N56)),MAX($M$2:M55)+1,0)</f>
        <v>54</v>
      </c>
      <c r="N56" s="336" t="s">
        <v>987</v>
      </c>
      <c r="O56" s="337" t="s">
        <v>988</v>
      </c>
      <c r="P56" s="338"/>
      <c r="Q56" s="339" t="str">
        <f>IFERROR(VLOOKUP(ROWS($Q$3:Q56),$M$3:$N$992,2,0),"")</f>
        <v>Velkoobchod, maloobchod a opravy motorových vozidel</v>
      </c>
      <c r="R56">
        <f>IF(ISNUMBER(SEARCH('1Př1'!$A$33,N56)),MAX($M$2:M55)+1,0)</f>
        <v>54</v>
      </c>
      <c r="S56" s="336" t="s">
        <v>987</v>
      </c>
      <c r="T56" t="str">
        <f>IFERROR(VLOOKUP(ROWS($T$3:T56),$R$3:$S$992,2,0),"")</f>
        <v>Velkoobchod, maloobchod a opravy motorových vozidel</v>
      </c>
      <c r="U56">
        <f>IF(ISNUMBER(SEARCH('1Př1'!$A$34,N56)),MAX($M$2:M55)+1,0)</f>
        <v>54</v>
      </c>
      <c r="V56" s="336" t="s">
        <v>987</v>
      </c>
      <c r="W56" t="str">
        <f>IFERROR(VLOOKUP(ROWS($W$3:W56),$U$3:$V$992,2,0),"")</f>
        <v>Velkoobchod, maloobchod a opravy motorových vozidel</v>
      </c>
      <c r="X56">
        <f>IF(ISNUMBER(SEARCH('1Př1'!$A$35,N56)),MAX($M$2:M55)+1,0)</f>
        <v>54</v>
      </c>
      <c r="Y56" s="336" t="s">
        <v>987</v>
      </c>
      <c r="Z56" t="str">
        <f>IFERROR(VLOOKUP(ROWS($Z$3:Z56),$X$3:$Y$992,2,0),"")</f>
        <v>Velkoobchod, maloobchod a opravy motorových vozidel</v>
      </c>
    </row>
    <row r="57" spans="1:26" ht="12.75" customHeight="1">
      <c r="A57" s="312"/>
      <c r="B57" s="312"/>
      <c r="C57" s="312"/>
      <c r="D57" s="328">
        <f>IF(ISNUMBER(SEARCH(ZAKL_DATA!$B$14,E57)),MAX($D$2:D56)+1,0)</f>
        <v>55</v>
      </c>
      <c r="E57" s="342" t="s">
        <v>989</v>
      </c>
      <c r="F57" s="343">
        <v>2217</v>
      </c>
      <c r="G57" s="344"/>
      <c r="H57" s="345" t="str">
        <f>IFERROR(VLOOKUP(ROWS($H$3:H57),$D$3:$E$204,2,0),"")</f>
        <v>VODŇANY</v>
      </c>
      <c r="I57" s="312"/>
      <c r="J57" s="347" t="s">
        <v>990</v>
      </c>
      <c r="K57" s="334" t="s">
        <v>991</v>
      </c>
      <c r="M57" s="335">
        <f>IF(ISNUMBER(SEARCH(ZAKL_DATA!$B$29,N57)),MAX($M$2:M56)+1,0)</f>
        <v>55</v>
      </c>
      <c r="N57" s="336" t="s">
        <v>992</v>
      </c>
      <c r="O57" s="337" t="s">
        <v>993</v>
      </c>
      <c r="P57" s="338"/>
      <c r="Q57" s="339" t="str">
        <f>IFERROR(VLOOKUP(ROWS($Q$3:Q57),$M$3:$N$992,2,0),"")</f>
        <v>Velkoobchod, kromě motorových vozidel</v>
      </c>
      <c r="R57">
        <f>IF(ISNUMBER(SEARCH('1Př1'!$A$33,N57)),MAX($M$2:M56)+1,0)</f>
        <v>55</v>
      </c>
      <c r="S57" s="336" t="s">
        <v>992</v>
      </c>
      <c r="T57" t="str">
        <f>IFERROR(VLOOKUP(ROWS($T$3:T57),$R$3:$S$992,2,0),"")</f>
        <v>Velkoobchod, kromě motorových vozidel</v>
      </c>
      <c r="U57">
        <f>IF(ISNUMBER(SEARCH('1Př1'!$A$34,N57)),MAX($M$2:M56)+1,0)</f>
        <v>55</v>
      </c>
      <c r="V57" s="336" t="s">
        <v>992</v>
      </c>
      <c r="W57" t="str">
        <f>IFERROR(VLOOKUP(ROWS($W$3:W57),$U$3:$V$992,2,0),"")</f>
        <v>Velkoobchod, kromě motorových vozidel</v>
      </c>
      <c r="X57">
        <f>IF(ISNUMBER(SEARCH('1Př1'!$A$35,N57)),MAX($M$2:M56)+1,0)</f>
        <v>55</v>
      </c>
      <c r="Y57" s="336" t="s">
        <v>992</v>
      </c>
      <c r="Z57" t="str">
        <f>IFERROR(VLOOKUP(ROWS($Z$3:Z57),$X$3:$Y$992,2,0),"")</f>
        <v>Velkoobchod, kromě motorových vozidel</v>
      </c>
    </row>
    <row r="58" spans="1:26" ht="12.75" customHeight="1">
      <c r="A58" s="312"/>
      <c r="B58" s="312"/>
      <c r="C58" s="312"/>
      <c r="D58" s="328">
        <f>IF(ISNUMBER(SEARCH(ZAKL_DATA!$B$14,E58)),MAX($D$2:D57)+1,0)</f>
        <v>56</v>
      </c>
      <c r="E58" s="342" t="s">
        <v>994</v>
      </c>
      <c r="F58" s="343">
        <v>2301</v>
      </c>
      <c r="G58" s="344"/>
      <c r="H58" s="345" t="str">
        <f>IFERROR(VLOOKUP(ROWS($H$3:H58),$D$3:$E$204,2,0),"")</f>
        <v>PLZEŇ</v>
      </c>
      <c r="I58" s="312"/>
      <c r="J58" s="347" t="s">
        <v>995</v>
      </c>
      <c r="K58" s="334" t="s">
        <v>996</v>
      </c>
      <c r="M58" s="335">
        <f>IF(ISNUMBER(SEARCH(ZAKL_DATA!$B$29,N58)),MAX($M$2:M57)+1,0)</f>
        <v>56</v>
      </c>
      <c r="N58" s="336" t="s">
        <v>997</v>
      </c>
      <c r="O58" s="337" t="s">
        <v>998</v>
      </c>
      <c r="P58" s="338"/>
      <c r="Q58" s="339" t="str">
        <f>IFERROR(VLOOKUP(ROWS($Q$3:Q58),$M$3:$N$992,2,0),"")</f>
        <v>Maloobchod, kromě motorových vozidel</v>
      </c>
      <c r="R58">
        <f>IF(ISNUMBER(SEARCH('1Př1'!$A$33,N58)),MAX($M$2:M57)+1,0)</f>
        <v>56</v>
      </c>
      <c r="S58" s="336" t="s">
        <v>997</v>
      </c>
      <c r="T58" t="str">
        <f>IFERROR(VLOOKUP(ROWS($T$3:T58),$R$3:$S$992,2,0),"")</f>
        <v>Maloobchod, kromě motorových vozidel</v>
      </c>
      <c r="U58">
        <f>IF(ISNUMBER(SEARCH('1Př1'!$A$34,N58)),MAX($M$2:M57)+1,0)</f>
        <v>56</v>
      </c>
      <c r="V58" s="336" t="s">
        <v>997</v>
      </c>
      <c r="W58" t="str">
        <f>IFERROR(VLOOKUP(ROWS($W$3:W58),$U$3:$V$992,2,0),"")</f>
        <v>Maloobchod, kromě motorových vozidel</v>
      </c>
      <c r="X58">
        <f>IF(ISNUMBER(SEARCH('1Př1'!$A$35,N58)),MAX($M$2:M57)+1,0)</f>
        <v>56</v>
      </c>
      <c r="Y58" s="336" t="s">
        <v>997</v>
      </c>
      <c r="Z58" t="str">
        <f>IFERROR(VLOOKUP(ROWS($Z$3:Z58),$X$3:$Y$992,2,0),"")</f>
        <v>Maloobchod, kromě motorových vozidel</v>
      </c>
    </row>
    <row r="59" spans="1:26" ht="12.75" customHeight="1">
      <c r="A59" s="312"/>
      <c r="B59" s="312"/>
      <c r="C59" s="312"/>
      <c r="D59" s="328">
        <f>IF(ISNUMBER(SEARCH(ZAKL_DATA!$B$14,E59)),MAX($D$2:D58)+1,0)</f>
        <v>57</v>
      </c>
      <c r="E59" s="342" t="s">
        <v>999</v>
      </c>
      <c r="F59" s="343">
        <v>2302</v>
      </c>
      <c r="G59" s="344"/>
      <c r="H59" s="345" t="str">
        <f>IFERROR(VLOOKUP(ROWS($H$3:H59),$D$3:$E$204,2,0),"")</f>
        <v>PLZEŇ-SEVER</v>
      </c>
      <c r="I59" s="312"/>
      <c r="J59" s="346" t="s">
        <v>1000</v>
      </c>
      <c r="K59" s="334" t="s">
        <v>1001</v>
      </c>
      <c r="M59" s="335">
        <f>IF(ISNUMBER(SEARCH(ZAKL_DATA!$B$29,N59)),MAX($M$2:M58)+1,0)</f>
        <v>57</v>
      </c>
      <c r="N59" s="336" t="s">
        <v>1002</v>
      </c>
      <c r="O59" s="337" t="s">
        <v>1003</v>
      </c>
      <c r="P59" s="338"/>
      <c r="Q59" s="339" t="str">
        <f>IFERROR(VLOOKUP(ROWS($Q$3:Q59),$M$3:$N$992,2,0),"")</f>
        <v>Pozemní a potrubní doprava</v>
      </c>
      <c r="R59">
        <f>IF(ISNUMBER(SEARCH('1Př1'!$A$33,N59)),MAX($M$2:M58)+1,0)</f>
        <v>57</v>
      </c>
      <c r="S59" s="336" t="s">
        <v>1002</v>
      </c>
      <c r="T59" t="str">
        <f>IFERROR(VLOOKUP(ROWS($T$3:T59),$R$3:$S$992,2,0),"")</f>
        <v>Pozemní a potrubní doprava</v>
      </c>
      <c r="U59">
        <f>IF(ISNUMBER(SEARCH('1Př1'!$A$34,N59)),MAX($M$2:M58)+1,0)</f>
        <v>57</v>
      </c>
      <c r="V59" s="336" t="s">
        <v>1002</v>
      </c>
      <c r="W59" t="str">
        <f>IFERROR(VLOOKUP(ROWS($W$3:W59),$U$3:$V$992,2,0),"")</f>
        <v>Pozemní a potrubní doprava</v>
      </c>
      <c r="X59">
        <f>IF(ISNUMBER(SEARCH('1Př1'!$A$35,N59)),MAX($M$2:M58)+1,0)</f>
        <v>57</v>
      </c>
      <c r="Y59" s="336" t="s">
        <v>1002</v>
      </c>
      <c r="Z59" t="str">
        <f>IFERROR(VLOOKUP(ROWS($Z$3:Z59),$X$3:$Y$992,2,0),"")</f>
        <v>Pozemní a potrubní doprava</v>
      </c>
    </row>
    <row r="60" spans="1:26" ht="12.75" customHeight="1">
      <c r="A60" s="312"/>
      <c r="B60" s="312"/>
      <c r="C60" s="312"/>
      <c r="D60" s="328">
        <f>IF(ISNUMBER(SEARCH(ZAKL_DATA!$B$14,E60)),MAX($D$2:D59)+1,0)</f>
        <v>58</v>
      </c>
      <c r="E60" s="342" t="s">
        <v>1004</v>
      </c>
      <c r="F60" s="343">
        <v>2303</v>
      </c>
      <c r="G60" s="344"/>
      <c r="H60" s="345" t="str">
        <f>IFERROR(VLOOKUP(ROWS($H$3:H60),$D$3:$E$204,2,0),"")</f>
        <v>PLZEŇ-JIH</v>
      </c>
      <c r="I60" s="312"/>
      <c r="J60" s="347" t="s">
        <v>1005</v>
      </c>
      <c r="K60" s="334" t="s">
        <v>1006</v>
      </c>
      <c r="M60" s="335">
        <f>IF(ISNUMBER(SEARCH(ZAKL_DATA!$B$29,N60)),MAX($M$2:M59)+1,0)</f>
        <v>58</v>
      </c>
      <c r="N60" s="336" t="s">
        <v>1007</v>
      </c>
      <c r="O60" s="337" t="s">
        <v>1008</v>
      </c>
      <c r="P60" s="338"/>
      <c r="Q60" s="339" t="str">
        <f>IFERROR(VLOOKUP(ROWS($Q$3:Q60),$M$3:$N$992,2,0),"")</f>
        <v>Vodní doprava</v>
      </c>
      <c r="R60">
        <f>IF(ISNUMBER(SEARCH('1Př1'!$A$33,N60)),MAX($M$2:M59)+1,0)</f>
        <v>58</v>
      </c>
      <c r="S60" s="336" t="s">
        <v>1007</v>
      </c>
      <c r="T60" t="str">
        <f>IFERROR(VLOOKUP(ROWS($T$3:T60),$R$3:$S$992,2,0),"")</f>
        <v>Vodní doprava</v>
      </c>
      <c r="U60">
        <f>IF(ISNUMBER(SEARCH('1Př1'!$A$34,N60)),MAX($M$2:M59)+1,0)</f>
        <v>58</v>
      </c>
      <c r="V60" s="336" t="s">
        <v>1007</v>
      </c>
      <c r="W60" t="str">
        <f>IFERROR(VLOOKUP(ROWS($W$3:W60),$U$3:$V$992,2,0),"")</f>
        <v>Vodní doprava</v>
      </c>
      <c r="X60">
        <f>IF(ISNUMBER(SEARCH('1Př1'!$A$35,N60)),MAX($M$2:M59)+1,0)</f>
        <v>58</v>
      </c>
      <c r="Y60" s="336" t="s">
        <v>1007</v>
      </c>
      <c r="Z60" t="str">
        <f>IFERROR(VLOOKUP(ROWS($Z$3:Z60),$X$3:$Y$992,2,0),"")</f>
        <v>Vodní doprava</v>
      </c>
    </row>
    <row r="61" spans="1:26" ht="12.75" customHeight="1">
      <c r="A61" s="312"/>
      <c r="B61" s="312"/>
      <c r="C61" s="312"/>
      <c r="D61" s="328">
        <f>IF(ISNUMBER(SEARCH(ZAKL_DATA!$B$14,E61)),MAX($D$2:D60)+1,0)</f>
        <v>59</v>
      </c>
      <c r="E61" s="342" t="s">
        <v>1009</v>
      </c>
      <c r="F61" s="343">
        <v>2304</v>
      </c>
      <c r="G61" s="344"/>
      <c r="H61" s="345" t="str">
        <f>IFERROR(VLOOKUP(ROWS($H$3:H61),$D$3:$E$204,2,0),"")</f>
        <v>BLOVICE</v>
      </c>
      <c r="I61" s="312"/>
      <c r="J61" s="347" t="s">
        <v>1010</v>
      </c>
      <c r="K61" s="334" t="s">
        <v>1011</v>
      </c>
      <c r="M61" s="335">
        <f>IF(ISNUMBER(SEARCH(ZAKL_DATA!$B$29,N61)),MAX($M$2:M60)+1,0)</f>
        <v>59</v>
      </c>
      <c r="N61" s="336" t="s">
        <v>1012</v>
      </c>
      <c r="O61" s="337" t="s">
        <v>1013</v>
      </c>
      <c r="P61" s="338"/>
      <c r="Q61" s="339" t="str">
        <f>IFERROR(VLOOKUP(ROWS($Q$3:Q61),$M$3:$N$992,2,0),"")</f>
        <v>Letecká doprava</v>
      </c>
      <c r="R61">
        <f>IF(ISNUMBER(SEARCH('1Př1'!$A$33,N61)),MAX($M$2:M60)+1,0)</f>
        <v>59</v>
      </c>
      <c r="S61" s="336" t="s">
        <v>1012</v>
      </c>
      <c r="T61" t="str">
        <f>IFERROR(VLOOKUP(ROWS($T$3:T61),$R$3:$S$992,2,0),"")</f>
        <v>Letecká doprava</v>
      </c>
      <c r="U61">
        <f>IF(ISNUMBER(SEARCH('1Př1'!$A$34,N61)),MAX($M$2:M60)+1,0)</f>
        <v>59</v>
      </c>
      <c r="V61" s="336" t="s">
        <v>1012</v>
      </c>
      <c r="W61" t="str">
        <f>IFERROR(VLOOKUP(ROWS($W$3:W61),$U$3:$V$992,2,0),"")</f>
        <v>Letecká doprava</v>
      </c>
      <c r="X61">
        <f>IF(ISNUMBER(SEARCH('1Př1'!$A$35,N61)),MAX($M$2:M60)+1,0)</f>
        <v>59</v>
      </c>
      <c r="Y61" s="336" t="s">
        <v>1012</v>
      </c>
      <c r="Z61" t="str">
        <f>IFERROR(VLOOKUP(ROWS($Z$3:Z61),$X$3:$Y$992,2,0),"")</f>
        <v>Letecká doprava</v>
      </c>
    </row>
    <row r="62" spans="1:26" ht="12.75" customHeight="1">
      <c r="A62" s="312"/>
      <c r="B62" s="312"/>
      <c r="C62" s="312"/>
      <c r="D62" s="328">
        <f>IF(ISNUMBER(SEARCH(ZAKL_DATA!$B$14,E62)),MAX($D$2:D61)+1,0)</f>
        <v>60</v>
      </c>
      <c r="E62" s="342" t="s">
        <v>1014</v>
      </c>
      <c r="F62" s="343">
        <v>2305</v>
      </c>
      <c r="G62" s="344"/>
      <c r="H62" s="345" t="str">
        <f>IFERROR(VLOOKUP(ROWS($H$3:H62),$D$3:$E$204,2,0),"")</f>
        <v>DOMAŽLICE</v>
      </c>
      <c r="I62" s="312"/>
      <c r="J62" s="347" t="s">
        <v>1015</v>
      </c>
      <c r="K62" s="334" t="s">
        <v>1016</v>
      </c>
      <c r="M62" s="335">
        <f>IF(ISNUMBER(SEARCH(ZAKL_DATA!$B$29,N62)),MAX($M$2:M61)+1,0)</f>
        <v>60</v>
      </c>
      <c r="N62" s="336" t="s">
        <v>1017</v>
      </c>
      <c r="O62" s="337" t="s">
        <v>1018</v>
      </c>
      <c r="P62" s="338"/>
      <c r="Q62" s="339" t="str">
        <f>IFERROR(VLOOKUP(ROWS($Q$3:Q62),$M$3:$N$992,2,0),"")</f>
        <v>Těžba a úprava černého uhlí</v>
      </c>
      <c r="R62">
        <f>IF(ISNUMBER(SEARCH('1Př1'!$A$33,N62)),MAX($M$2:M61)+1,0)</f>
        <v>60</v>
      </c>
      <c r="S62" s="336" t="s">
        <v>1017</v>
      </c>
      <c r="T62" t="str">
        <f>IFERROR(VLOOKUP(ROWS($T$3:T62),$R$3:$S$992,2,0),"")</f>
        <v>Těžba a úprava černého uhlí</v>
      </c>
      <c r="U62">
        <f>IF(ISNUMBER(SEARCH('1Př1'!$A$34,N62)),MAX($M$2:M61)+1,0)</f>
        <v>60</v>
      </c>
      <c r="V62" s="336" t="s">
        <v>1017</v>
      </c>
      <c r="W62" t="str">
        <f>IFERROR(VLOOKUP(ROWS($W$3:W62),$U$3:$V$992,2,0),"")</f>
        <v>Těžba a úprava černého uhlí</v>
      </c>
      <c r="X62">
        <f>IF(ISNUMBER(SEARCH('1Př1'!$A$35,N62)),MAX($M$2:M61)+1,0)</f>
        <v>60</v>
      </c>
      <c r="Y62" s="336" t="s">
        <v>1017</v>
      </c>
      <c r="Z62" t="str">
        <f>IFERROR(VLOOKUP(ROWS($Z$3:Z62),$X$3:$Y$992,2,0),"")</f>
        <v>Těžba a úprava černého uhlí</v>
      </c>
    </row>
    <row r="63" spans="1:26" ht="12.75" customHeight="1">
      <c r="A63" s="312"/>
      <c r="B63" s="312"/>
      <c r="C63" s="312"/>
      <c r="D63" s="328">
        <f>IF(ISNUMBER(SEARCH(ZAKL_DATA!$B$14,E63)),MAX($D$2:D62)+1,0)</f>
        <v>61</v>
      </c>
      <c r="E63" s="342" t="s">
        <v>1019</v>
      </c>
      <c r="F63" s="343">
        <v>2306</v>
      </c>
      <c r="G63" s="344"/>
      <c r="H63" s="345" t="str">
        <f>IFERROR(VLOOKUP(ROWS($H$3:H63),$D$3:$E$204,2,0),"")</f>
        <v>HORAŽĎOVICE</v>
      </c>
      <c r="I63" s="312"/>
      <c r="J63" s="347" t="s">
        <v>1020</v>
      </c>
      <c r="K63" s="334" t="s">
        <v>1021</v>
      </c>
      <c r="M63" s="335">
        <f>IF(ISNUMBER(SEARCH(ZAKL_DATA!$B$29,N63)),MAX($M$2:M62)+1,0)</f>
        <v>61</v>
      </c>
      <c r="N63" s="336" t="s">
        <v>1022</v>
      </c>
      <c r="O63" s="337" t="s">
        <v>1023</v>
      </c>
      <c r="P63" s="338"/>
      <c r="Q63" s="339" t="str">
        <f>IFERROR(VLOOKUP(ROWS($Q$3:Q63),$M$3:$N$992,2,0),"")</f>
        <v>Skladování a vedlejší činnosti v dopravě</v>
      </c>
      <c r="R63">
        <f>IF(ISNUMBER(SEARCH('1Př1'!$A$33,N63)),MAX($M$2:M62)+1,0)</f>
        <v>61</v>
      </c>
      <c r="S63" s="336" t="s">
        <v>1022</v>
      </c>
      <c r="T63" t="str">
        <f>IFERROR(VLOOKUP(ROWS($T$3:T63),$R$3:$S$992,2,0),"")</f>
        <v>Skladování a vedlejší činnosti v dopravě</v>
      </c>
      <c r="U63">
        <f>IF(ISNUMBER(SEARCH('1Př1'!$A$34,N63)),MAX($M$2:M62)+1,0)</f>
        <v>61</v>
      </c>
      <c r="V63" s="336" t="s">
        <v>1022</v>
      </c>
      <c r="W63" t="str">
        <f>IFERROR(VLOOKUP(ROWS($W$3:W63),$U$3:$V$992,2,0),"")</f>
        <v>Skladování a vedlejší činnosti v dopravě</v>
      </c>
      <c r="X63">
        <f>IF(ISNUMBER(SEARCH('1Př1'!$A$35,N63)),MAX($M$2:M62)+1,0)</f>
        <v>61</v>
      </c>
      <c r="Y63" s="336" t="s">
        <v>1022</v>
      </c>
      <c r="Z63" t="str">
        <f>IFERROR(VLOOKUP(ROWS($Z$3:Z63),$X$3:$Y$992,2,0),"")</f>
        <v>Skladování a vedlejší činnosti v dopravě</v>
      </c>
    </row>
    <row r="64" spans="1:26" ht="12.75" customHeight="1">
      <c r="A64" s="312"/>
      <c r="B64" s="312"/>
      <c r="C64" s="312"/>
      <c r="D64" s="328">
        <f>IF(ISNUMBER(SEARCH(ZAKL_DATA!$B$14,E64)),MAX($D$2:D63)+1,0)</f>
        <v>62</v>
      </c>
      <c r="E64" s="342" t="s">
        <v>1024</v>
      </c>
      <c r="F64" s="343">
        <v>2307</v>
      </c>
      <c r="G64" s="344"/>
      <c r="H64" s="345" t="str">
        <f>IFERROR(VLOOKUP(ROWS($H$3:H64),$D$3:$E$204,2,0),"")</f>
        <v>HORŠOVSKÝ TÝN</v>
      </c>
      <c r="I64" s="312"/>
      <c r="J64" s="347" t="s">
        <v>1025</v>
      </c>
      <c r="K64" s="334" t="s">
        <v>1026</v>
      </c>
      <c r="M64" s="335">
        <f>IF(ISNUMBER(SEARCH(ZAKL_DATA!$B$29,N64)),MAX($M$2:M63)+1,0)</f>
        <v>62</v>
      </c>
      <c r="N64" s="336" t="s">
        <v>1027</v>
      </c>
      <c r="O64" s="337" t="s">
        <v>1028</v>
      </c>
      <c r="P64" s="338"/>
      <c r="Q64" s="339" t="str">
        <f>IFERROR(VLOOKUP(ROWS($Q$3:Q64),$M$3:$N$992,2,0),"")</f>
        <v>Těžba a úprava hnědého uhlí</v>
      </c>
      <c r="R64">
        <f>IF(ISNUMBER(SEARCH('1Př1'!$A$33,N64)),MAX($M$2:M63)+1,0)</f>
        <v>62</v>
      </c>
      <c r="S64" s="336" t="s">
        <v>1027</v>
      </c>
      <c r="T64" t="str">
        <f>IFERROR(VLOOKUP(ROWS($T$3:T64),$R$3:$S$992,2,0),"")</f>
        <v>Těžba a úprava hnědého uhlí</v>
      </c>
      <c r="U64">
        <f>IF(ISNUMBER(SEARCH('1Př1'!$A$34,N64)),MAX($M$2:M63)+1,0)</f>
        <v>62</v>
      </c>
      <c r="V64" s="336" t="s">
        <v>1027</v>
      </c>
      <c r="W64" t="str">
        <f>IFERROR(VLOOKUP(ROWS($W$3:W64),$U$3:$V$992,2,0),"")</f>
        <v>Těžba a úprava hnědého uhlí</v>
      </c>
      <c r="X64">
        <f>IF(ISNUMBER(SEARCH('1Př1'!$A$35,N64)),MAX($M$2:M63)+1,0)</f>
        <v>62</v>
      </c>
      <c r="Y64" s="336" t="s">
        <v>1027</v>
      </c>
      <c r="Z64" t="str">
        <f>IFERROR(VLOOKUP(ROWS($Z$3:Z64),$X$3:$Y$992,2,0),"")</f>
        <v>Těžba a úprava hnědého uhlí</v>
      </c>
    </row>
    <row r="65" spans="1:26" ht="12.75" customHeight="1">
      <c r="A65" s="312"/>
      <c r="B65" s="312"/>
      <c r="C65" s="312"/>
      <c r="D65" s="328">
        <f>IF(ISNUMBER(SEARCH(ZAKL_DATA!$B$14,E65)),MAX($D$2:D64)+1,0)</f>
        <v>63</v>
      </c>
      <c r="E65" s="342" t="s">
        <v>1029</v>
      </c>
      <c r="F65" s="343">
        <v>2308</v>
      </c>
      <c r="G65" s="344"/>
      <c r="H65" s="345" t="str">
        <f>IFERROR(VLOOKUP(ROWS($H$3:H65),$D$3:$E$204,2,0),"")</f>
        <v>KLATOVY</v>
      </c>
      <c r="I65" s="312"/>
      <c r="J65" s="347" t="s">
        <v>1030</v>
      </c>
      <c r="K65" s="334" t="s">
        <v>703</v>
      </c>
      <c r="M65" s="335">
        <f>IF(ISNUMBER(SEARCH(ZAKL_DATA!$B$29,N65)),MAX($M$2:M64)+1,0)</f>
        <v>63</v>
      </c>
      <c r="N65" s="336" t="s">
        <v>1031</v>
      </c>
      <c r="O65" s="337" t="s">
        <v>1032</v>
      </c>
      <c r="P65" s="338"/>
      <c r="Q65" s="339" t="str">
        <f>IFERROR(VLOOKUP(ROWS($Q$3:Q65),$M$3:$N$992,2,0),"")</f>
        <v>Poštovní a kurýrní činnosti</v>
      </c>
      <c r="R65">
        <f>IF(ISNUMBER(SEARCH('1Př1'!$A$33,N65)),MAX($M$2:M64)+1,0)</f>
        <v>63</v>
      </c>
      <c r="S65" s="336" t="s">
        <v>1031</v>
      </c>
      <c r="T65" t="str">
        <f>IFERROR(VLOOKUP(ROWS($T$3:T65),$R$3:$S$992,2,0),"")</f>
        <v>Poštovní a kurýrní činnosti</v>
      </c>
      <c r="U65">
        <f>IF(ISNUMBER(SEARCH('1Př1'!$A$34,N65)),MAX($M$2:M64)+1,0)</f>
        <v>63</v>
      </c>
      <c r="V65" s="336" t="s">
        <v>1031</v>
      </c>
      <c r="W65" t="str">
        <f>IFERROR(VLOOKUP(ROWS($W$3:W65),$U$3:$V$992,2,0),"")</f>
        <v>Poštovní a kurýrní činnosti</v>
      </c>
      <c r="X65">
        <f>IF(ISNUMBER(SEARCH('1Př1'!$A$35,N65)),MAX($M$2:M64)+1,0)</f>
        <v>63</v>
      </c>
      <c r="Y65" s="336" t="s">
        <v>1031</v>
      </c>
      <c r="Z65" t="str">
        <f>IFERROR(VLOOKUP(ROWS($Z$3:Z65),$X$3:$Y$992,2,0),"")</f>
        <v>Poštovní a kurýrní činnosti</v>
      </c>
    </row>
    <row r="66" spans="1:26" ht="12.75" customHeight="1">
      <c r="A66" s="312"/>
      <c r="B66" s="312"/>
      <c r="C66" s="312"/>
      <c r="D66" s="328">
        <f>IF(ISNUMBER(SEARCH(ZAKL_DATA!$B$14,E66)),MAX($D$2:D65)+1,0)</f>
        <v>64</v>
      </c>
      <c r="E66" s="342" t="s">
        <v>1033</v>
      </c>
      <c r="F66" s="343">
        <v>2309</v>
      </c>
      <c r="G66" s="344"/>
      <c r="H66" s="345" t="str">
        <f>IFERROR(VLOOKUP(ROWS($H$3:H66),$D$3:$E$204,2,0),"")</f>
        <v>KRALOVICE</v>
      </c>
      <c r="I66" s="312"/>
      <c r="J66" s="347" t="s">
        <v>1034</v>
      </c>
      <c r="K66" s="334" t="s">
        <v>1035</v>
      </c>
      <c r="M66" s="335">
        <f>IF(ISNUMBER(SEARCH(ZAKL_DATA!$B$29,N66)),MAX($M$2:M65)+1,0)</f>
        <v>64</v>
      </c>
      <c r="N66" s="336" t="s">
        <v>1036</v>
      </c>
      <c r="O66" s="337" t="s">
        <v>1037</v>
      </c>
      <c r="P66" s="338"/>
      <c r="Q66" s="339" t="str">
        <f>IFERROR(VLOOKUP(ROWS($Q$3:Q66),$M$3:$N$992,2,0),"")</f>
        <v>Ubytování</v>
      </c>
      <c r="R66">
        <f>IF(ISNUMBER(SEARCH('1Př1'!$A$33,N66)),MAX($M$2:M65)+1,0)</f>
        <v>64</v>
      </c>
      <c r="S66" s="336" t="s">
        <v>1036</v>
      </c>
      <c r="T66" t="str">
        <f>IFERROR(VLOOKUP(ROWS($T$3:T66),$R$3:$S$992,2,0),"")</f>
        <v>Ubytování</v>
      </c>
      <c r="U66">
        <f>IF(ISNUMBER(SEARCH('1Př1'!$A$34,N66)),MAX($M$2:M65)+1,0)</f>
        <v>64</v>
      </c>
      <c r="V66" s="336" t="s">
        <v>1036</v>
      </c>
      <c r="W66" t="str">
        <f>IFERROR(VLOOKUP(ROWS($W$3:W66),$U$3:$V$992,2,0),"")</f>
        <v>Ubytování</v>
      </c>
      <c r="X66">
        <f>IF(ISNUMBER(SEARCH('1Př1'!$A$35,N66)),MAX($M$2:M65)+1,0)</f>
        <v>64</v>
      </c>
      <c r="Y66" s="336" t="s">
        <v>1036</v>
      </c>
      <c r="Z66" t="str">
        <f>IFERROR(VLOOKUP(ROWS($Z$3:Z66),$X$3:$Y$992,2,0),"")</f>
        <v>Ubytování</v>
      </c>
    </row>
    <row r="67" spans="1:26" ht="12.75" customHeight="1">
      <c r="A67" s="312"/>
      <c r="B67" s="312"/>
      <c r="C67" s="312"/>
      <c r="D67" s="328">
        <f>IF(ISNUMBER(SEARCH(ZAKL_DATA!$B$14,E67)),MAX($D$2:D66)+1,0)</f>
        <v>65</v>
      </c>
      <c r="E67" s="342" t="s">
        <v>1038</v>
      </c>
      <c r="F67" s="343">
        <v>2310</v>
      </c>
      <c r="G67" s="344"/>
      <c r="H67" s="345" t="str">
        <f>IFERROR(VLOOKUP(ROWS($H$3:H67),$D$3:$E$204,2,0),"")</f>
        <v>NEPOMUK</v>
      </c>
      <c r="I67" s="312"/>
      <c r="J67" s="347" t="s">
        <v>1039</v>
      </c>
      <c r="K67" s="334" t="s">
        <v>1040</v>
      </c>
      <c r="M67" s="335">
        <f>IF(ISNUMBER(SEARCH(ZAKL_DATA!$B$29,N67)),MAX($M$2:M66)+1,0)</f>
        <v>65</v>
      </c>
      <c r="N67" s="336" t="s">
        <v>1041</v>
      </c>
      <c r="O67" s="337" t="s">
        <v>1042</v>
      </c>
      <c r="P67" s="338"/>
      <c r="Q67" s="339" t="str">
        <f>IFERROR(VLOOKUP(ROWS($Q$3:Q67),$M$3:$N$992,2,0),"")</f>
        <v>Stravování a pohostinství</v>
      </c>
      <c r="R67">
        <f>IF(ISNUMBER(SEARCH('1Př1'!$A$33,N67)),MAX($M$2:M66)+1,0)</f>
        <v>65</v>
      </c>
      <c r="S67" s="336" t="s">
        <v>1041</v>
      </c>
      <c r="T67" t="str">
        <f>IFERROR(VLOOKUP(ROWS($T$3:T67),$R$3:$S$992,2,0),"")</f>
        <v>Stravování a pohostinství</v>
      </c>
      <c r="U67">
        <f>IF(ISNUMBER(SEARCH('1Př1'!$A$34,N67)),MAX($M$2:M66)+1,0)</f>
        <v>65</v>
      </c>
      <c r="V67" s="336" t="s">
        <v>1041</v>
      </c>
      <c r="W67" t="str">
        <f>IFERROR(VLOOKUP(ROWS($W$3:W67),$U$3:$V$992,2,0),"")</f>
        <v>Stravování a pohostinství</v>
      </c>
      <c r="X67">
        <f>IF(ISNUMBER(SEARCH('1Př1'!$A$35,N67)),MAX($M$2:M66)+1,0)</f>
        <v>65</v>
      </c>
      <c r="Y67" s="336" t="s">
        <v>1041</v>
      </c>
      <c r="Z67" t="str">
        <f>IFERROR(VLOOKUP(ROWS($Z$3:Z67),$X$3:$Y$992,2,0),"")</f>
        <v>Stravování a pohostinství</v>
      </c>
    </row>
    <row r="68" spans="1:26" ht="12.75" customHeight="1">
      <c r="A68" s="312"/>
      <c r="B68" s="312"/>
      <c r="C68" s="312"/>
      <c r="D68" s="328">
        <f>IF(ISNUMBER(SEARCH(ZAKL_DATA!$B$14,E68)),MAX($D$2:D67)+1,0)</f>
        <v>66</v>
      </c>
      <c r="E68" s="342" t="s">
        <v>1043</v>
      </c>
      <c r="F68" s="343">
        <v>2311</v>
      </c>
      <c r="G68" s="344"/>
      <c r="H68" s="345" t="str">
        <f>IFERROR(VLOOKUP(ROWS($H$3:H68),$D$3:$E$204,2,0),"")</f>
        <v>PŘEŠTICE</v>
      </c>
      <c r="I68" s="312"/>
      <c r="J68" s="347" t="s">
        <v>1044</v>
      </c>
      <c r="K68" s="334" t="s">
        <v>1045</v>
      </c>
      <c r="M68" s="335">
        <f>IF(ISNUMBER(SEARCH(ZAKL_DATA!$B$29,N68)),MAX($M$2:M67)+1,0)</f>
        <v>66</v>
      </c>
      <c r="N68" s="336" t="s">
        <v>1046</v>
      </c>
      <c r="O68" s="337" t="s">
        <v>1047</v>
      </c>
      <c r="P68" s="338"/>
      <c r="Q68" s="339" t="str">
        <f>IFERROR(VLOOKUP(ROWS($Q$3:Q68),$M$3:$N$992,2,0),"")</f>
        <v>Vydavatelské činnosti</v>
      </c>
      <c r="R68">
        <f>IF(ISNUMBER(SEARCH('1Př1'!$A$33,N68)),MAX($M$2:M67)+1,0)</f>
        <v>66</v>
      </c>
      <c r="S68" s="336" t="s">
        <v>1046</v>
      </c>
      <c r="T68" t="str">
        <f>IFERROR(VLOOKUP(ROWS($T$3:T68),$R$3:$S$992,2,0),"")</f>
        <v>Vydavatelské činnosti</v>
      </c>
      <c r="U68">
        <f>IF(ISNUMBER(SEARCH('1Př1'!$A$34,N68)),MAX($M$2:M67)+1,0)</f>
        <v>66</v>
      </c>
      <c r="V68" s="336" t="s">
        <v>1046</v>
      </c>
      <c r="W68" t="str">
        <f>IFERROR(VLOOKUP(ROWS($W$3:W68),$U$3:$V$992,2,0),"")</f>
        <v>Vydavatelské činnosti</v>
      </c>
      <c r="X68">
        <f>IF(ISNUMBER(SEARCH('1Př1'!$A$35,N68)),MAX($M$2:M67)+1,0)</f>
        <v>66</v>
      </c>
      <c r="Y68" s="336" t="s">
        <v>1046</v>
      </c>
      <c r="Z68" t="str">
        <f>IFERROR(VLOOKUP(ROWS($Z$3:Z68),$X$3:$Y$992,2,0),"")</f>
        <v>Vydavatelské činnosti</v>
      </c>
    </row>
    <row r="69" spans="1:26" ht="12.75" customHeight="1">
      <c r="A69" s="312"/>
      <c r="B69" s="312"/>
      <c r="C69" s="312"/>
      <c r="D69" s="328">
        <f>IF(ISNUMBER(SEARCH(ZAKL_DATA!$B$14,E69)),MAX($D$2:D68)+1,0)</f>
        <v>67</v>
      </c>
      <c r="E69" s="342" t="s">
        <v>1048</v>
      </c>
      <c r="F69" s="343">
        <v>2312</v>
      </c>
      <c r="G69" s="344"/>
      <c r="H69" s="345" t="str">
        <f>IFERROR(VLOOKUP(ROWS($H$3:H69),$D$3:$E$204,2,0),"")</f>
        <v>ROKYCANY</v>
      </c>
      <c r="I69" s="312"/>
      <c r="J69" s="347" t="s">
        <v>1049</v>
      </c>
      <c r="K69" s="334" t="s">
        <v>1050</v>
      </c>
      <c r="M69" s="335">
        <f>IF(ISNUMBER(SEARCH(ZAKL_DATA!$B$29,N69)),MAX($M$2:M68)+1,0)</f>
        <v>67</v>
      </c>
      <c r="N69" s="336" t="s">
        <v>1051</v>
      </c>
      <c r="O69" s="337" t="s">
        <v>1052</v>
      </c>
      <c r="P69" s="338"/>
      <c r="Q69" s="339" t="str">
        <f>IFERROR(VLOOKUP(ROWS($Q$3:Q69),$M$3:$N$992,2,0),"")</f>
        <v>Čin.v obl.filmů,videozázn.a tel.programů,pořiz.zvuk.nahr.a hudeb.vyd.čin.</v>
      </c>
      <c r="R69">
        <f>IF(ISNUMBER(SEARCH('1Př1'!$A$33,N69)),MAX($M$2:M68)+1,0)</f>
        <v>67</v>
      </c>
      <c r="S69" s="336" t="s">
        <v>1051</v>
      </c>
      <c r="T69" t="str">
        <f>IFERROR(VLOOKUP(ROWS($T$3:T69),$R$3:$S$992,2,0),"")</f>
        <v>Čin.v obl.filmů,videozázn.a tel.programů,pořiz.zvuk.nahr.a hudeb.vyd.čin.</v>
      </c>
      <c r="U69">
        <f>IF(ISNUMBER(SEARCH('1Př1'!$A$34,N69)),MAX($M$2:M68)+1,0)</f>
        <v>67</v>
      </c>
      <c r="V69" s="336" t="s">
        <v>1051</v>
      </c>
      <c r="W69" t="str">
        <f>IFERROR(VLOOKUP(ROWS($W$3:W69),$U$3:$V$992,2,0),"")</f>
        <v>Čin.v obl.filmů,videozázn.a tel.programů,pořiz.zvuk.nahr.a hudeb.vyd.čin.</v>
      </c>
      <c r="X69">
        <f>IF(ISNUMBER(SEARCH('1Př1'!$A$35,N69)),MAX($M$2:M68)+1,0)</f>
        <v>67</v>
      </c>
      <c r="Y69" s="336" t="s">
        <v>1051</v>
      </c>
      <c r="Z69" t="str">
        <f>IFERROR(VLOOKUP(ROWS($Z$3:Z69),$X$3:$Y$992,2,0),"")</f>
        <v>Čin.v obl.filmů,videozázn.a tel.programů,pořiz.zvuk.nahr.a hudeb.vyd.čin.</v>
      </c>
    </row>
    <row r="70" spans="1:26" ht="12.75" customHeight="1">
      <c r="A70" s="312"/>
      <c r="B70" s="312"/>
      <c r="C70" s="312"/>
      <c r="D70" s="328">
        <f>IF(ISNUMBER(SEARCH(ZAKL_DATA!$B$14,E70)),MAX($D$2:D69)+1,0)</f>
        <v>68</v>
      </c>
      <c r="E70" s="342" t="s">
        <v>1053</v>
      </c>
      <c r="F70" s="343">
        <v>2313</v>
      </c>
      <c r="G70" s="344"/>
      <c r="H70" s="345" t="str">
        <f>IFERROR(VLOOKUP(ROWS($H$3:H70),$D$3:$E$204,2,0),"")</f>
        <v>TACHOV</v>
      </c>
      <c r="I70" s="312"/>
      <c r="J70" s="347" t="s">
        <v>1054</v>
      </c>
      <c r="K70" s="334" t="s">
        <v>1055</v>
      </c>
      <c r="M70" s="335">
        <f>IF(ISNUMBER(SEARCH(ZAKL_DATA!$B$29,N70)),MAX($M$2:M69)+1,0)</f>
        <v>68</v>
      </c>
      <c r="N70" s="336" t="s">
        <v>1056</v>
      </c>
      <c r="O70" s="337" t="s">
        <v>1057</v>
      </c>
      <c r="P70" s="338"/>
      <c r="Q70" s="339" t="str">
        <f>IFERROR(VLOOKUP(ROWS($Q$3:Q70),$M$3:$N$992,2,0),"")</f>
        <v>Tvorba programů a vysílání</v>
      </c>
      <c r="R70">
        <f>IF(ISNUMBER(SEARCH('1Př1'!$A$33,N70)),MAX($M$2:M69)+1,0)</f>
        <v>68</v>
      </c>
      <c r="S70" s="336" t="s">
        <v>1056</v>
      </c>
      <c r="T70" t="str">
        <f>IFERROR(VLOOKUP(ROWS($T$3:T70),$R$3:$S$992,2,0),"")</f>
        <v>Tvorba programů a vysílání</v>
      </c>
      <c r="U70">
        <f>IF(ISNUMBER(SEARCH('1Př1'!$A$34,N70)),MAX($M$2:M69)+1,0)</f>
        <v>68</v>
      </c>
      <c r="V70" s="336" t="s">
        <v>1056</v>
      </c>
      <c r="W70" t="str">
        <f>IFERROR(VLOOKUP(ROWS($W$3:W70),$U$3:$V$992,2,0),"")</f>
        <v>Tvorba programů a vysílání</v>
      </c>
      <c r="X70">
        <f>IF(ISNUMBER(SEARCH('1Př1'!$A$35,N70)),MAX($M$2:M69)+1,0)</f>
        <v>68</v>
      </c>
      <c r="Y70" s="336" t="s">
        <v>1056</v>
      </c>
      <c r="Z70" t="str">
        <f>IFERROR(VLOOKUP(ROWS($Z$3:Z70),$X$3:$Y$992,2,0),"")</f>
        <v>Tvorba programů a vysílání</v>
      </c>
    </row>
    <row r="71" spans="1:26" ht="12.75" customHeight="1">
      <c r="A71" s="312"/>
      <c r="B71" s="312"/>
      <c r="C71" s="312"/>
      <c r="D71" s="328">
        <f>IF(ISNUMBER(SEARCH(ZAKL_DATA!$B$14,E71)),MAX($D$2:D70)+1,0)</f>
        <v>69</v>
      </c>
      <c r="E71" s="342" t="s">
        <v>1058</v>
      </c>
      <c r="F71" s="343">
        <v>2314</v>
      </c>
      <c r="G71" s="344"/>
      <c r="H71" s="345" t="str">
        <f>IFERROR(VLOOKUP(ROWS($H$3:H71),$D$3:$E$204,2,0),"")</f>
        <v>STŘÍBRO</v>
      </c>
      <c r="I71" s="312"/>
      <c r="J71" s="347" t="s">
        <v>1059</v>
      </c>
      <c r="K71" s="334" t="s">
        <v>1060</v>
      </c>
      <c r="M71" s="335">
        <f>IF(ISNUMBER(SEARCH(ZAKL_DATA!$B$29,N71)),MAX($M$2:M70)+1,0)</f>
        <v>69</v>
      </c>
      <c r="N71" s="336" t="s">
        <v>1061</v>
      </c>
      <c r="O71" s="337" t="s">
        <v>1062</v>
      </c>
      <c r="P71" s="338"/>
      <c r="Q71" s="339" t="str">
        <f>IFERROR(VLOOKUP(ROWS($Q$3:Q71),$M$3:$N$992,2,0),"")</f>
        <v>Telekomunikační činnosti</v>
      </c>
      <c r="R71">
        <f>IF(ISNUMBER(SEARCH('1Př1'!$A$33,N71)),MAX($M$2:M70)+1,0)</f>
        <v>69</v>
      </c>
      <c r="S71" s="336" t="s">
        <v>1061</v>
      </c>
      <c r="T71" t="str">
        <f>IFERROR(VLOOKUP(ROWS($T$3:T71),$R$3:$S$992,2,0),"")</f>
        <v>Telekomunikační činnosti</v>
      </c>
      <c r="U71">
        <f>IF(ISNUMBER(SEARCH('1Př1'!$A$34,N71)),MAX($M$2:M70)+1,0)</f>
        <v>69</v>
      </c>
      <c r="V71" s="336" t="s">
        <v>1061</v>
      </c>
      <c r="W71" t="str">
        <f>IFERROR(VLOOKUP(ROWS($W$3:W71),$U$3:$V$992,2,0),"")</f>
        <v>Telekomunikační činnosti</v>
      </c>
      <c r="X71">
        <f>IF(ISNUMBER(SEARCH('1Př1'!$A$35,N71)),MAX($M$2:M70)+1,0)</f>
        <v>69</v>
      </c>
      <c r="Y71" s="336" t="s">
        <v>1061</v>
      </c>
      <c r="Z71" t="str">
        <f>IFERROR(VLOOKUP(ROWS($Z$3:Z71),$X$3:$Y$992,2,0),"")</f>
        <v>Telekomunikační činnosti</v>
      </c>
    </row>
    <row r="72" spans="1:26" ht="12.75" customHeight="1">
      <c r="A72" s="312"/>
      <c r="B72" s="312"/>
      <c r="C72" s="312"/>
      <c r="D72" s="328">
        <f>IF(ISNUMBER(SEARCH(ZAKL_DATA!$B$14,E72)),MAX($D$2:D71)+1,0)</f>
        <v>70</v>
      </c>
      <c r="E72" s="342" t="s">
        <v>1063</v>
      </c>
      <c r="F72" s="343">
        <v>2315</v>
      </c>
      <c r="G72" s="344"/>
      <c r="H72" s="345" t="str">
        <f>IFERROR(VLOOKUP(ROWS($H$3:H72),$D$3:$E$204,2,0),"")</f>
        <v>SUŠICE</v>
      </c>
      <c r="I72" s="312"/>
      <c r="J72" s="347" t="s">
        <v>1064</v>
      </c>
      <c r="K72" s="334" t="s">
        <v>1065</v>
      </c>
      <c r="M72" s="335">
        <f>IF(ISNUMBER(SEARCH(ZAKL_DATA!$B$29,N72)),MAX($M$2:M71)+1,0)</f>
        <v>70</v>
      </c>
      <c r="N72" s="336" t="s">
        <v>1066</v>
      </c>
      <c r="O72" s="337" t="s">
        <v>1067</v>
      </c>
      <c r="P72" s="338"/>
      <c r="Q72" s="339" t="str">
        <f>IFERROR(VLOOKUP(ROWS($Q$3:Q72),$M$3:$N$992,2,0),"")</f>
        <v>Těžba ropy</v>
      </c>
      <c r="R72">
        <f>IF(ISNUMBER(SEARCH('1Př1'!$A$33,N72)),MAX($M$2:M71)+1,0)</f>
        <v>70</v>
      </c>
      <c r="S72" s="336" t="s">
        <v>1066</v>
      </c>
      <c r="T72" t="str">
        <f>IFERROR(VLOOKUP(ROWS($T$3:T72),$R$3:$S$992,2,0),"")</f>
        <v>Těžba ropy</v>
      </c>
      <c r="U72">
        <f>IF(ISNUMBER(SEARCH('1Př1'!$A$34,N72)),MAX($M$2:M71)+1,0)</f>
        <v>70</v>
      </c>
      <c r="V72" s="336" t="s">
        <v>1066</v>
      </c>
      <c r="W72" t="str">
        <f>IFERROR(VLOOKUP(ROWS($W$3:W72),$U$3:$V$992,2,0),"")</f>
        <v>Těžba ropy</v>
      </c>
      <c r="X72">
        <f>IF(ISNUMBER(SEARCH('1Př1'!$A$35,N72)),MAX($M$2:M71)+1,0)</f>
        <v>70</v>
      </c>
      <c r="Y72" s="336" t="s">
        <v>1066</v>
      </c>
      <c r="Z72" t="str">
        <f>IFERROR(VLOOKUP(ROWS($Z$3:Z72),$X$3:$Y$992,2,0),"")</f>
        <v>Těžba ropy</v>
      </c>
    </row>
    <row r="73" spans="1:26" ht="12.75" customHeight="1">
      <c r="A73" s="312"/>
      <c r="B73" s="312"/>
      <c r="C73" s="312"/>
      <c r="D73" s="328">
        <f>IF(ISNUMBER(SEARCH(ZAKL_DATA!$B$14,E73)),MAX($D$2:D72)+1,0)</f>
        <v>71</v>
      </c>
      <c r="E73" s="342" t="s">
        <v>1068</v>
      </c>
      <c r="F73" s="343">
        <v>2401</v>
      </c>
      <c r="G73" s="344"/>
      <c r="H73" s="345" t="str">
        <f>IFERROR(VLOOKUP(ROWS($H$3:H73),$D$3:$E$204,2,0),"")</f>
        <v>KARLOVY VARY</v>
      </c>
      <c r="I73" s="312"/>
      <c r="J73" s="347" t="s">
        <v>1069</v>
      </c>
      <c r="K73" s="334" t="s">
        <v>1070</v>
      </c>
      <c r="M73" s="335">
        <f>IF(ISNUMBER(SEARCH(ZAKL_DATA!$B$29,N73)),MAX($M$2:M72)+1,0)</f>
        <v>71</v>
      </c>
      <c r="N73" s="336" t="s">
        <v>1071</v>
      </c>
      <c r="O73" s="337" t="s">
        <v>1072</v>
      </c>
      <c r="P73" s="338"/>
      <c r="Q73" s="339" t="str">
        <f>IFERROR(VLOOKUP(ROWS($Q$3:Q73),$M$3:$N$992,2,0),"")</f>
        <v>Činnosti v oblasti informačních technologií</v>
      </c>
      <c r="R73">
        <f>IF(ISNUMBER(SEARCH('1Př1'!$A$33,N73)),MAX($M$2:M72)+1,0)</f>
        <v>71</v>
      </c>
      <c r="S73" s="336" t="s">
        <v>1071</v>
      </c>
      <c r="T73" t="str">
        <f>IFERROR(VLOOKUP(ROWS($T$3:T73),$R$3:$S$992,2,0),"")</f>
        <v>Činnosti v oblasti informačních technologií</v>
      </c>
      <c r="U73">
        <f>IF(ISNUMBER(SEARCH('1Př1'!$A$34,N73)),MAX($M$2:M72)+1,0)</f>
        <v>71</v>
      </c>
      <c r="V73" s="336" t="s">
        <v>1071</v>
      </c>
      <c r="W73" t="str">
        <f>IFERROR(VLOOKUP(ROWS($W$3:W73),$U$3:$V$992,2,0),"")</f>
        <v>Činnosti v oblasti informačních technologií</v>
      </c>
      <c r="X73">
        <f>IF(ISNUMBER(SEARCH('1Př1'!$A$35,N73)),MAX($M$2:M72)+1,0)</f>
        <v>71</v>
      </c>
      <c r="Y73" s="336" t="s">
        <v>1071</v>
      </c>
      <c r="Z73" t="str">
        <f>IFERROR(VLOOKUP(ROWS($Z$3:Z73),$X$3:$Y$992,2,0),"")</f>
        <v>Činnosti v oblasti informačních technologií</v>
      </c>
    </row>
    <row r="74" spans="1:26" ht="12.75" customHeight="1">
      <c r="A74" s="312"/>
      <c r="B74" s="312"/>
      <c r="C74" s="312"/>
      <c r="D74" s="328">
        <f>IF(ISNUMBER(SEARCH(ZAKL_DATA!$B$14,E74)),MAX($D$2:D73)+1,0)</f>
        <v>72</v>
      </c>
      <c r="E74" s="342" t="s">
        <v>1073</v>
      </c>
      <c r="F74" s="343">
        <v>2402</v>
      </c>
      <c r="G74" s="344"/>
      <c r="H74" s="345" t="str">
        <f>IFERROR(VLOOKUP(ROWS($H$3:H74),$D$3:$E$204,2,0),"")</f>
        <v>AŠ</v>
      </c>
      <c r="I74" s="312"/>
      <c r="J74" s="347" t="s">
        <v>1074</v>
      </c>
      <c r="K74" s="334" t="s">
        <v>1075</v>
      </c>
      <c r="M74" s="335">
        <f>IF(ISNUMBER(SEARCH(ZAKL_DATA!$B$29,N74)),MAX($M$2:M73)+1,0)</f>
        <v>72</v>
      </c>
      <c r="N74" s="336" t="s">
        <v>1076</v>
      </c>
      <c r="O74" s="337" t="s">
        <v>1077</v>
      </c>
      <c r="P74" s="338"/>
      <c r="Q74" s="339" t="str">
        <f>IFERROR(VLOOKUP(ROWS($Q$3:Q74),$M$3:$N$992,2,0),"")</f>
        <v>Těžba zemního plynu</v>
      </c>
      <c r="R74">
        <f>IF(ISNUMBER(SEARCH('1Př1'!$A$33,N74)),MAX($M$2:M73)+1,0)</f>
        <v>72</v>
      </c>
      <c r="S74" s="336" t="s">
        <v>1076</v>
      </c>
      <c r="T74" t="str">
        <f>IFERROR(VLOOKUP(ROWS($T$3:T74),$R$3:$S$992,2,0),"")</f>
        <v>Těžba zemního plynu</v>
      </c>
      <c r="U74">
        <f>IF(ISNUMBER(SEARCH('1Př1'!$A$34,N74)),MAX($M$2:M73)+1,0)</f>
        <v>72</v>
      </c>
      <c r="V74" s="336" t="s">
        <v>1076</v>
      </c>
      <c r="W74" t="str">
        <f>IFERROR(VLOOKUP(ROWS($W$3:W74),$U$3:$V$992,2,0),"")</f>
        <v>Těžba zemního plynu</v>
      </c>
      <c r="X74">
        <f>IF(ISNUMBER(SEARCH('1Př1'!$A$35,N74)),MAX($M$2:M73)+1,0)</f>
        <v>72</v>
      </c>
      <c r="Y74" s="336" t="s">
        <v>1076</v>
      </c>
      <c r="Z74" t="str">
        <f>IFERROR(VLOOKUP(ROWS($Z$3:Z74),$X$3:$Y$992,2,0),"")</f>
        <v>Těžba zemního plynu</v>
      </c>
    </row>
    <row r="75" spans="1:26" ht="12.75" customHeight="1">
      <c r="A75" s="312"/>
      <c r="B75" s="312"/>
      <c r="C75" s="312"/>
      <c r="D75" s="328">
        <f>IF(ISNUMBER(SEARCH(ZAKL_DATA!$B$14,E75)),MAX($D$2:D74)+1,0)</f>
        <v>73</v>
      </c>
      <c r="E75" s="342" t="s">
        <v>1078</v>
      </c>
      <c r="F75" s="343">
        <v>2403</v>
      </c>
      <c r="G75" s="344"/>
      <c r="H75" s="345" t="str">
        <f>IFERROR(VLOOKUP(ROWS($H$3:H75),$D$3:$E$204,2,0),"")</f>
        <v>CHEB</v>
      </c>
      <c r="I75" s="312"/>
      <c r="J75" s="347" t="s">
        <v>1079</v>
      </c>
      <c r="K75" s="334" t="s">
        <v>1080</v>
      </c>
      <c r="M75" s="335">
        <f>IF(ISNUMBER(SEARCH(ZAKL_DATA!$B$29,N75)),MAX($M$2:M74)+1,0)</f>
        <v>73</v>
      </c>
      <c r="N75" s="336" t="s">
        <v>1081</v>
      </c>
      <c r="O75" s="337" t="s">
        <v>1082</v>
      </c>
      <c r="P75" s="338"/>
      <c r="Q75" s="339" t="str">
        <f>IFERROR(VLOOKUP(ROWS($Q$3:Q75),$M$3:$N$992,2,0),"")</f>
        <v>Informační činnosti</v>
      </c>
      <c r="R75">
        <f>IF(ISNUMBER(SEARCH('1Př1'!$A$33,N75)),MAX($M$2:M74)+1,0)</f>
        <v>73</v>
      </c>
      <c r="S75" s="336" t="s">
        <v>1081</v>
      </c>
      <c r="T75" t="str">
        <f>IFERROR(VLOOKUP(ROWS($T$3:T75),$R$3:$S$992,2,0),"")</f>
        <v>Informační činnosti</v>
      </c>
      <c r="U75">
        <f>IF(ISNUMBER(SEARCH('1Př1'!$A$34,N75)),MAX($M$2:M74)+1,0)</f>
        <v>73</v>
      </c>
      <c r="V75" s="336" t="s">
        <v>1081</v>
      </c>
      <c r="W75" t="str">
        <f>IFERROR(VLOOKUP(ROWS($W$3:W75),$U$3:$V$992,2,0),"")</f>
        <v>Informační činnosti</v>
      </c>
      <c r="X75">
        <f>IF(ISNUMBER(SEARCH('1Př1'!$A$35,N75)),MAX($M$2:M74)+1,0)</f>
        <v>73</v>
      </c>
      <c r="Y75" s="336" t="s">
        <v>1081</v>
      </c>
      <c r="Z75" t="str">
        <f>IFERROR(VLOOKUP(ROWS($Z$3:Z75),$X$3:$Y$992,2,0),"")</f>
        <v>Informační činnosti</v>
      </c>
    </row>
    <row r="76" spans="1:26" ht="12.75" customHeight="1">
      <c r="A76" s="312"/>
      <c r="B76" s="312"/>
      <c r="C76" s="312"/>
      <c r="D76" s="328">
        <f>IF(ISNUMBER(SEARCH(ZAKL_DATA!$B$14,E76)),MAX($D$2:D75)+1,0)</f>
        <v>74</v>
      </c>
      <c r="E76" s="342" t="s">
        <v>1083</v>
      </c>
      <c r="F76" s="343">
        <v>2404</v>
      </c>
      <c r="G76" s="344"/>
      <c r="H76" s="345" t="str">
        <f>IFERROR(VLOOKUP(ROWS($H$3:H76),$D$3:$E$204,2,0),"")</f>
        <v>KRASLICE</v>
      </c>
      <c r="I76" s="312"/>
      <c r="J76" s="347" t="s">
        <v>1084</v>
      </c>
      <c r="K76" s="334" t="s">
        <v>1085</v>
      </c>
      <c r="M76" s="335">
        <f>IF(ISNUMBER(SEARCH(ZAKL_DATA!$B$29,N76)),MAX($M$2:M75)+1,0)</f>
        <v>74</v>
      </c>
      <c r="N76" s="336" t="s">
        <v>1086</v>
      </c>
      <c r="O76" s="337" t="s">
        <v>1087</v>
      </c>
      <c r="P76" s="338"/>
      <c r="Q76" s="339" t="str">
        <f>IFERROR(VLOOKUP(ROWS($Q$3:Q76),$M$3:$N$992,2,0),"")</f>
        <v>Finanční zprostředkování, kromě pojišťovnictví a penzijního financování</v>
      </c>
      <c r="R76">
        <f>IF(ISNUMBER(SEARCH('1Př1'!$A$33,N76)),MAX($M$2:M75)+1,0)</f>
        <v>74</v>
      </c>
      <c r="S76" s="336" t="s">
        <v>1086</v>
      </c>
      <c r="T76" t="str">
        <f>IFERROR(VLOOKUP(ROWS($T$3:T76),$R$3:$S$992,2,0),"")</f>
        <v>Finanční zprostředkování, kromě pojišťovnictví a penzijního financování</v>
      </c>
      <c r="U76">
        <f>IF(ISNUMBER(SEARCH('1Př1'!$A$34,N76)),MAX($M$2:M75)+1,0)</f>
        <v>74</v>
      </c>
      <c r="V76" s="336" t="s">
        <v>1086</v>
      </c>
      <c r="W76" t="str">
        <f>IFERROR(VLOOKUP(ROWS($W$3:W76),$U$3:$V$992,2,0),"")</f>
        <v>Finanční zprostředkování, kromě pojišťovnictví a penzijního financování</v>
      </c>
      <c r="X76">
        <f>IF(ISNUMBER(SEARCH('1Př1'!$A$35,N76)),MAX($M$2:M75)+1,0)</f>
        <v>74</v>
      </c>
      <c r="Y76" s="336" t="s">
        <v>1086</v>
      </c>
      <c r="Z76" t="str">
        <f>IFERROR(VLOOKUP(ROWS($Z$3:Z76),$X$3:$Y$992,2,0),"")</f>
        <v>Finanční zprostředkování, kromě pojišťovnictví a penzijního financování</v>
      </c>
    </row>
    <row r="77" spans="1:26" ht="12.75" customHeight="1">
      <c r="A77" s="312"/>
      <c r="B77" s="312"/>
      <c r="C77" s="312"/>
      <c r="D77" s="328">
        <f>IF(ISNUMBER(SEARCH(ZAKL_DATA!$B$14,E77)),MAX($D$2:D76)+1,0)</f>
        <v>75</v>
      </c>
      <c r="E77" s="342" t="s">
        <v>1088</v>
      </c>
      <c r="F77" s="343">
        <v>2405</v>
      </c>
      <c r="G77" s="344"/>
      <c r="H77" s="345" t="str">
        <f>IFERROR(VLOOKUP(ROWS($H$3:H77),$D$3:$E$204,2,0),"")</f>
        <v>MARIÁNSKÉ LÁZNĚ</v>
      </c>
      <c r="I77" s="312"/>
      <c r="J77" s="347" t="s">
        <v>1089</v>
      </c>
      <c r="K77" s="334" t="s">
        <v>1090</v>
      </c>
      <c r="M77" s="335">
        <f>IF(ISNUMBER(SEARCH(ZAKL_DATA!$B$29,N77)),MAX($M$2:M76)+1,0)</f>
        <v>75</v>
      </c>
      <c r="N77" s="336" t="s">
        <v>1091</v>
      </c>
      <c r="O77" s="337" t="s">
        <v>1092</v>
      </c>
      <c r="P77" s="338"/>
      <c r="Q77" s="339" t="str">
        <f>IFERROR(VLOOKUP(ROWS($Q$3:Q77),$M$3:$N$992,2,0),"")</f>
        <v>Pojištění,zajištění a penzijní financování,kromě povinného soc.zabezpečení</v>
      </c>
      <c r="R77">
        <f>IF(ISNUMBER(SEARCH('1Př1'!$A$33,N77)),MAX($M$2:M76)+1,0)</f>
        <v>75</v>
      </c>
      <c r="S77" s="336" t="s">
        <v>1091</v>
      </c>
      <c r="T77" t="str">
        <f>IFERROR(VLOOKUP(ROWS($T$3:T77),$R$3:$S$992,2,0),"")</f>
        <v>Pojištění,zajištění a penzijní financování,kromě povinného soc.zabezpečení</v>
      </c>
      <c r="U77">
        <f>IF(ISNUMBER(SEARCH('1Př1'!$A$34,N77)),MAX($M$2:M76)+1,0)</f>
        <v>75</v>
      </c>
      <c r="V77" s="336" t="s">
        <v>1091</v>
      </c>
      <c r="W77" t="str">
        <f>IFERROR(VLOOKUP(ROWS($W$3:W77),$U$3:$V$992,2,0),"")</f>
        <v>Pojištění,zajištění a penzijní financování,kromě povinného soc.zabezpečení</v>
      </c>
      <c r="X77">
        <f>IF(ISNUMBER(SEARCH('1Př1'!$A$35,N77)),MAX($M$2:M76)+1,0)</f>
        <v>75</v>
      </c>
      <c r="Y77" s="336" t="s">
        <v>1091</v>
      </c>
      <c r="Z77" t="str">
        <f>IFERROR(VLOOKUP(ROWS($Z$3:Z77),$X$3:$Y$992,2,0),"")</f>
        <v>Pojištění,zajištění a penzijní financování,kromě povinného soc.zabezpečení</v>
      </c>
    </row>
    <row r="78" spans="1:26" ht="12.75" customHeight="1">
      <c r="A78" s="312"/>
      <c r="B78" s="312"/>
      <c r="C78" s="312"/>
      <c r="D78" s="328">
        <f>IF(ISNUMBER(SEARCH(ZAKL_DATA!$B$14,E78)),MAX($D$2:D77)+1,0)</f>
        <v>76</v>
      </c>
      <c r="E78" s="342" t="s">
        <v>1093</v>
      </c>
      <c r="F78" s="343">
        <v>2406</v>
      </c>
      <c r="G78" s="344"/>
      <c r="H78" s="345" t="str">
        <f>IFERROR(VLOOKUP(ROWS($H$3:H78),$D$3:$E$204,2,0),"")</f>
        <v>OSTROV NAD OHŘÍ</v>
      </c>
      <c r="I78" s="312"/>
      <c r="J78" s="347" t="s">
        <v>1094</v>
      </c>
      <c r="K78" s="334" t="s">
        <v>1095</v>
      </c>
      <c r="M78" s="335">
        <f>IF(ISNUMBER(SEARCH(ZAKL_DATA!$B$29,N78)),MAX($M$2:M77)+1,0)</f>
        <v>76</v>
      </c>
      <c r="N78" s="336" t="s">
        <v>1096</v>
      </c>
      <c r="O78" s="337" t="s">
        <v>1097</v>
      </c>
      <c r="P78" s="338"/>
      <c r="Q78" s="339" t="str">
        <f>IFERROR(VLOOKUP(ROWS($Q$3:Q78),$M$3:$N$992,2,0),"")</f>
        <v>Ostatní finanční činnosti</v>
      </c>
      <c r="R78">
        <f>IF(ISNUMBER(SEARCH('1Př1'!$A$33,N78)),MAX($M$2:M77)+1,0)</f>
        <v>76</v>
      </c>
      <c r="S78" s="336" t="s">
        <v>1096</v>
      </c>
      <c r="T78" t="str">
        <f>IFERROR(VLOOKUP(ROWS($T$3:T78),$R$3:$S$992,2,0),"")</f>
        <v>Ostatní finanční činnosti</v>
      </c>
      <c r="U78">
        <f>IF(ISNUMBER(SEARCH('1Př1'!$A$34,N78)),MAX($M$2:M77)+1,0)</f>
        <v>76</v>
      </c>
      <c r="V78" s="336" t="s">
        <v>1096</v>
      </c>
      <c r="W78" t="str">
        <f>IFERROR(VLOOKUP(ROWS($W$3:W78),$U$3:$V$992,2,0),"")</f>
        <v>Ostatní finanční činnosti</v>
      </c>
      <c r="X78">
        <f>IF(ISNUMBER(SEARCH('1Př1'!$A$35,N78)),MAX($M$2:M77)+1,0)</f>
        <v>76</v>
      </c>
      <c r="Y78" s="336" t="s">
        <v>1096</v>
      </c>
      <c r="Z78" t="str">
        <f>IFERROR(VLOOKUP(ROWS($Z$3:Z78),$X$3:$Y$992,2,0),"")</f>
        <v>Ostatní finanční činnosti</v>
      </c>
    </row>
    <row r="79" spans="1:26" ht="12.75" customHeight="1">
      <c r="A79" s="312"/>
      <c r="B79" s="312"/>
      <c r="C79" s="312"/>
      <c r="D79" s="328">
        <f>IF(ISNUMBER(SEARCH(ZAKL_DATA!$B$14,E79)),MAX($D$2:D78)+1,0)</f>
        <v>77</v>
      </c>
      <c r="E79" s="342" t="s">
        <v>1098</v>
      </c>
      <c r="F79" s="343">
        <v>2407</v>
      </c>
      <c r="G79" s="344"/>
      <c r="H79" s="345" t="str">
        <f>IFERROR(VLOOKUP(ROWS($H$3:H79),$D$3:$E$204,2,0),"")</f>
        <v>SOKOLOV</v>
      </c>
      <c r="I79" s="312"/>
      <c r="J79" s="347" t="s">
        <v>1099</v>
      </c>
      <c r="K79" s="334" t="s">
        <v>1100</v>
      </c>
      <c r="M79" s="335">
        <f>IF(ISNUMBER(SEARCH(ZAKL_DATA!$B$29,N79)),MAX($M$2:M78)+1,0)</f>
        <v>77</v>
      </c>
      <c r="N79" s="336" t="s">
        <v>1101</v>
      </c>
      <c r="O79" s="337" t="s">
        <v>1102</v>
      </c>
      <c r="P79" s="338"/>
      <c r="Q79" s="339" t="str">
        <f>IFERROR(VLOOKUP(ROWS($Q$3:Q79),$M$3:$N$992,2,0),"")</f>
        <v>Činnosti v oblasti nemovitostí</v>
      </c>
      <c r="R79">
        <f>IF(ISNUMBER(SEARCH('1Př1'!$A$33,N79)),MAX($M$2:M78)+1,0)</f>
        <v>77</v>
      </c>
      <c r="S79" s="336" t="s">
        <v>1101</v>
      </c>
      <c r="T79" t="str">
        <f>IFERROR(VLOOKUP(ROWS($T$3:T79),$R$3:$S$992,2,0),"")</f>
        <v>Činnosti v oblasti nemovitostí</v>
      </c>
      <c r="U79">
        <f>IF(ISNUMBER(SEARCH('1Př1'!$A$34,N79)),MAX($M$2:M78)+1,0)</f>
        <v>77</v>
      </c>
      <c r="V79" s="336" t="s">
        <v>1101</v>
      </c>
      <c r="W79" t="str">
        <f>IFERROR(VLOOKUP(ROWS($W$3:W79),$U$3:$V$992,2,0),"")</f>
        <v>Činnosti v oblasti nemovitostí</v>
      </c>
      <c r="X79">
        <f>IF(ISNUMBER(SEARCH('1Př1'!$A$35,N79)),MAX($M$2:M78)+1,0)</f>
        <v>77</v>
      </c>
      <c r="Y79" s="336" t="s">
        <v>1101</v>
      </c>
      <c r="Z79" t="str">
        <f>IFERROR(VLOOKUP(ROWS($Z$3:Z79),$X$3:$Y$992,2,0),"")</f>
        <v>Činnosti v oblasti nemovitostí</v>
      </c>
    </row>
    <row r="80" spans="1:26" ht="12.75" customHeight="1">
      <c r="A80" s="312"/>
      <c r="B80" s="312"/>
      <c r="C80" s="312"/>
      <c r="D80" s="328">
        <f>IF(ISNUMBER(SEARCH(ZAKL_DATA!$B$14,E80)),MAX($D$2:D79)+1,0)</f>
        <v>78</v>
      </c>
      <c r="E80" s="342" t="s">
        <v>1103</v>
      </c>
      <c r="F80" s="343">
        <v>2501</v>
      </c>
      <c r="G80" s="344"/>
      <c r="H80" s="345" t="str">
        <f>IFERROR(VLOOKUP(ROWS($H$3:H80),$D$3:$E$204,2,0),"")</f>
        <v>ÚSTÍ NAD LABEM</v>
      </c>
      <c r="I80" s="312"/>
      <c r="J80" s="347" t="s">
        <v>1104</v>
      </c>
      <c r="K80" s="334" t="s">
        <v>1105</v>
      </c>
      <c r="M80" s="335">
        <f>IF(ISNUMBER(SEARCH(ZAKL_DATA!$B$29,N80)),MAX($M$2:M79)+1,0)</f>
        <v>78</v>
      </c>
      <c r="N80" s="336" t="s">
        <v>1106</v>
      </c>
      <c r="O80" s="337" t="s">
        <v>1107</v>
      </c>
      <c r="P80" s="338"/>
      <c r="Q80" s="339" t="str">
        <f>IFERROR(VLOOKUP(ROWS($Q$3:Q80),$M$3:$N$992,2,0),"")</f>
        <v>Právní a účetnické činnosti</v>
      </c>
      <c r="R80">
        <f>IF(ISNUMBER(SEARCH('1Př1'!$A$33,N80)),MAX($M$2:M79)+1,0)</f>
        <v>78</v>
      </c>
      <c r="S80" s="336" t="s">
        <v>1106</v>
      </c>
      <c r="T80" t="str">
        <f>IFERROR(VLOOKUP(ROWS($T$3:T80),$R$3:$S$992,2,0),"")</f>
        <v>Právní a účetnické činnosti</v>
      </c>
      <c r="U80">
        <f>IF(ISNUMBER(SEARCH('1Př1'!$A$34,N80)),MAX($M$2:M79)+1,0)</f>
        <v>78</v>
      </c>
      <c r="V80" s="336" t="s">
        <v>1106</v>
      </c>
      <c r="W80" t="str">
        <f>IFERROR(VLOOKUP(ROWS($W$3:W80),$U$3:$V$992,2,0),"")</f>
        <v>Právní a účetnické činnosti</v>
      </c>
      <c r="X80">
        <f>IF(ISNUMBER(SEARCH('1Př1'!$A$35,N80)),MAX($M$2:M79)+1,0)</f>
        <v>78</v>
      </c>
      <c r="Y80" s="336" t="s">
        <v>1106</v>
      </c>
      <c r="Z80" t="str">
        <f>IFERROR(VLOOKUP(ROWS($Z$3:Z80),$X$3:$Y$992,2,0),"")</f>
        <v>Právní a účetnické činnosti</v>
      </c>
    </row>
    <row r="81" spans="1:26" ht="12.75" customHeight="1">
      <c r="A81" s="312"/>
      <c r="B81" s="312"/>
      <c r="C81" s="312"/>
      <c r="D81" s="328">
        <f>IF(ISNUMBER(SEARCH(ZAKL_DATA!$B$14,E81)),MAX($D$2:D80)+1,0)</f>
        <v>79</v>
      </c>
      <c r="E81" s="342" t="s">
        <v>1108</v>
      </c>
      <c r="F81" s="343">
        <v>2502</v>
      </c>
      <c r="G81" s="344"/>
      <c r="H81" s="345" t="str">
        <f>IFERROR(VLOOKUP(ROWS($H$3:H81),$D$3:$E$204,2,0),"")</f>
        <v>BÍLINA</v>
      </c>
      <c r="I81" s="312"/>
      <c r="J81" s="347" t="s">
        <v>1109</v>
      </c>
      <c r="K81" s="334" t="s">
        <v>1110</v>
      </c>
      <c r="M81" s="335">
        <f>IF(ISNUMBER(SEARCH(ZAKL_DATA!$B$29,N81)),MAX($M$2:M80)+1,0)</f>
        <v>79</v>
      </c>
      <c r="N81" s="336" t="s">
        <v>1111</v>
      </c>
      <c r="O81" s="337" t="s">
        <v>1112</v>
      </c>
      <c r="P81" s="338"/>
      <c r="Q81" s="339" t="str">
        <f>IFERROR(VLOOKUP(ROWS($Q$3:Q81),$M$3:$N$992,2,0),"")</f>
        <v>Činnosti vedení podniků; poradenství v oblasti řízení</v>
      </c>
      <c r="R81">
        <f>IF(ISNUMBER(SEARCH('1Př1'!$A$33,N81)),MAX($M$2:M80)+1,0)</f>
        <v>79</v>
      </c>
      <c r="S81" s="336" t="s">
        <v>1111</v>
      </c>
      <c r="T81" t="str">
        <f>IFERROR(VLOOKUP(ROWS($T$3:T81),$R$3:$S$992,2,0),"")</f>
        <v>Činnosti vedení podniků; poradenství v oblasti řízení</v>
      </c>
      <c r="U81">
        <f>IF(ISNUMBER(SEARCH('1Př1'!$A$34,N81)),MAX($M$2:M80)+1,0)</f>
        <v>79</v>
      </c>
      <c r="V81" s="336" t="s">
        <v>1111</v>
      </c>
      <c r="W81" t="str">
        <f>IFERROR(VLOOKUP(ROWS($W$3:W81),$U$3:$V$992,2,0),"")</f>
        <v>Činnosti vedení podniků; poradenství v oblasti řízení</v>
      </c>
      <c r="X81">
        <f>IF(ISNUMBER(SEARCH('1Př1'!$A$35,N81)),MAX($M$2:M80)+1,0)</f>
        <v>79</v>
      </c>
      <c r="Y81" s="336" t="s">
        <v>1111</v>
      </c>
      <c r="Z81" t="str">
        <f>IFERROR(VLOOKUP(ROWS($Z$3:Z81),$X$3:$Y$992,2,0),"")</f>
        <v>Činnosti vedení podniků; poradenství v oblasti řízení</v>
      </c>
    </row>
    <row r="82" spans="1:26" ht="12.75" customHeight="1">
      <c r="A82" s="312"/>
      <c r="B82" s="312"/>
      <c r="C82" s="312"/>
      <c r="D82" s="328">
        <f>IF(ISNUMBER(SEARCH(ZAKL_DATA!$B$14,E82)),MAX($D$2:D81)+1,0)</f>
        <v>80</v>
      </c>
      <c r="E82" s="342" t="s">
        <v>1113</v>
      </c>
      <c r="F82" s="343">
        <v>2503</v>
      </c>
      <c r="G82" s="344"/>
      <c r="H82" s="345" t="str">
        <f>IFERROR(VLOOKUP(ROWS($H$3:H82),$D$3:$E$204,2,0),"")</f>
        <v>DĚČÍN</v>
      </c>
      <c r="I82" s="312"/>
      <c r="J82" s="347" t="s">
        <v>1114</v>
      </c>
      <c r="K82" s="334" t="s">
        <v>1115</v>
      </c>
      <c r="M82" s="335">
        <f>IF(ISNUMBER(SEARCH(ZAKL_DATA!$B$29,N82)),MAX($M$2:M81)+1,0)</f>
        <v>80</v>
      </c>
      <c r="N82" s="336" t="s">
        <v>1116</v>
      </c>
      <c r="O82" s="337" t="s">
        <v>1117</v>
      </c>
      <c r="P82" s="338"/>
      <c r="Q82" s="339" t="str">
        <f>IFERROR(VLOOKUP(ROWS($Q$3:Q82),$M$3:$N$992,2,0),"")</f>
        <v>Architektonické a inženýrské činnosti; technické zkoušky a analýzy</v>
      </c>
      <c r="R82">
        <f>IF(ISNUMBER(SEARCH('1Př1'!$A$33,N82)),MAX($M$2:M81)+1,0)</f>
        <v>80</v>
      </c>
      <c r="S82" s="336" t="s">
        <v>1116</v>
      </c>
      <c r="T82" t="str">
        <f>IFERROR(VLOOKUP(ROWS($T$3:T82),$R$3:$S$992,2,0),"")</f>
        <v>Architektonické a inženýrské činnosti; technické zkoušky a analýzy</v>
      </c>
      <c r="U82">
        <f>IF(ISNUMBER(SEARCH('1Př1'!$A$34,N82)),MAX($M$2:M81)+1,0)</f>
        <v>80</v>
      </c>
      <c r="V82" s="336" t="s">
        <v>1116</v>
      </c>
      <c r="W82" t="str">
        <f>IFERROR(VLOOKUP(ROWS($W$3:W82),$U$3:$V$992,2,0),"")</f>
        <v>Architektonické a inženýrské činnosti; technické zkoušky a analýzy</v>
      </c>
      <c r="X82">
        <f>IF(ISNUMBER(SEARCH('1Př1'!$A$35,N82)),MAX($M$2:M81)+1,0)</f>
        <v>80</v>
      </c>
      <c r="Y82" s="336" t="s">
        <v>1116</v>
      </c>
      <c r="Z82" t="str">
        <f>IFERROR(VLOOKUP(ROWS($Z$3:Z82),$X$3:$Y$992,2,0),"")</f>
        <v>Architektonické a inženýrské činnosti; technické zkoušky a analýzy</v>
      </c>
    </row>
    <row r="83" spans="1:26" ht="12.75" customHeight="1">
      <c r="A83" s="312"/>
      <c r="B83" s="312"/>
      <c r="C83" s="312"/>
      <c r="D83" s="328">
        <f>IF(ISNUMBER(SEARCH(ZAKL_DATA!$B$14,E83)),MAX($D$2:D82)+1,0)</f>
        <v>81</v>
      </c>
      <c r="E83" s="342" t="s">
        <v>1118</v>
      </c>
      <c r="F83" s="343">
        <v>2504</v>
      </c>
      <c r="G83" s="344"/>
      <c r="H83" s="345" t="str">
        <f>IFERROR(VLOOKUP(ROWS($H$3:H83),$D$3:$E$204,2,0),"")</f>
        <v>CHOMUTOV</v>
      </c>
      <c r="I83" s="312"/>
      <c r="J83" s="347" t="s">
        <v>1119</v>
      </c>
      <c r="K83" s="334" t="s">
        <v>1120</v>
      </c>
      <c r="M83" s="335">
        <f>IF(ISNUMBER(SEARCH(ZAKL_DATA!$B$29,N83)),MAX($M$2:M82)+1,0)</f>
        <v>81</v>
      </c>
      <c r="N83" s="336" t="s">
        <v>1121</v>
      </c>
      <c r="O83" s="337" t="s">
        <v>1122</v>
      </c>
      <c r="P83" s="338"/>
      <c r="Q83" s="339" t="str">
        <f>IFERROR(VLOOKUP(ROWS($Q$3:Q83),$M$3:$N$992,2,0),"")</f>
        <v>Těžba a úprava železných rud</v>
      </c>
      <c r="R83">
        <f>IF(ISNUMBER(SEARCH('1Př1'!$A$33,N83)),MAX($M$2:M82)+1,0)</f>
        <v>81</v>
      </c>
      <c r="S83" s="336" t="s">
        <v>1121</v>
      </c>
      <c r="T83" t="str">
        <f>IFERROR(VLOOKUP(ROWS($T$3:T83),$R$3:$S$992,2,0),"")</f>
        <v>Těžba a úprava železných rud</v>
      </c>
      <c r="U83">
        <f>IF(ISNUMBER(SEARCH('1Př1'!$A$34,N83)),MAX($M$2:M82)+1,0)</f>
        <v>81</v>
      </c>
      <c r="V83" s="336" t="s">
        <v>1121</v>
      </c>
      <c r="W83" t="str">
        <f>IFERROR(VLOOKUP(ROWS($W$3:W83),$U$3:$V$992,2,0),"")</f>
        <v>Těžba a úprava železných rud</v>
      </c>
      <c r="X83">
        <f>IF(ISNUMBER(SEARCH('1Př1'!$A$35,N83)),MAX($M$2:M82)+1,0)</f>
        <v>81</v>
      </c>
      <c r="Y83" s="336" t="s">
        <v>1121</v>
      </c>
      <c r="Z83" t="str">
        <f>IFERROR(VLOOKUP(ROWS($Z$3:Z83),$X$3:$Y$992,2,0),"")</f>
        <v>Těžba a úprava železných rud</v>
      </c>
    </row>
    <row r="84" spans="1:26" ht="12.75" customHeight="1">
      <c r="A84" s="312"/>
      <c r="B84" s="312"/>
      <c r="C84" s="312"/>
      <c r="D84" s="328">
        <f>IF(ISNUMBER(SEARCH(ZAKL_DATA!$B$14,E84)),MAX($D$2:D83)+1,0)</f>
        <v>82</v>
      </c>
      <c r="E84" s="342" t="s">
        <v>1123</v>
      </c>
      <c r="F84" s="343">
        <v>2505</v>
      </c>
      <c r="G84" s="344"/>
      <c r="H84" s="345" t="str">
        <f>IFERROR(VLOOKUP(ROWS($H$3:H84),$D$3:$E$204,2,0),"")</f>
        <v>KADAŇ</v>
      </c>
      <c r="I84" s="312"/>
      <c r="J84" s="351" t="s">
        <v>1124</v>
      </c>
      <c r="K84" s="352" t="s">
        <v>1125</v>
      </c>
      <c r="M84" s="335">
        <f>IF(ISNUMBER(SEARCH(ZAKL_DATA!$B$29,N84)),MAX($M$2:M83)+1,0)</f>
        <v>82</v>
      </c>
      <c r="N84" s="336" t="s">
        <v>1126</v>
      </c>
      <c r="O84" s="337" t="s">
        <v>1127</v>
      </c>
      <c r="P84" s="338"/>
      <c r="Q84" s="339" t="str">
        <f>IFERROR(VLOOKUP(ROWS($Q$3:Q84),$M$3:$N$992,2,0),"")</f>
        <v>Výzkum a vývoj</v>
      </c>
      <c r="R84">
        <f>IF(ISNUMBER(SEARCH('1Př1'!$A$33,N84)),MAX($M$2:M83)+1,0)</f>
        <v>82</v>
      </c>
      <c r="S84" s="336" t="s">
        <v>1126</v>
      </c>
      <c r="T84" t="str">
        <f>IFERROR(VLOOKUP(ROWS($T$3:T84),$R$3:$S$992,2,0),"")</f>
        <v>Výzkum a vývoj</v>
      </c>
      <c r="U84">
        <f>IF(ISNUMBER(SEARCH('1Př1'!$A$34,N84)),MAX($M$2:M83)+1,0)</f>
        <v>82</v>
      </c>
      <c r="V84" s="336" t="s">
        <v>1126</v>
      </c>
      <c r="W84" t="str">
        <f>IFERROR(VLOOKUP(ROWS($W$3:W84),$U$3:$V$992,2,0),"")</f>
        <v>Výzkum a vývoj</v>
      </c>
      <c r="X84">
        <f>IF(ISNUMBER(SEARCH('1Př1'!$A$35,N84)),MAX($M$2:M83)+1,0)</f>
        <v>82</v>
      </c>
      <c r="Y84" s="336" t="s">
        <v>1126</v>
      </c>
      <c r="Z84" t="str">
        <f>IFERROR(VLOOKUP(ROWS($Z$3:Z84),$X$3:$Y$992,2,0),"")</f>
        <v>Výzkum a vývoj</v>
      </c>
    </row>
    <row r="85" spans="1:26" ht="12.75" customHeight="1">
      <c r="A85" s="312"/>
      <c r="B85" s="312"/>
      <c r="C85" s="312"/>
      <c r="D85" s="328">
        <f>IF(ISNUMBER(SEARCH(ZAKL_DATA!$B$14,E85)),MAX($D$2:D84)+1,0)</f>
        <v>83</v>
      </c>
      <c r="E85" s="342" t="s">
        <v>1128</v>
      </c>
      <c r="F85" s="343">
        <v>2506</v>
      </c>
      <c r="G85" s="344"/>
      <c r="H85" s="345" t="str">
        <f>IFERROR(VLOOKUP(ROWS($H$3:H85),$D$3:$E$204,2,0),"")</f>
        <v>LIBOCHOVICE</v>
      </c>
      <c r="I85" s="312"/>
      <c r="J85" s="347" t="s">
        <v>1129</v>
      </c>
      <c r="K85" s="334" t="s">
        <v>1130</v>
      </c>
      <c r="M85" s="335">
        <f>IF(ISNUMBER(SEARCH(ZAKL_DATA!$B$29,N85)),MAX($M$2:M84)+1,0)</f>
        <v>83</v>
      </c>
      <c r="N85" s="336" t="s">
        <v>1131</v>
      </c>
      <c r="O85" s="337" t="s">
        <v>1132</v>
      </c>
      <c r="P85" s="338"/>
      <c r="Q85" s="339" t="str">
        <f>IFERROR(VLOOKUP(ROWS($Q$3:Q85),$M$3:$N$992,2,0),"")</f>
        <v>Těžba a úprava neželezných rud</v>
      </c>
      <c r="R85">
        <f>IF(ISNUMBER(SEARCH('1Př1'!$A$33,N85)),MAX($M$2:M84)+1,0)</f>
        <v>83</v>
      </c>
      <c r="S85" s="336" t="s">
        <v>1131</v>
      </c>
      <c r="T85" t="str">
        <f>IFERROR(VLOOKUP(ROWS($T$3:T85),$R$3:$S$992,2,0),"")</f>
        <v>Těžba a úprava neželezných rud</v>
      </c>
      <c r="U85">
        <f>IF(ISNUMBER(SEARCH('1Př1'!$A$34,N85)),MAX($M$2:M84)+1,0)</f>
        <v>83</v>
      </c>
      <c r="V85" s="336" t="s">
        <v>1131</v>
      </c>
      <c r="W85" t="str">
        <f>IFERROR(VLOOKUP(ROWS($W$3:W85),$U$3:$V$992,2,0),"")</f>
        <v>Těžba a úprava neželezných rud</v>
      </c>
      <c r="X85">
        <f>IF(ISNUMBER(SEARCH('1Př1'!$A$35,N85)),MAX($M$2:M84)+1,0)</f>
        <v>83</v>
      </c>
      <c r="Y85" s="336" t="s">
        <v>1131</v>
      </c>
      <c r="Z85" t="str">
        <f>IFERROR(VLOOKUP(ROWS($Z$3:Z85),$X$3:$Y$992,2,0),"")</f>
        <v>Těžba a úprava neželezných rud</v>
      </c>
    </row>
    <row r="86" spans="1:26" ht="12.75" customHeight="1">
      <c r="A86" s="312"/>
      <c r="B86" s="312"/>
      <c r="C86" s="312"/>
      <c r="D86" s="328">
        <f>IF(ISNUMBER(SEARCH(ZAKL_DATA!$B$14,E86)),MAX($D$2:D85)+1,0)</f>
        <v>84</v>
      </c>
      <c r="E86" s="342" t="s">
        <v>1133</v>
      </c>
      <c r="F86" s="343">
        <v>2507</v>
      </c>
      <c r="G86" s="344"/>
      <c r="H86" s="345" t="str">
        <f>IFERROR(VLOOKUP(ROWS($H$3:H86),$D$3:$E$204,2,0),"")</f>
        <v>LITOMĚŘICE</v>
      </c>
      <c r="I86" s="312"/>
      <c r="J86" s="347" t="s">
        <v>1134</v>
      </c>
      <c r="K86" s="334" t="s">
        <v>1135</v>
      </c>
      <c r="M86" s="335">
        <f>IF(ISNUMBER(SEARCH(ZAKL_DATA!$B$29,N86)),MAX($M$2:M85)+1,0)</f>
        <v>84</v>
      </c>
      <c r="N86" s="336" t="s">
        <v>1136</v>
      </c>
      <c r="O86" s="337" t="s">
        <v>1137</v>
      </c>
      <c r="P86" s="338"/>
      <c r="Q86" s="339" t="str">
        <f>IFERROR(VLOOKUP(ROWS($Q$3:Q86),$M$3:$N$992,2,0),"")</f>
        <v>Reklama a průzkum trhu</v>
      </c>
      <c r="R86">
        <f>IF(ISNUMBER(SEARCH('1Př1'!$A$33,N86)),MAX($M$2:M85)+1,0)</f>
        <v>84</v>
      </c>
      <c r="S86" s="336" t="s">
        <v>1136</v>
      </c>
      <c r="T86" t="str">
        <f>IFERROR(VLOOKUP(ROWS($T$3:T86),$R$3:$S$992,2,0),"")</f>
        <v>Reklama a průzkum trhu</v>
      </c>
      <c r="U86">
        <f>IF(ISNUMBER(SEARCH('1Př1'!$A$34,N86)),MAX($M$2:M85)+1,0)</f>
        <v>84</v>
      </c>
      <c r="V86" s="336" t="s">
        <v>1136</v>
      </c>
      <c r="W86" t="str">
        <f>IFERROR(VLOOKUP(ROWS($W$3:W86),$U$3:$V$992,2,0),"")</f>
        <v>Reklama a průzkum trhu</v>
      </c>
      <c r="X86">
        <f>IF(ISNUMBER(SEARCH('1Př1'!$A$35,N86)),MAX($M$2:M85)+1,0)</f>
        <v>84</v>
      </c>
      <c r="Y86" s="336" t="s">
        <v>1136</v>
      </c>
      <c r="Z86" t="str">
        <f>IFERROR(VLOOKUP(ROWS($Z$3:Z86),$X$3:$Y$992,2,0),"")</f>
        <v>Reklama a průzkum trhu</v>
      </c>
    </row>
    <row r="87" spans="1:26" ht="12.75" customHeight="1">
      <c r="A87" s="312"/>
      <c r="B87" s="312"/>
      <c r="C87" s="312"/>
      <c r="D87" s="328">
        <f>IF(ISNUMBER(SEARCH(ZAKL_DATA!$B$14,E87)),MAX($D$2:D86)+1,0)</f>
        <v>85</v>
      </c>
      <c r="E87" s="342" t="s">
        <v>1138</v>
      </c>
      <c r="F87" s="343">
        <v>2508</v>
      </c>
      <c r="G87" s="344"/>
      <c r="H87" s="345" t="str">
        <f>IFERROR(VLOOKUP(ROWS($H$3:H87),$D$3:$E$204,2,0),"")</f>
        <v>LITVÍNOV</v>
      </c>
      <c r="I87" s="312"/>
      <c r="J87" s="347" t="s">
        <v>1139</v>
      </c>
      <c r="K87" s="334" t="s">
        <v>1140</v>
      </c>
      <c r="M87" s="335">
        <f>IF(ISNUMBER(SEARCH(ZAKL_DATA!$B$29,N87)),MAX($M$2:M86)+1,0)</f>
        <v>85</v>
      </c>
      <c r="N87" s="336" t="s">
        <v>1141</v>
      </c>
      <c r="O87" s="337" t="s">
        <v>1142</v>
      </c>
      <c r="P87" s="338"/>
      <c r="Q87" s="339" t="str">
        <f>IFERROR(VLOOKUP(ROWS($Q$3:Q87),$M$3:$N$992,2,0),"")</f>
        <v>Ostatní profesní, vědecké a technické činnosti</v>
      </c>
      <c r="R87">
        <f>IF(ISNUMBER(SEARCH('1Př1'!$A$33,N87)),MAX($M$2:M86)+1,0)</f>
        <v>85</v>
      </c>
      <c r="S87" s="336" t="s">
        <v>1141</v>
      </c>
      <c r="T87" t="str">
        <f>IFERROR(VLOOKUP(ROWS($T$3:T87),$R$3:$S$992,2,0),"")</f>
        <v>Ostatní profesní, vědecké a technické činnosti</v>
      </c>
      <c r="U87">
        <f>IF(ISNUMBER(SEARCH('1Př1'!$A$34,N87)),MAX($M$2:M86)+1,0)</f>
        <v>85</v>
      </c>
      <c r="V87" s="336" t="s">
        <v>1141</v>
      </c>
      <c r="W87" t="str">
        <f>IFERROR(VLOOKUP(ROWS($W$3:W87),$U$3:$V$992,2,0),"")</f>
        <v>Ostatní profesní, vědecké a technické činnosti</v>
      </c>
      <c r="X87">
        <f>IF(ISNUMBER(SEARCH('1Př1'!$A$35,N87)),MAX($M$2:M86)+1,0)</f>
        <v>85</v>
      </c>
      <c r="Y87" s="336" t="s">
        <v>1141</v>
      </c>
      <c r="Z87" t="str">
        <f>IFERROR(VLOOKUP(ROWS($Z$3:Z87),$X$3:$Y$992,2,0),"")</f>
        <v>Ostatní profesní, vědecké a technické činnosti</v>
      </c>
    </row>
    <row r="88" spans="1:26" ht="12.75" customHeight="1">
      <c r="A88" s="312"/>
      <c r="B88" s="312"/>
      <c r="C88" s="312"/>
      <c r="D88" s="328">
        <f>IF(ISNUMBER(SEARCH(ZAKL_DATA!$B$14,E88)),MAX($D$2:D87)+1,0)</f>
        <v>86</v>
      </c>
      <c r="E88" s="342" t="s">
        <v>1143</v>
      </c>
      <c r="F88" s="343">
        <v>2509</v>
      </c>
      <c r="G88" s="344"/>
      <c r="H88" s="345" t="str">
        <f>IFERROR(VLOOKUP(ROWS($H$3:H88),$D$3:$E$204,2,0),"")</f>
        <v>LOUNY</v>
      </c>
      <c r="I88" s="312"/>
      <c r="J88" s="347" t="s">
        <v>1144</v>
      </c>
      <c r="K88" s="334" t="s">
        <v>1145</v>
      </c>
      <c r="M88" s="335">
        <f>IF(ISNUMBER(SEARCH(ZAKL_DATA!$B$29,N88)),MAX($M$2:M87)+1,0)</f>
        <v>86</v>
      </c>
      <c r="N88" s="336" t="s">
        <v>1146</v>
      </c>
      <c r="O88" s="337" t="s">
        <v>1147</v>
      </c>
      <c r="P88" s="338"/>
      <c r="Q88" s="339" t="str">
        <f>IFERROR(VLOOKUP(ROWS($Q$3:Q88),$M$3:$N$992,2,0),"")</f>
        <v>Veterinární činnosti</v>
      </c>
      <c r="R88">
        <f>IF(ISNUMBER(SEARCH('1Př1'!$A$33,N88)),MAX($M$2:M87)+1,0)</f>
        <v>86</v>
      </c>
      <c r="S88" s="336" t="s">
        <v>1146</v>
      </c>
      <c r="T88" t="str">
        <f>IFERROR(VLOOKUP(ROWS($T$3:T88),$R$3:$S$992,2,0),"")</f>
        <v>Veterinární činnosti</v>
      </c>
      <c r="U88">
        <f>IF(ISNUMBER(SEARCH('1Př1'!$A$34,N88)),MAX($M$2:M87)+1,0)</f>
        <v>86</v>
      </c>
      <c r="V88" s="336" t="s">
        <v>1146</v>
      </c>
      <c r="W88" t="str">
        <f>IFERROR(VLOOKUP(ROWS($W$3:W88),$U$3:$V$992,2,0),"")</f>
        <v>Veterinární činnosti</v>
      </c>
      <c r="X88">
        <f>IF(ISNUMBER(SEARCH('1Př1'!$A$35,N88)),MAX($M$2:M87)+1,0)</f>
        <v>86</v>
      </c>
      <c r="Y88" s="336" t="s">
        <v>1146</v>
      </c>
      <c r="Z88" t="str">
        <f>IFERROR(VLOOKUP(ROWS($Z$3:Z88),$X$3:$Y$992,2,0),"")</f>
        <v>Veterinární činnosti</v>
      </c>
    </row>
    <row r="89" spans="1:26" ht="12.75" customHeight="1">
      <c r="A89" s="312"/>
      <c r="B89" s="312"/>
      <c r="C89" s="312"/>
      <c r="D89" s="328">
        <f>IF(ISNUMBER(SEARCH(ZAKL_DATA!$B$14,E89)),MAX($D$2:D88)+1,0)</f>
        <v>87</v>
      </c>
      <c r="E89" s="342" t="s">
        <v>1148</v>
      </c>
      <c r="F89" s="343">
        <v>2510</v>
      </c>
      <c r="G89" s="344"/>
      <c r="H89" s="345" t="str">
        <f>IFERROR(VLOOKUP(ROWS($H$3:H89),$D$3:$E$204,2,0),"")</f>
        <v>MOST</v>
      </c>
      <c r="I89" s="312"/>
      <c r="J89" s="347" t="s">
        <v>1149</v>
      </c>
      <c r="K89" s="334" t="s">
        <v>1150</v>
      </c>
      <c r="M89" s="335">
        <f>IF(ISNUMBER(SEARCH(ZAKL_DATA!$B$29,N89)),MAX($M$2:M88)+1,0)</f>
        <v>87</v>
      </c>
      <c r="N89" s="336" t="s">
        <v>1151</v>
      </c>
      <c r="O89" s="337" t="s">
        <v>1152</v>
      </c>
      <c r="P89" s="338"/>
      <c r="Q89" s="339" t="str">
        <f>IFERROR(VLOOKUP(ROWS($Q$3:Q89),$M$3:$N$992,2,0),"")</f>
        <v>Činnosti v oblasti pronájmu a operativního leasingu</v>
      </c>
      <c r="R89">
        <f>IF(ISNUMBER(SEARCH('1Př1'!$A$33,N89)),MAX($M$2:M88)+1,0)</f>
        <v>87</v>
      </c>
      <c r="S89" s="336" t="s">
        <v>1151</v>
      </c>
      <c r="T89" t="str">
        <f>IFERROR(VLOOKUP(ROWS($T$3:T89),$R$3:$S$992,2,0),"")</f>
        <v>Činnosti v oblasti pronájmu a operativního leasingu</v>
      </c>
      <c r="U89">
        <f>IF(ISNUMBER(SEARCH('1Př1'!$A$34,N89)),MAX($M$2:M88)+1,0)</f>
        <v>87</v>
      </c>
      <c r="V89" s="336" t="s">
        <v>1151</v>
      </c>
      <c r="W89" t="str">
        <f>IFERROR(VLOOKUP(ROWS($W$3:W89),$U$3:$V$992,2,0),"")</f>
        <v>Činnosti v oblasti pronájmu a operativního leasingu</v>
      </c>
      <c r="X89">
        <f>IF(ISNUMBER(SEARCH('1Př1'!$A$35,N89)),MAX($M$2:M88)+1,0)</f>
        <v>87</v>
      </c>
      <c r="Y89" s="336" t="s">
        <v>1151</v>
      </c>
      <c r="Z89" t="str">
        <f>IFERROR(VLOOKUP(ROWS($Z$3:Z89),$X$3:$Y$992,2,0),"")</f>
        <v>Činnosti v oblasti pronájmu a operativního leasingu</v>
      </c>
    </row>
    <row r="90" spans="1:26" ht="12.75" customHeight="1">
      <c r="A90" s="312"/>
      <c r="B90" s="312"/>
      <c r="C90" s="312"/>
      <c r="D90" s="328">
        <f>IF(ISNUMBER(SEARCH(ZAKL_DATA!$B$14,E90)),MAX($D$2:D89)+1,0)</f>
        <v>88</v>
      </c>
      <c r="E90" s="342" t="s">
        <v>1153</v>
      </c>
      <c r="F90" s="343">
        <v>2511</v>
      </c>
      <c r="G90" s="344"/>
      <c r="H90" s="345" t="str">
        <f>IFERROR(VLOOKUP(ROWS($H$3:H90),$D$3:$E$204,2,0),"")</f>
        <v>PODBOŘANY</v>
      </c>
      <c r="I90" s="312"/>
      <c r="J90" s="347" t="s">
        <v>1154</v>
      </c>
      <c r="K90" s="334" t="s">
        <v>1155</v>
      </c>
      <c r="M90" s="335">
        <f>IF(ISNUMBER(SEARCH(ZAKL_DATA!$B$29,N90)),MAX($M$2:M89)+1,0)</f>
        <v>88</v>
      </c>
      <c r="N90" s="336" t="s">
        <v>1156</v>
      </c>
      <c r="O90" s="337" t="s">
        <v>1157</v>
      </c>
      <c r="P90" s="338"/>
      <c r="Q90" s="339" t="str">
        <f>IFERROR(VLOOKUP(ROWS($Q$3:Q90),$M$3:$N$992,2,0),"")</f>
        <v>Činnosti související se zaměstnáním</v>
      </c>
      <c r="R90">
        <f>IF(ISNUMBER(SEARCH('1Př1'!$A$33,N90)),MAX($M$2:M89)+1,0)</f>
        <v>88</v>
      </c>
      <c r="S90" s="336" t="s">
        <v>1156</v>
      </c>
      <c r="T90" t="str">
        <f>IFERROR(VLOOKUP(ROWS($T$3:T90),$R$3:$S$992,2,0),"")</f>
        <v>Činnosti související se zaměstnáním</v>
      </c>
      <c r="U90">
        <f>IF(ISNUMBER(SEARCH('1Př1'!$A$34,N90)),MAX($M$2:M89)+1,0)</f>
        <v>88</v>
      </c>
      <c r="V90" s="336" t="s">
        <v>1156</v>
      </c>
      <c r="W90" t="str">
        <f>IFERROR(VLOOKUP(ROWS($W$3:W90),$U$3:$V$992,2,0),"")</f>
        <v>Činnosti související se zaměstnáním</v>
      </c>
      <c r="X90">
        <f>IF(ISNUMBER(SEARCH('1Př1'!$A$35,N90)),MAX($M$2:M89)+1,0)</f>
        <v>88</v>
      </c>
      <c r="Y90" s="336" t="s">
        <v>1156</v>
      </c>
      <c r="Z90" t="str">
        <f>IFERROR(VLOOKUP(ROWS($Z$3:Z90),$X$3:$Y$992,2,0),"")</f>
        <v>Činnosti související se zaměstnáním</v>
      </c>
    </row>
    <row r="91" spans="1:26" ht="12.75" customHeight="1">
      <c r="A91" s="312"/>
      <c r="B91" s="312"/>
      <c r="C91" s="312"/>
      <c r="D91" s="328">
        <f>IF(ISNUMBER(SEARCH(ZAKL_DATA!$B$14,E91)),MAX($D$2:D90)+1,0)</f>
        <v>89</v>
      </c>
      <c r="E91" s="342" t="s">
        <v>1158</v>
      </c>
      <c r="F91" s="343">
        <v>2512</v>
      </c>
      <c r="G91" s="344"/>
      <c r="H91" s="345" t="str">
        <f>IFERROR(VLOOKUP(ROWS($H$3:H91),$D$3:$E$204,2,0),"")</f>
        <v>ROUDNICE NAD LABEM</v>
      </c>
      <c r="I91" s="312"/>
      <c r="J91" s="347" t="s">
        <v>1159</v>
      </c>
      <c r="K91" s="334" t="s">
        <v>1160</v>
      </c>
      <c r="M91" s="335">
        <f>IF(ISNUMBER(SEARCH(ZAKL_DATA!$B$29,N91)),MAX($M$2:M90)+1,0)</f>
        <v>89</v>
      </c>
      <c r="N91" s="336" t="s">
        <v>1161</v>
      </c>
      <c r="O91" s="337" t="s">
        <v>1162</v>
      </c>
      <c r="P91" s="338"/>
      <c r="Q91" s="339" t="str">
        <f>IFERROR(VLOOKUP(ROWS($Q$3:Q91),$M$3:$N$992,2,0),"")</f>
        <v>Činnosti cest.agentur,kanceláří a jiné rezervační a související činnosti</v>
      </c>
      <c r="R91">
        <f>IF(ISNUMBER(SEARCH('1Př1'!$A$33,N91)),MAX($M$2:M90)+1,0)</f>
        <v>89</v>
      </c>
      <c r="S91" s="336" t="s">
        <v>1161</v>
      </c>
      <c r="T91" t="str">
        <f>IFERROR(VLOOKUP(ROWS($T$3:T91),$R$3:$S$992,2,0),"")</f>
        <v>Činnosti cest.agentur,kanceláří a jiné rezervační a související činnosti</v>
      </c>
      <c r="U91">
        <f>IF(ISNUMBER(SEARCH('1Př1'!$A$34,N91)),MAX($M$2:M90)+1,0)</f>
        <v>89</v>
      </c>
      <c r="V91" s="336" t="s">
        <v>1161</v>
      </c>
      <c r="W91" t="str">
        <f>IFERROR(VLOOKUP(ROWS($W$3:W91),$U$3:$V$992,2,0),"")</f>
        <v>Činnosti cest.agentur,kanceláří a jiné rezervační a související činnosti</v>
      </c>
      <c r="X91">
        <f>IF(ISNUMBER(SEARCH('1Př1'!$A$35,N91)),MAX($M$2:M90)+1,0)</f>
        <v>89</v>
      </c>
      <c r="Y91" s="336" t="s">
        <v>1161</v>
      </c>
      <c r="Z91" t="str">
        <f>IFERROR(VLOOKUP(ROWS($Z$3:Z91),$X$3:$Y$992,2,0),"")</f>
        <v>Činnosti cest.agentur,kanceláří a jiné rezervační a související činnosti</v>
      </c>
    </row>
    <row r="92" spans="1:26" ht="12.75" customHeight="1">
      <c r="A92" s="312"/>
      <c r="B92" s="312"/>
      <c r="C92" s="312"/>
      <c r="D92" s="328">
        <f>IF(ISNUMBER(SEARCH(ZAKL_DATA!$B$14,E92)),MAX($D$2:D91)+1,0)</f>
        <v>90</v>
      </c>
      <c r="E92" s="342" t="s">
        <v>1163</v>
      </c>
      <c r="F92" s="343">
        <v>2513</v>
      </c>
      <c r="G92" s="344"/>
      <c r="H92" s="345" t="str">
        <f>IFERROR(VLOOKUP(ROWS($H$3:H92),$D$3:$E$204,2,0),"")</f>
        <v>RUMBURK</v>
      </c>
      <c r="I92" s="312"/>
      <c r="J92" s="347" t="s">
        <v>1164</v>
      </c>
      <c r="K92" s="334" t="s">
        <v>1165</v>
      </c>
      <c r="M92" s="335">
        <f>IF(ISNUMBER(SEARCH(ZAKL_DATA!$B$29,N92)),MAX($M$2:M91)+1,0)</f>
        <v>90</v>
      </c>
      <c r="N92" s="336" t="s">
        <v>1166</v>
      </c>
      <c r="O92" s="337" t="s">
        <v>1167</v>
      </c>
      <c r="P92" s="338"/>
      <c r="Q92" s="339" t="str">
        <f>IFERROR(VLOOKUP(ROWS($Q$3:Q92),$M$3:$N$992,2,0),"")</f>
        <v>Bezpečnostní a pátrací činnosti</v>
      </c>
      <c r="R92">
        <f>IF(ISNUMBER(SEARCH('1Př1'!$A$33,N92)),MAX($M$2:M91)+1,0)</f>
        <v>90</v>
      </c>
      <c r="S92" s="336" t="s">
        <v>1166</v>
      </c>
      <c r="T92" t="str">
        <f>IFERROR(VLOOKUP(ROWS($T$3:T92),$R$3:$S$992,2,0),"")</f>
        <v>Bezpečnostní a pátrací činnosti</v>
      </c>
      <c r="U92">
        <f>IF(ISNUMBER(SEARCH('1Př1'!$A$34,N92)),MAX($M$2:M91)+1,0)</f>
        <v>90</v>
      </c>
      <c r="V92" s="336" t="s">
        <v>1166</v>
      </c>
      <c r="W92" t="str">
        <f>IFERROR(VLOOKUP(ROWS($W$3:W92),$U$3:$V$992,2,0),"")</f>
        <v>Bezpečnostní a pátrací činnosti</v>
      </c>
      <c r="X92">
        <f>IF(ISNUMBER(SEARCH('1Př1'!$A$35,N92)),MAX($M$2:M91)+1,0)</f>
        <v>90</v>
      </c>
      <c r="Y92" s="336" t="s">
        <v>1166</v>
      </c>
      <c r="Z92" t="str">
        <f>IFERROR(VLOOKUP(ROWS($Z$3:Z92),$X$3:$Y$992,2,0),"")</f>
        <v>Bezpečnostní a pátrací činnosti</v>
      </c>
    </row>
    <row r="93" spans="1:26" ht="12.75" customHeight="1">
      <c r="A93" s="312"/>
      <c r="B93" s="312"/>
      <c r="C93" s="312"/>
      <c r="D93" s="328">
        <f>IF(ISNUMBER(SEARCH(ZAKL_DATA!$B$14,E93)),MAX($D$2:D92)+1,0)</f>
        <v>91</v>
      </c>
      <c r="E93" s="342" t="s">
        <v>1168</v>
      </c>
      <c r="F93" s="343">
        <v>2514</v>
      </c>
      <c r="G93" s="344"/>
      <c r="H93" s="345" t="str">
        <f>IFERROR(VLOOKUP(ROWS($H$3:H93),$D$3:$E$204,2,0),"")</f>
        <v>TEPLICE</v>
      </c>
      <c r="I93" s="312"/>
      <c r="J93" s="347" t="s">
        <v>1169</v>
      </c>
      <c r="K93" s="334" t="s">
        <v>1170</v>
      </c>
      <c r="M93" s="335">
        <f>IF(ISNUMBER(SEARCH(ZAKL_DATA!$B$29,N93)),MAX($M$2:M92)+1,0)</f>
        <v>91</v>
      </c>
      <c r="N93" s="336" t="s">
        <v>1171</v>
      </c>
      <c r="O93" s="337" t="s">
        <v>1172</v>
      </c>
      <c r="P93" s="338"/>
      <c r="Q93" s="339" t="str">
        <f>IFERROR(VLOOKUP(ROWS($Q$3:Q93),$M$3:$N$992,2,0),"")</f>
        <v>Činnosti související se stavbami a úpravou krajiny</v>
      </c>
      <c r="R93">
        <f>IF(ISNUMBER(SEARCH('1Př1'!$A$33,N93)),MAX($M$2:M92)+1,0)</f>
        <v>91</v>
      </c>
      <c r="S93" s="336" t="s">
        <v>1171</v>
      </c>
      <c r="T93" t="str">
        <f>IFERROR(VLOOKUP(ROWS($T$3:T93),$R$3:$S$992,2,0),"")</f>
        <v>Činnosti související se stavbami a úpravou krajiny</v>
      </c>
      <c r="U93">
        <f>IF(ISNUMBER(SEARCH('1Př1'!$A$34,N93)),MAX($M$2:M92)+1,0)</f>
        <v>91</v>
      </c>
      <c r="V93" s="336" t="s">
        <v>1171</v>
      </c>
      <c r="W93" t="str">
        <f>IFERROR(VLOOKUP(ROWS($W$3:W93),$U$3:$V$992,2,0),"")</f>
        <v>Činnosti související se stavbami a úpravou krajiny</v>
      </c>
      <c r="X93">
        <f>IF(ISNUMBER(SEARCH('1Př1'!$A$35,N93)),MAX($M$2:M92)+1,0)</f>
        <v>91</v>
      </c>
      <c r="Y93" s="336" t="s">
        <v>1171</v>
      </c>
      <c r="Z93" t="str">
        <f>IFERROR(VLOOKUP(ROWS($Z$3:Z93),$X$3:$Y$992,2,0),"")</f>
        <v>Činnosti související se stavbami a úpravou krajiny</v>
      </c>
    </row>
    <row r="94" spans="1:26" ht="12.75" customHeight="1">
      <c r="A94" s="312"/>
      <c r="B94" s="312"/>
      <c r="C94" s="312"/>
      <c r="D94" s="328">
        <f>IF(ISNUMBER(SEARCH(ZAKL_DATA!$B$14,E94)),MAX($D$2:D93)+1,0)</f>
        <v>92</v>
      </c>
      <c r="E94" s="342" t="s">
        <v>1173</v>
      </c>
      <c r="F94" s="343">
        <v>2515</v>
      </c>
      <c r="G94" s="344"/>
      <c r="H94" s="345" t="str">
        <f>IFERROR(VLOOKUP(ROWS($H$3:H94),$D$3:$E$204,2,0),"")</f>
        <v>ŽATEC</v>
      </c>
      <c r="I94" s="312"/>
      <c r="J94" s="347" t="s">
        <v>1174</v>
      </c>
      <c r="K94" s="334" t="s">
        <v>1175</v>
      </c>
      <c r="M94" s="335">
        <f>IF(ISNUMBER(SEARCH(ZAKL_DATA!$B$29,N94)),MAX($M$2:M93)+1,0)</f>
        <v>92</v>
      </c>
      <c r="N94" s="336" t="s">
        <v>1176</v>
      </c>
      <c r="O94" s="337" t="s">
        <v>1177</v>
      </c>
      <c r="P94" s="338"/>
      <c r="Q94" s="339" t="str">
        <f>IFERROR(VLOOKUP(ROWS($Q$3:Q94),$M$3:$N$992,2,0),"")</f>
        <v>Dobývání kamene, písků a jílů</v>
      </c>
      <c r="R94">
        <f>IF(ISNUMBER(SEARCH('1Př1'!$A$33,N94)),MAX($M$2:M93)+1,0)</f>
        <v>92</v>
      </c>
      <c r="S94" s="336" t="s">
        <v>1176</v>
      </c>
      <c r="T94" t="str">
        <f>IFERROR(VLOOKUP(ROWS($T$3:T94),$R$3:$S$992,2,0),"")</f>
        <v>Dobývání kamene, písků a jílů</v>
      </c>
      <c r="U94">
        <f>IF(ISNUMBER(SEARCH('1Př1'!$A$34,N94)),MAX($M$2:M93)+1,0)</f>
        <v>92</v>
      </c>
      <c r="V94" s="336" t="s">
        <v>1176</v>
      </c>
      <c r="W94" t="str">
        <f>IFERROR(VLOOKUP(ROWS($W$3:W94),$U$3:$V$992,2,0),"")</f>
        <v>Dobývání kamene, písků a jílů</v>
      </c>
      <c r="X94">
        <f>IF(ISNUMBER(SEARCH('1Př1'!$A$35,N94)),MAX($M$2:M93)+1,0)</f>
        <v>92</v>
      </c>
      <c r="Y94" s="336" t="s">
        <v>1176</v>
      </c>
      <c r="Z94" t="str">
        <f>IFERROR(VLOOKUP(ROWS($Z$3:Z94),$X$3:$Y$992,2,0),"")</f>
        <v>Dobývání kamene, písků a jílů</v>
      </c>
    </row>
    <row r="95" spans="1:26" ht="12.75" customHeight="1">
      <c r="A95" s="312"/>
      <c r="B95" s="312"/>
      <c r="C95" s="312"/>
      <c r="D95" s="328">
        <f>IF(ISNUMBER(SEARCH(ZAKL_DATA!$B$14,E95)),MAX($D$2:D94)+1,0)</f>
        <v>93</v>
      </c>
      <c r="E95" s="342" t="s">
        <v>1178</v>
      </c>
      <c r="F95" s="343">
        <v>2601</v>
      </c>
      <c r="G95" s="344"/>
      <c r="H95" s="345" t="str">
        <f>IFERROR(VLOOKUP(ROWS($H$3:H95),$D$3:$E$204,2,0),"")</f>
        <v>LIBEREC</v>
      </c>
      <c r="I95" s="312"/>
      <c r="J95" s="347" t="s">
        <v>1179</v>
      </c>
      <c r="K95" s="334" t="s">
        <v>1180</v>
      </c>
      <c r="M95" s="335">
        <f>IF(ISNUMBER(SEARCH(ZAKL_DATA!$B$29,N95)),MAX($M$2:M94)+1,0)</f>
        <v>93</v>
      </c>
      <c r="N95" s="336" t="s">
        <v>1181</v>
      </c>
      <c r="O95" s="337" t="s">
        <v>1182</v>
      </c>
      <c r="P95" s="338"/>
      <c r="Q95" s="339" t="str">
        <f>IFERROR(VLOOKUP(ROWS($Q$3:Q95),$M$3:$N$992,2,0),"")</f>
        <v>Administrativní, kancelářské a jiné podpůrné činnosti pro podnikání</v>
      </c>
      <c r="R95">
        <f>IF(ISNUMBER(SEARCH('1Př1'!$A$33,N95)),MAX($M$2:M94)+1,0)</f>
        <v>93</v>
      </c>
      <c r="S95" s="336" t="s">
        <v>1181</v>
      </c>
      <c r="T95" t="str">
        <f>IFERROR(VLOOKUP(ROWS($T$3:T95),$R$3:$S$992,2,0),"")</f>
        <v>Administrativní, kancelářské a jiné podpůrné činnosti pro podnikání</v>
      </c>
      <c r="U95">
        <f>IF(ISNUMBER(SEARCH('1Př1'!$A$34,N95)),MAX($M$2:M94)+1,0)</f>
        <v>93</v>
      </c>
      <c r="V95" s="336" t="s">
        <v>1181</v>
      </c>
      <c r="W95" t="str">
        <f>IFERROR(VLOOKUP(ROWS($W$3:W95),$U$3:$V$992,2,0),"")</f>
        <v>Administrativní, kancelářské a jiné podpůrné činnosti pro podnikání</v>
      </c>
      <c r="X95">
        <f>IF(ISNUMBER(SEARCH('1Př1'!$A$35,N95)),MAX($M$2:M94)+1,0)</f>
        <v>93</v>
      </c>
      <c r="Y95" s="336" t="s">
        <v>1181</v>
      </c>
      <c r="Z95" t="str">
        <f>IFERROR(VLOOKUP(ROWS($Z$3:Z95),$X$3:$Y$992,2,0),"")</f>
        <v>Administrativní, kancelářské a jiné podpůrné činnosti pro podnikání</v>
      </c>
    </row>
    <row r="96" spans="1:26" ht="12.75" customHeight="1">
      <c r="A96" s="312"/>
      <c r="B96" s="312"/>
      <c r="C96" s="312"/>
      <c r="D96" s="328">
        <f>IF(ISNUMBER(SEARCH(ZAKL_DATA!$B$14,E96)),MAX($D$2:D95)+1,0)</f>
        <v>94</v>
      </c>
      <c r="E96" s="342" t="s">
        <v>1183</v>
      </c>
      <c r="F96" s="343">
        <v>2602</v>
      </c>
      <c r="G96" s="344"/>
      <c r="H96" s="345" t="str">
        <f>IFERROR(VLOOKUP(ROWS($H$3:H96),$D$3:$E$204,2,0),"")</f>
        <v>ČESKÁ LÍPA</v>
      </c>
      <c r="I96" s="312"/>
      <c r="J96" s="347" t="s">
        <v>1184</v>
      </c>
      <c r="K96" s="334" t="s">
        <v>1185</v>
      </c>
      <c r="M96" s="335">
        <f>IF(ISNUMBER(SEARCH(ZAKL_DATA!$B$29,N96)),MAX($M$2:M95)+1,0)</f>
        <v>94</v>
      </c>
      <c r="N96" s="336" t="s">
        <v>1186</v>
      </c>
      <c r="O96" s="337" t="s">
        <v>1187</v>
      </c>
      <c r="P96" s="338"/>
      <c r="Q96" s="339" t="str">
        <f>IFERROR(VLOOKUP(ROWS($Q$3:Q96),$M$3:$N$992,2,0),"")</f>
        <v>Veřejná správa a obrana; povinné sociální zabezpečení</v>
      </c>
      <c r="R96">
        <f>IF(ISNUMBER(SEARCH('1Př1'!$A$33,N96)),MAX($M$2:M95)+1,0)</f>
        <v>94</v>
      </c>
      <c r="S96" s="336" t="s">
        <v>1186</v>
      </c>
      <c r="T96" t="str">
        <f>IFERROR(VLOOKUP(ROWS($T$3:T96),$R$3:$S$992,2,0),"")</f>
        <v>Veřejná správa a obrana; povinné sociální zabezpečení</v>
      </c>
      <c r="U96">
        <f>IF(ISNUMBER(SEARCH('1Př1'!$A$34,N96)),MAX($M$2:M95)+1,0)</f>
        <v>94</v>
      </c>
      <c r="V96" s="336" t="s">
        <v>1186</v>
      </c>
      <c r="W96" t="str">
        <f>IFERROR(VLOOKUP(ROWS($W$3:W96),$U$3:$V$992,2,0),"")</f>
        <v>Veřejná správa a obrana; povinné sociální zabezpečení</v>
      </c>
      <c r="X96">
        <f>IF(ISNUMBER(SEARCH('1Př1'!$A$35,N96)),MAX($M$2:M95)+1,0)</f>
        <v>94</v>
      </c>
      <c r="Y96" s="336" t="s">
        <v>1186</v>
      </c>
      <c r="Z96" t="str">
        <f>IFERROR(VLOOKUP(ROWS($Z$3:Z96),$X$3:$Y$992,2,0),"")</f>
        <v>Veřejná správa a obrana; povinné sociální zabezpečení</v>
      </c>
    </row>
    <row r="97" spans="1:26" ht="12.75" customHeight="1">
      <c r="A97" s="312"/>
      <c r="B97" s="312"/>
      <c r="C97" s="312"/>
      <c r="D97" s="328">
        <f>IF(ISNUMBER(SEARCH(ZAKL_DATA!$B$14,E97)),MAX($D$2:D96)+1,0)</f>
        <v>95</v>
      </c>
      <c r="E97" s="342" t="s">
        <v>1188</v>
      </c>
      <c r="F97" s="343">
        <v>2603</v>
      </c>
      <c r="G97" s="344"/>
      <c r="H97" s="345" t="str">
        <f>IFERROR(VLOOKUP(ROWS($H$3:H97),$D$3:$E$204,2,0),"")</f>
        <v>FRÝDLANT</v>
      </c>
      <c r="I97" s="312"/>
      <c r="J97" s="347" t="s">
        <v>1189</v>
      </c>
      <c r="K97" s="334" t="s">
        <v>1190</v>
      </c>
      <c r="M97" s="335">
        <f>IF(ISNUMBER(SEARCH(ZAKL_DATA!$B$29,N97)),MAX($M$2:M96)+1,0)</f>
        <v>95</v>
      </c>
      <c r="N97" s="336" t="s">
        <v>1191</v>
      </c>
      <c r="O97" s="337" t="s">
        <v>1192</v>
      </c>
      <c r="P97" s="338"/>
      <c r="Q97" s="339" t="str">
        <f>IFERROR(VLOOKUP(ROWS($Q$3:Q97),$M$3:$N$992,2,0),"")</f>
        <v>Vzdělávání</v>
      </c>
      <c r="R97">
        <f>IF(ISNUMBER(SEARCH('1Př1'!$A$33,N97)),MAX($M$2:M96)+1,0)</f>
        <v>95</v>
      </c>
      <c r="S97" s="336" t="s">
        <v>1191</v>
      </c>
      <c r="T97" t="str">
        <f>IFERROR(VLOOKUP(ROWS($T$3:T97),$R$3:$S$992,2,0),"")</f>
        <v>Vzdělávání</v>
      </c>
      <c r="U97">
        <f>IF(ISNUMBER(SEARCH('1Př1'!$A$34,N97)),MAX($M$2:M96)+1,0)</f>
        <v>95</v>
      </c>
      <c r="V97" s="336" t="s">
        <v>1191</v>
      </c>
      <c r="W97" t="str">
        <f>IFERROR(VLOOKUP(ROWS($W$3:W97),$U$3:$V$992,2,0),"")</f>
        <v>Vzdělávání</v>
      </c>
      <c r="X97">
        <f>IF(ISNUMBER(SEARCH('1Př1'!$A$35,N97)),MAX($M$2:M96)+1,0)</f>
        <v>95</v>
      </c>
      <c r="Y97" s="336" t="s">
        <v>1191</v>
      </c>
      <c r="Z97" t="str">
        <f>IFERROR(VLOOKUP(ROWS($Z$3:Z97),$X$3:$Y$992,2,0),"")</f>
        <v>Vzdělávání</v>
      </c>
    </row>
    <row r="98" spans="1:26" ht="12.75" customHeight="1">
      <c r="A98" s="312"/>
      <c r="B98" s="312"/>
      <c r="C98" s="312"/>
      <c r="D98" s="328">
        <f>IF(ISNUMBER(SEARCH(ZAKL_DATA!$B$14,E98)),MAX($D$2:D97)+1,0)</f>
        <v>96</v>
      </c>
      <c r="E98" s="342" t="s">
        <v>1193</v>
      </c>
      <c r="F98" s="343">
        <v>2604</v>
      </c>
      <c r="G98" s="344"/>
      <c r="H98" s="345" t="str">
        <f>IFERROR(VLOOKUP(ROWS($H$3:H98),$D$3:$E$204,2,0),"")</f>
        <v>JABLONEC NAD NISOU</v>
      </c>
      <c r="I98" s="312"/>
      <c r="J98" s="347" t="s">
        <v>1194</v>
      </c>
      <c r="K98" s="334" t="s">
        <v>1195</v>
      </c>
      <c r="M98" s="335">
        <f>IF(ISNUMBER(SEARCH(ZAKL_DATA!$B$29,N98)),MAX($M$2:M97)+1,0)</f>
        <v>96</v>
      </c>
      <c r="N98" s="336" t="s">
        <v>1196</v>
      </c>
      <c r="O98" s="337" t="s">
        <v>1197</v>
      </c>
      <c r="P98" s="338"/>
      <c r="Q98" s="339" t="str">
        <f>IFERROR(VLOOKUP(ROWS($Q$3:Q98),$M$3:$N$992,2,0),"")</f>
        <v>Zdravotní péče</v>
      </c>
      <c r="R98">
        <f>IF(ISNUMBER(SEARCH('1Př1'!$A$33,N98)),MAX($M$2:M97)+1,0)</f>
        <v>96</v>
      </c>
      <c r="S98" s="336" t="s">
        <v>1196</v>
      </c>
      <c r="T98" t="str">
        <f>IFERROR(VLOOKUP(ROWS($T$3:T98),$R$3:$S$992,2,0),"")</f>
        <v>Zdravotní péče</v>
      </c>
      <c r="U98">
        <f>IF(ISNUMBER(SEARCH('1Př1'!$A$34,N98)),MAX($M$2:M97)+1,0)</f>
        <v>96</v>
      </c>
      <c r="V98" s="336" t="s">
        <v>1196</v>
      </c>
      <c r="W98" t="str">
        <f>IFERROR(VLOOKUP(ROWS($W$3:W98),$U$3:$V$992,2,0),"")</f>
        <v>Zdravotní péče</v>
      </c>
      <c r="X98">
        <f>IF(ISNUMBER(SEARCH('1Př1'!$A$35,N98)),MAX($M$2:M97)+1,0)</f>
        <v>96</v>
      </c>
      <c r="Y98" s="336" t="s">
        <v>1196</v>
      </c>
      <c r="Z98" t="str">
        <f>IFERROR(VLOOKUP(ROWS($Z$3:Z98),$X$3:$Y$992,2,0),"")</f>
        <v>Zdravotní péče</v>
      </c>
    </row>
    <row r="99" spans="1:26" ht="12.75" customHeight="1">
      <c r="A99" s="312"/>
      <c r="B99" s="312"/>
      <c r="C99" s="312"/>
      <c r="D99" s="328">
        <f>IF(ISNUMBER(SEARCH(ZAKL_DATA!$B$14,E99)),MAX($D$2:D98)+1,0)</f>
        <v>97</v>
      </c>
      <c r="E99" s="342" t="s">
        <v>1198</v>
      </c>
      <c r="F99" s="343">
        <v>2605</v>
      </c>
      <c r="G99" s="344"/>
      <c r="H99" s="345" t="str">
        <f>IFERROR(VLOOKUP(ROWS($H$3:H99),$D$3:$E$204,2,0),"")</f>
        <v>JILEMNICE</v>
      </c>
      <c r="I99" s="312"/>
      <c r="J99" s="347" t="s">
        <v>1199</v>
      </c>
      <c r="K99" s="334" t="s">
        <v>1200</v>
      </c>
      <c r="M99" s="335">
        <f>IF(ISNUMBER(SEARCH(ZAKL_DATA!$B$29,N99)),MAX($M$2:M98)+1,0)</f>
        <v>97</v>
      </c>
      <c r="N99" s="336" t="s">
        <v>1201</v>
      </c>
      <c r="O99" s="337" t="s">
        <v>1202</v>
      </c>
      <c r="P99" s="338"/>
      <c r="Q99" s="339" t="str">
        <f>IFERROR(VLOOKUP(ROWS($Q$3:Q99),$M$3:$N$992,2,0),"")</f>
        <v>Pobytové služby sociální péče</v>
      </c>
      <c r="R99">
        <f>IF(ISNUMBER(SEARCH('1Př1'!$A$33,N99)),MAX($M$2:M98)+1,0)</f>
        <v>97</v>
      </c>
      <c r="S99" s="336" t="s">
        <v>1201</v>
      </c>
      <c r="T99" t="str">
        <f>IFERROR(VLOOKUP(ROWS($T$3:T99),$R$3:$S$992,2,0),"")</f>
        <v>Pobytové služby sociální péče</v>
      </c>
      <c r="U99">
        <f>IF(ISNUMBER(SEARCH('1Př1'!$A$34,N99)),MAX($M$2:M98)+1,0)</f>
        <v>97</v>
      </c>
      <c r="V99" s="336" t="s">
        <v>1201</v>
      </c>
      <c r="W99" t="str">
        <f>IFERROR(VLOOKUP(ROWS($W$3:W99),$U$3:$V$992,2,0),"")</f>
        <v>Pobytové služby sociální péče</v>
      </c>
      <c r="X99">
        <f>IF(ISNUMBER(SEARCH('1Př1'!$A$35,N99)),MAX($M$2:M98)+1,0)</f>
        <v>97</v>
      </c>
      <c r="Y99" s="336" t="s">
        <v>1201</v>
      </c>
      <c r="Z99" t="str">
        <f>IFERROR(VLOOKUP(ROWS($Z$3:Z99),$X$3:$Y$992,2,0),"")</f>
        <v>Pobytové služby sociální péče</v>
      </c>
    </row>
    <row r="100" spans="1:26" ht="12.75" customHeight="1">
      <c r="A100" s="312"/>
      <c r="B100" s="312"/>
      <c r="C100" s="312"/>
      <c r="D100" s="328">
        <f>IF(ISNUMBER(SEARCH(ZAKL_DATA!$B$14,E100)),MAX($D$2:D99)+1,0)</f>
        <v>98</v>
      </c>
      <c r="E100" s="342" t="s">
        <v>1203</v>
      </c>
      <c r="F100" s="343">
        <v>2606</v>
      </c>
      <c r="G100" s="344"/>
      <c r="H100" s="345" t="str">
        <f>IFERROR(VLOOKUP(ROWS($H$3:H100),$D$3:$E$204,2,0),"")</f>
        <v>NOVÝ BOR</v>
      </c>
      <c r="I100" s="312"/>
      <c r="J100" s="347" t="s">
        <v>1204</v>
      </c>
      <c r="K100" s="334" t="s">
        <v>1205</v>
      </c>
      <c r="M100" s="335">
        <f>IF(ISNUMBER(SEARCH(ZAKL_DATA!$B$29,N100)),MAX($M$2:M99)+1,0)</f>
        <v>98</v>
      </c>
      <c r="N100" s="336" t="s">
        <v>1206</v>
      </c>
      <c r="O100" s="337" t="s">
        <v>1207</v>
      </c>
      <c r="P100" s="338"/>
      <c r="Q100" s="339" t="str">
        <f>IFERROR(VLOOKUP(ROWS($Q$3:Q100),$M$3:$N$992,2,0),"")</f>
        <v>Ambulantní nebo terénní sociální služby</v>
      </c>
      <c r="R100">
        <f>IF(ISNUMBER(SEARCH('1Př1'!$A$33,N100)),MAX($M$2:M99)+1,0)</f>
        <v>98</v>
      </c>
      <c r="S100" s="336" t="s">
        <v>1206</v>
      </c>
      <c r="T100" t="str">
        <f>IFERROR(VLOOKUP(ROWS($T$3:T100),$R$3:$S$992,2,0),"")</f>
        <v>Ambulantní nebo terénní sociální služby</v>
      </c>
      <c r="U100">
        <f>IF(ISNUMBER(SEARCH('1Př1'!$A$34,N100)),MAX($M$2:M99)+1,0)</f>
        <v>98</v>
      </c>
      <c r="V100" s="336" t="s">
        <v>1206</v>
      </c>
      <c r="W100" t="str">
        <f>IFERROR(VLOOKUP(ROWS($W$3:W100),$U$3:$V$992,2,0),"")</f>
        <v>Ambulantní nebo terénní sociální služby</v>
      </c>
      <c r="X100">
        <f>IF(ISNUMBER(SEARCH('1Př1'!$A$35,N100)),MAX($M$2:M99)+1,0)</f>
        <v>98</v>
      </c>
      <c r="Y100" s="336" t="s">
        <v>1206</v>
      </c>
      <c r="Z100" t="str">
        <f>IFERROR(VLOOKUP(ROWS($Z$3:Z100),$X$3:$Y$992,2,0),"")</f>
        <v>Ambulantní nebo terénní sociální služby</v>
      </c>
    </row>
    <row r="101" spans="1:26" ht="12.75" customHeight="1">
      <c r="A101" s="312"/>
      <c r="B101" s="312"/>
      <c r="C101" s="312"/>
      <c r="D101" s="328">
        <f>IF(ISNUMBER(SEARCH(ZAKL_DATA!$B$14,E101)),MAX($D$2:D100)+1,0)</f>
        <v>99</v>
      </c>
      <c r="E101" s="342" t="s">
        <v>1208</v>
      </c>
      <c r="F101" s="343">
        <v>2607</v>
      </c>
      <c r="G101" s="344"/>
      <c r="H101" s="345" t="str">
        <f>IFERROR(VLOOKUP(ROWS($H$3:H101),$D$3:$E$204,2,0),"")</f>
        <v>SEMILY</v>
      </c>
      <c r="I101" s="312"/>
      <c r="J101" s="347" t="s">
        <v>1209</v>
      </c>
      <c r="K101" s="334" t="s">
        <v>1210</v>
      </c>
      <c r="M101" s="335">
        <f>IF(ISNUMBER(SEARCH(ZAKL_DATA!$B$29,N101)),MAX($M$2:M100)+1,0)</f>
        <v>99</v>
      </c>
      <c r="N101" s="336" t="s">
        <v>1211</v>
      </c>
      <c r="O101" s="337" t="s">
        <v>1212</v>
      </c>
      <c r="P101" s="338"/>
      <c r="Q101" s="339" t="str">
        <f>IFERROR(VLOOKUP(ROWS($Q$3:Q101),$M$3:$N$992,2,0),"")</f>
        <v>Těžba a dobývání j. n.</v>
      </c>
      <c r="R101">
        <f>IF(ISNUMBER(SEARCH('1Př1'!$A$33,N101)),MAX($M$2:M100)+1,0)</f>
        <v>99</v>
      </c>
      <c r="S101" s="336" t="s">
        <v>1211</v>
      </c>
      <c r="T101" t="str">
        <f>IFERROR(VLOOKUP(ROWS($T$3:T101),$R$3:$S$992,2,0),"")</f>
        <v>Těžba a dobývání j. n.</v>
      </c>
      <c r="U101">
        <f>IF(ISNUMBER(SEARCH('1Př1'!$A$34,N101)),MAX($M$2:M100)+1,0)</f>
        <v>99</v>
      </c>
      <c r="V101" s="336" t="s">
        <v>1211</v>
      </c>
      <c r="W101" t="str">
        <f>IFERROR(VLOOKUP(ROWS($W$3:W101),$U$3:$V$992,2,0),"")</f>
        <v>Těžba a dobývání j. n.</v>
      </c>
      <c r="X101">
        <f>IF(ISNUMBER(SEARCH('1Př1'!$A$35,N101)),MAX($M$2:M100)+1,0)</f>
        <v>99</v>
      </c>
      <c r="Y101" s="336" t="s">
        <v>1211</v>
      </c>
      <c r="Z101" t="str">
        <f>IFERROR(VLOOKUP(ROWS($Z$3:Z101),$X$3:$Y$992,2,0),"")</f>
        <v>Těžba a dobývání j. n.</v>
      </c>
    </row>
    <row r="102" spans="1:26" ht="12.75" customHeight="1">
      <c r="A102" s="312"/>
      <c r="B102" s="312"/>
      <c r="C102" s="312"/>
      <c r="D102" s="328">
        <f>IF(ISNUMBER(SEARCH(ZAKL_DATA!$B$14,E102)),MAX($D$2:D101)+1,0)</f>
        <v>100</v>
      </c>
      <c r="E102" s="342" t="s">
        <v>1213</v>
      </c>
      <c r="F102" s="343">
        <v>2608</v>
      </c>
      <c r="G102" s="344"/>
      <c r="H102" s="345" t="str">
        <f>IFERROR(VLOOKUP(ROWS($H$3:H102),$D$3:$E$204,2,0),"")</f>
        <v>TANVALD</v>
      </c>
      <c r="I102" s="312"/>
      <c r="J102" s="347" t="s">
        <v>1214</v>
      </c>
      <c r="K102" s="334" t="s">
        <v>1215</v>
      </c>
      <c r="M102" s="335">
        <f>IF(ISNUMBER(SEARCH(ZAKL_DATA!$B$29,N102)),MAX($M$2:M101)+1,0)</f>
        <v>100</v>
      </c>
      <c r="N102" s="336" t="s">
        <v>1216</v>
      </c>
      <c r="O102" s="337" t="s">
        <v>1217</v>
      </c>
      <c r="P102" s="338"/>
      <c r="Q102" s="339" t="str">
        <f>IFERROR(VLOOKUP(ROWS($Q$3:Q102),$M$3:$N$992,2,0),"")</f>
        <v>Tvůrčí, umělecké a zábavní činnosti</v>
      </c>
      <c r="R102">
        <f>IF(ISNUMBER(SEARCH('1Př1'!$A$33,N102)),MAX($M$2:M101)+1,0)</f>
        <v>100</v>
      </c>
      <c r="S102" s="336" t="s">
        <v>1216</v>
      </c>
      <c r="T102" t="str">
        <f>IFERROR(VLOOKUP(ROWS($T$3:T102),$R$3:$S$992,2,0),"")</f>
        <v>Tvůrčí, umělecké a zábavní činnosti</v>
      </c>
      <c r="U102">
        <f>IF(ISNUMBER(SEARCH('1Př1'!$A$34,N102)),MAX($M$2:M101)+1,0)</f>
        <v>100</v>
      </c>
      <c r="V102" s="336" t="s">
        <v>1216</v>
      </c>
      <c r="W102" t="str">
        <f>IFERROR(VLOOKUP(ROWS($W$3:W102),$U$3:$V$992,2,0),"")</f>
        <v>Tvůrčí, umělecké a zábavní činnosti</v>
      </c>
      <c r="X102">
        <f>IF(ISNUMBER(SEARCH('1Př1'!$A$35,N102)),MAX($M$2:M101)+1,0)</f>
        <v>100</v>
      </c>
      <c r="Y102" s="336" t="s">
        <v>1216</v>
      </c>
      <c r="Z102" t="str">
        <f>IFERROR(VLOOKUP(ROWS($Z$3:Z102),$X$3:$Y$992,2,0),"")</f>
        <v>Tvůrčí, umělecké a zábavní činnosti</v>
      </c>
    </row>
    <row r="103" spans="1:26" ht="12.75" customHeight="1">
      <c r="A103" s="312"/>
      <c r="B103" s="312"/>
      <c r="C103" s="312"/>
      <c r="D103" s="328">
        <f>IF(ISNUMBER(SEARCH(ZAKL_DATA!$B$14,E103)),MAX($D$2:D102)+1,0)</f>
        <v>101</v>
      </c>
      <c r="E103" s="342" t="s">
        <v>1218</v>
      </c>
      <c r="F103" s="343">
        <v>2609</v>
      </c>
      <c r="G103" s="344"/>
      <c r="H103" s="345" t="str">
        <f>IFERROR(VLOOKUP(ROWS($H$3:H103),$D$3:$E$204,2,0),"")</f>
        <v>TURNOV</v>
      </c>
      <c r="I103" s="312"/>
      <c r="J103" s="347" t="s">
        <v>1219</v>
      </c>
      <c r="K103" s="334" t="s">
        <v>1220</v>
      </c>
      <c r="M103" s="335">
        <f>IF(ISNUMBER(SEARCH(ZAKL_DATA!$B$29,N103)),MAX($M$2:M102)+1,0)</f>
        <v>101</v>
      </c>
      <c r="N103" s="336" t="s">
        <v>1221</v>
      </c>
      <c r="O103" s="337" t="s">
        <v>1222</v>
      </c>
      <c r="P103" s="338"/>
      <c r="Q103" s="339" t="str">
        <f>IFERROR(VLOOKUP(ROWS($Q$3:Q103),$M$3:$N$992,2,0),"")</f>
        <v>Činnosti knihoven, archivů, muzeí a jiných kulturních zařízení</v>
      </c>
      <c r="R103">
        <f>IF(ISNUMBER(SEARCH('1Př1'!$A$33,N103)),MAX($M$2:M102)+1,0)</f>
        <v>101</v>
      </c>
      <c r="S103" s="336" t="s">
        <v>1221</v>
      </c>
      <c r="T103" t="str">
        <f>IFERROR(VLOOKUP(ROWS($T$3:T103),$R$3:$S$992,2,0),"")</f>
        <v>Činnosti knihoven, archivů, muzeí a jiných kulturních zařízení</v>
      </c>
      <c r="U103">
        <f>IF(ISNUMBER(SEARCH('1Př1'!$A$34,N103)),MAX($M$2:M102)+1,0)</f>
        <v>101</v>
      </c>
      <c r="V103" s="336" t="s">
        <v>1221</v>
      </c>
      <c r="W103" t="str">
        <f>IFERROR(VLOOKUP(ROWS($W$3:W103),$U$3:$V$992,2,0),"")</f>
        <v>Činnosti knihoven, archivů, muzeí a jiných kulturních zařízení</v>
      </c>
      <c r="X103">
        <f>IF(ISNUMBER(SEARCH('1Př1'!$A$35,N103)),MAX($M$2:M102)+1,0)</f>
        <v>101</v>
      </c>
      <c r="Y103" s="336" t="s">
        <v>1221</v>
      </c>
      <c r="Z103" t="str">
        <f>IFERROR(VLOOKUP(ROWS($Z$3:Z103),$X$3:$Y$992,2,0),"")</f>
        <v>Činnosti knihoven, archivů, muzeí a jiných kulturních zařízení</v>
      </c>
    </row>
    <row r="104" spans="1:26" ht="12.75" customHeight="1">
      <c r="A104" s="312"/>
      <c r="B104" s="312"/>
      <c r="C104" s="312"/>
      <c r="D104" s="328">
        <f>IF(ISNUMBER(SEARCH(ZAKL_DATA!$B$14,E104)),MAX($D$2:D103)+1,0)</f>
        <v>102</v>
      </c>
      <c r="E104" s="342" t="s">
        <v>1223</v>
      </c>
      <c r="F104" s="343">
        <v>2610</v>
      </c>
      <c r="G104" s="344"/>
      <c r="H104" s="345" t="str">
        <f>IFERROR(VLOOKUP(ROWS($H$3:H104),$D$3:$E$204,2,0),"")</f>
        <v>ŽELEZNÝ BROD</v>
      </c>
      <c r="I104" s="312"/>
      <c r="J104" s="347" t="s">
        <v>1224</v>
      </c>
      <c r="K104" s="334" t="s">
        <v>1225</v>
      </c>
      <c r="M104" s="335">
        <f>IF(ISNUMBER(SEARCH(ZAKL_DATA!$B$29,N104)),MAX($M$2:M103)+1,0)</f>
        <v>102</v>
      </c>
      <c r="N104" s="336" t="s">
        <v>1226</v>
      </c>
      <c r="O104" s="337" t="s">
        <v>1227</v>
      </c>
      <c r="P104" s="338"/>
      <c r="Q104" s="339" t="str">
        <f>IFERROR(VLOOKUP(ROWS($Q$3:Q104),$M$3:$N$992,2,0),"")</f>
        <v>Podpůrné činnosti při těžbě ropy a zemního plynu</v>
      </c>
      <c r="R104">
        <f>IF(ISNUMBER(SEARCH('1Př1'!$A$33,N104)),MAX($M$2:M103)+1,0)</f>
        <v>102</v>
      </c>
      <c r="S104" s="336" t="s">
        <v>1226</v>
      </c>
      <c r="T104" t="str">
        <f>IFERROR(VLOOKUP(ROWS($T$3:T104),$R$3:$S$992,2,0),"")</f>
        <v>Podpůrné činnosti při těžbě ropy a zemního plynu</v>
      </c>
      <c r="U104">
        <f>IF(ISNUMBER(SEARCH('1Př1'!$A$34,N104)),MAX($M$2:M103)+1,0)</f>
        <v>102</v>
      </c>
      <c r="V104" s="336" t="s">
        <v>1226</v>
      </c>
      <c r="W104" t="str">
        <f>IFERROR(VLOOKUP(ROWS($W$3:W104),$U$3:$V$992,2,0),"")</f>
        <v>Podpůrné činnosti při těžbě ropy a zemního plynu</v>
      </c>
      <c r="X104">
        <f>IF(ISNUMBER(SEARCH('1Př1'!$A$35,N104)),MAX($M$2:M103)+1,0)</f>
        <v>102</v>
      </c>
      <c r="Y104" s="336" t="s">
        <v>1226</v>
      </c>
      <c r="Z104" t="str">
        <f>IFERROR(VLOOKUP(ROWS($Z$3:Z104),$X$3:$Y$992,2,0),"")</f>
        <v>Podpůrné činnosti při těžbě ropy a zemního plynu</v>
      </c>
    </row>
    <row r="105" spans="1:26" ht="12.75" customHeight="1">
      <c r="A105" s="312"/>
      <c r="B105" s="312"/>
      <c r="C105" s="312"/>
      <c r="D105" s="328">
        <f>IF(ISNUMBER(SEARCH(ZAKL_DATA!$B$14,E105)),MAX($D$2:D104)+1,0)</f>
        <v>103</v>
      </c>
      <c r="E105" s="342" t="s">
        <v>1228</v>
      </c>
      <c r="F105" s="343">
        <v>2701</v>
      </c>
      <c r="G105" s="344"/>
      <c r="H105" s="345" t="str">
        <f>IFERROR(VLOOKUP(ROWS($H$3:H105),$D$3:$E$204,2,0),"")</f>
        <v>HRADEC KRÁLOVÉ</v>
      </c>
      <c r="I105" s="312"/>
      <c r="J105" s="347" t="s">
        <v>1229</v>
      </c>
      <c r="K105" s="334" t="s">
        <v>1230</v>
      </c>
      <c r="M105" s="335">
        <f>IF(ISNUMBER(SEARCH(ZAKL_DATA!$B$29,N105)),MAX($M$2:M104)+1,0)</f>
        <v>103</v>
      </c>
      <c r="N105" s="336" t="s">
        <v>1231</v>
      </c>
      <c r="O105" s="337" t="s">
        <v>1232</v>
      </c>
      <c r="P105" s="338"/>
      <c r="Q105" s="339" t="str">
        <f>IFERROR(VLOOKUP(ROWS($Q$3:Q105),$M$3:$N$992,2,0),"")</f>
        <v>Činnosti heren, kasin a sázkových kanceláří</v>
      </c>
      <c r="R105">
        <f>IF(ISNUMBER(SEARCH('1Př1'!$A$33,N105)),MAX($M$2:M104)+1,0)</f>
        <v>103</v>
      </c>
      <c r="S105" s="336" t="s">
        <v>1231</v>
      </c>
      <c r="T105" t="str">
        <f>IFERROR(VLOOKUP(ROWS($T$3:T105),$R$3:$S$992,2,0),"")</f>
        <v>Činnosti heren, kasin a sázkových kanceláří</v>
      </c>
      <c r="U105">
        <f>IF(ISNUMBER(SEARCH('1Př1'!$A$34,N105)),MAX($M$2:M104)+1,0)</f>
        <v>103</v>
      </c>
      <c r="V105" s="336" t="s">
        <v>1231</v>
      </c>
      <c r="W105" t="str">
        <f>IFERROR(VLOOKUP(ROWS($W$3:W105),$U$3:$V$992,2,0),"")</f>
        <v>Činnosti heren, kasin a sázkových kanceláří</v>
      </c>
      <c r="X105">
        <f>IF(ISNUMBER(SEARCH('1Př1'!$A$35,N105)),MAX($M$2:M104)+1,0)</f>
        <v>103</v>
      </c>
      <c r="Y105" s="336" t="s">
        <v>1231</v>
      </c>
      <c r="Z105" t="str">
        <f>IFERROR(VLOOKUP(ROWS($Z$3:Z105),$X$3:$Y$992,2,0),"")</f>
        <v>Činnosti heren, kasin a sázkových kanceláří</v>
      </c>
    </row>
    <row r="106" spans="1:26" ht="12.75" customHeight="1">
      <c r="A106" s="312"/>
      <c r="B106" s="312"/>
      <c r="C106" s="312"/>
      <c r="D106" s="328">
        <f>IF(ISNUMBER(SEARCH(ZAKL_DATA!$B$14,E106)),MAX($D$2:D105)+1,0)</f>
        <v>104</v>
      </c>
      <c r="E106" s="342" t="s">
        <v>1233</v>
      </c>
      <c r="F106" s="343">
        <v>2702</v>
      </c>
      <c r="G106" s="344"/>
      <c r="H106" s="345" t="str">
        <f>IFERROR(VLOOKUP(ROWS($H$3:H106),$D$3:$E$204,2,0),"")</f>
        <v>BROUMOV</v>
      </c>
      <c r="I106" s="312"/>
      <c r="J106" s="347" t="s">
        <v>1234</v>
      </c>
      <c r="K106" s="334" t="s">
        <v>1235</v>
      </c>
      <c r="M106" s="335">
        <f>IF(ISNUMBER(SEARCH(ZAKL_DATA!$B$29,N106)),MAX($M$2:M105)+1,0)</f>
        <v>104</v>
      </c>
      <c r="N106" s="336" t="s">
        <v>1236</v>
      </c>
      <c r="O106" s="337" t="s">
        <v>1237</v>
      </c>
      <c r="P106" s="338"/>
      <c r="Q106" s="339" t="str">
        <f>IFERROR(VLOOKUP(ROWS($Q$3:Q106),$M$3:$N$992,2,0),"")</f>
        <v>Sportovní, zábavní a rekreační činnosti</v>
      </c>
      <c r="R106">
        <f>IF(ISNUMBER(SEARCH('1Př1'!$A$33,N106)),MAX($M$2:M105)+1,0)</f>
        <v>104</v>
      </c>
      <c r="S106" s="336" t="s">
        <v>1236</v>
      </c>
      <c r="T106" t="str">
        <f>IFERROR(VLOOKUP(ROWS($T$3:T106),$R$3:$S$992,2,0),"")</f>
        <v>Sportovní, zábavní a rekreační činnosti</v>
      </c>
      <c r="U106">
        <f>IF(ISNUMBER(SEARCH('1Př1'!$A$34,N106)),MAX($M$2:M105)+1,0)</f>
        <v>104</v>
      </c>
      <c r="V106" s="336" t="s">
        <v>1236</v>
      </c>
      <c r="W106" t="str">
        <f>IFERROR(VLOOKUP(ROWS($W$3:W106),$U$3:$V$992,2,0),"")</f>
        <v>Sportovní, zábavní a rekreační činnosti</v>
      </c>
      <c r="X106">
        <f>IF(ISNUMBER(SEARCH('1Př1'!$A$35,N106)),MAX($M$2:M105)+1,0)</f>
        <v>104</v>
      </c>
      <c r="Y106" s="336" t="s">
        <v>1236</v>
      </c>
      <c r="Z106" t="str">
        <f>IFERROR(VLOOKUP(ROWS($Z$3:Z106),$X$3:$Y$992,2,0),"")</f>
        <v>Sportovní, zábavní a rekreační činnosti</v>
      </c>
    </row>
    <row r="107" spans="1:26" ht="12.75" customHeight="1">
      <c r="A107" s="312"/>
      <c r="B107" s="312"/>
      <c r="C107" s="312"/>
      <c r="D107" s="328">
        <f>IF(ISNUMBER(SEARCH(ZAKL_DATA!$B$14,E107)),MAX($D$2:D106)+1,0)</f>
        <v>105</v>
      </c>
      <c r="E107" s="342" t="s">
        <v>1238</v>
      </c>
      <c r="F107" s="343">
        <v>2703</v>
      </c>
      <c r="G107" s="344"/>
      <c r="H107" s="345" t="str">
        <f>IFERROR(VLOOKUP(ROWS($H$3:H107),$D$3:$E$204,2,0),"")</f>
        <v>DOBRUŠKA</v>
      </c>
      <c r="I107" s="312"/>
      <c r="J107" s="347" t="s">
        <v>1239</v>
      </c>
      <c r="K107" s="334" t="s">
        <v>1240</v>
      </c>
      <c r="M107" s="335">
        <f>IF(ISNUMBER(SEARCH(ZAKL_DATA!$B$29,N107)),MAX($M$2:M106)+1,0)</f>
        <v>105</v>
      </c>
      <c r="N107" s="336" t="s">
        <v>1241</v>
      </c>
      <c r="O107" s="337" t="s">
        <v>1242</v>
      </c>
      <c r="P107" s="338"/>
      <c r="Q107" s="339" t="str">
        <f>IFERROR(VLOOKUP(ROWS($Q$3:Q107),$M$3:$N$992,2,0),"")</f>
        <v>Činnosti organizací sdružujících osoby za účelem prosazování spol.zájmů</v>
      </c>
      <c r="R107">
        <f>IF(ISNUMBER(SEARCH('1Př1'!$A$33,N107)),MAX($M$2:M106)+1,0)</f>
        <v>105</v>
      </c>
      <c r="S107" s="336" t="s">
        <v>1241</v>
      </c>
      <c r="T107" t="str">
        <f>IFERROR(VLOOKUP(ROWS($T$3:T107),$R$3:$S$992,2,0),"")</f>
        <v>Činnosti organizací sdružujících osoby za účelem prosazování spol.zájmů</v>
      </c>
      <c r="U107">
        <f>IF(ISNUMBER(SEARCH('1Př1'!$A$34,N107)),MAX($M$2:M106)+1,0)</f>
        <v>105</v>
      </c>
      <c r="V107" s="336" t="s">
        <v>1241</v>
      </c>
      <c r="W107" t="str">
        <f>IFERROR(VLOOKUP(ROWS($W$3:W107),$U$3:$V$992,2,0),"")</f>
        <v>Činnosti organizací sdružujících osoby za účelem prosazování spol.zájmů</v>
      </c>
      <c r="X107">
        <f>IF(ISNUMBER(SEARCH('1Př1'!$A$35,N107)),MAX($M$2:M106)+1,0)</f>
        <v>105</v>
      </c>
      <c r="Y107" s="336" t="s">
        <v>1241</v>
      </c>
      <c r="Z107" t="str">
        <f>IFERROR(VLOOKUP(ROWS($Z$3:Z107),$X$3:$Y$992,2,0),"")</f>
        <v>Činnosti organizací sdružujících osoby za účelem prosazování spol.zájmů</v>
      </c>
    </row>
    <row r="108" spans="1:26" ht="12.75" customHeight="1">
      <c r="A108" s="312"/>
      <c r="B108" s="312"/>
      <c r="C108" s="312"/>
      <c r="D108" s="328">
        <f>IF(ISNUMBER(SEARCH(ZAKL_DATA!$B$14,E108)),MAX($D$2:D107)+1,0)</f>
        <v>106</v>
      </c>
      <c r="E108" s="342" t="s">
        <v>1243</v>
      </c>
      <c r="F108" s="343">
        <v>2704</v>
      </c>
      <c r="G108" s="344"/>
      <c r="H108" s="345" t="str">
        <f>IFERROR(VLOOKUP(ROWS($H$3:H108),$D$3:$E$204,2,0),"")</f>
        <v>DVŮR KRÁLOVÉ</v>
      </c>
      <c r="I108" s="312"/>
      <c r="J108" s="347" t="s">
        <v>1244</v>
      </c>
      <c r="K108" s="334" t="s">
        <v>1245</v>
      </c>
      <c r="M108" s="335">
        <f>IF(ISNUMBER(SEARCH(ZAKL_DATA!$B$29,N108)),MAX($M$2:M107)+1,0)</f>
        <v>106</v>
      </c>
      <c r="N108" s="336" t="s">
        <v>1246</v>
      </c>
      <c r="O108" s="337" t="s">
        <v>1247</v>
      </c>
      <c r="P108" s="338"/>
      <c r="Q108" s="339" t="str">
        <f>IFERROR(VLOOKUP(ROWS($Q$3:Q108),$M$3:$N$992,2,0),"")</f>
        <v>Opravy počítačů a výrobků pro osobní potřebu a převážně pro domácnost</v>
      </c>
      <c r="R108">
        <f>IF(ISNUMBER(SEARCH('1Př1'!$A$33,N108)),MAX($M$2:M107)+1,0)</f>
        <v>106</v>
      </c>
      <c r="S108" s="336" t="s">
        <v>1246</v>
      </c>
      <c r="T108" t="str">
        <f>IFERROR(VLOOKUP(ROWS($T$3:T108),$R$3:$S$992,2,0),"")</f>
        <v>Opravy počítačů a výrobků pro osobní potřebu a převážně pro domácnost</v>
      </c>
      <c r="U108">
        <f>IF(ISNUMBER(SEARCH('1Př1'!$A$34,N108)),MAX($M$2:M107)+1,0)</f>
        <v>106</v>
      </c>
      <c r="V108" s="336" t="s">
        <v>1246</v>
      </c>
      <c r="W108" t="str">
        <f>IFERROR(VLOOKUP(ROWS($W$3:W108),$U$3:$V$992,2,0),"")</f>
        <v>Opravy počítačů a výrobků pro osobní potřebu a převážně pro domácnost</v>
      </c>
      <c r="X108">
        <f>IF(ISNUMBER(SEARCH('1Př1'!$A$35,N108)),MAX($M$2:M107)+1,0)</f>
        <v>106</v>
      </c>
      <c r="Y108" s="336" t="s">
        <v>1246</v>
      </c>
      <c r="Z108" t="str">
        <f>IFERROR(VLOOKUP(ROWS($Z$3:Z108),$X$3:$Y$992,2,0),"")</f>
        <v>Opravy počítačů a výrobků pro osobní potřebu a převážně pro domácnost</v>
      </c>
    </row>
    <row r="109" spans="1:26" ht="12.75" customHeight="1">
      <c r="A109" s="312"/>
      <c r="B109" s="312"/>
      <c r="C109" s="312"/>
      <c r="D109" s="328">
        <f>IF(ISNUMBER(SEARCH(ZAKL_DATA!$B$14,E109)),MAX($D$2:D108)+1,0)</f>
        <v>107</v>
      </c>
      <c r="E109" s="342" t="s">
        <v>1248</v>
      </c>
      <c r="F109" s="343">
        <v>2705</v>
      </c>
      <c r="G109" s="344"/>
      <c r="H109" s="345" t="str">
        <f>IFERROR(VLOOKUP(ROWS($H$3:H109),$D$3:$E$204,2,0),"")</f>
        <v>HOŘICE</v>
      </c>
      <c r="I109" s="312"/>
      <c r="J109" s="347" t="s">
        <v>1249</v>
      </c>
      <c r="K109" s="334" t="s">
        <v>1250</v>
      </c>
      <c r="M109" s="335">
        <f>IF(ISNUMBER(SEARCH(ZAKL_DATA!$B$29,N109)),MAX($M$2:M108)+1,0)</f>
        <v>107</v>
      </c>
      <c r="N109" s="336" t="s">
        <v>1251</v>
      </c>
      <c r="O109" s="337" t="s">
        <v>1252</v>
      </c>
      <c r="P109" s="338"/>
      <c r="Q109" s="339" t="str">
        <f>IFERROR(VLOOKUP(ROWS($Q$3:Q109),$M$3:$N$992,2,0),"")</f>
        <v>Poskytování ostatních osobních služeb</v>
      </c>
      <c r="R109">
        <f>IF(ISNUMBER(SEARCH('1Př1'!$A$33,N109)),MAX($M$2:M108)+1,0)</f>
        <v>107</v>
      </c>
      <c r="S109" s="336" t="s">
        <v>1251</v>
      </c>
      <c r="T109" t="str">
        <f>IFERROR(VLOOKUP(ROWS($T$3:T109),$R$3:$S$992,2,0),"")</f>
        <v>Poskytování ostatních osobních služeb</v>
      </c>
      <c r="U109">
        <f>IF(ISNUMBER(SEARCH('1Př1'!$A$34,N109)),MAX($M$2:M108)+1,0)</f>
        <v>107</v>
      </c>
      <c r="V109" s="336" t="s">
        <v>1251</v>
      </c>
      <c r="W109" t="str">
        <f>IFERROR(VLOOKUP(ROWS($W$3:W109),$U$3:$V$992,2,0),"")</f>
        <v>Poskytování ostatních osobních služeb</v>
      </c>
      <c r="X109">
        <f>IF(ISNUMBER(SEARCH('1Př1'!$A$35,N109)),MAX($M$2:M108)+1,0)</f>
        <v>107</v>
      </c>
      <c r="Y109" s="336" t="s">
        <v>1251</v>
      </c>
      <c r="Z109" t="str">
        <f>IFERROR(VLOOKUP(ROWS($Z$3:Z109),$X$3:$Y$992,2,0),"")</f>
        <v>Poskytování ostatních osobních služeb</v>
      </c>
    </row>
    <row r="110" spans="1:26" ht="12.75" customHeight="1">
      <c r="A110" s="312"/>
      <c r="B110" s="312"/>
      <c r="C110" s="312"/>
      <c r="D110" s="328">
        <f>IF(ISNUMBER(SEARCH(ZAKL_DATA!$B$14,E110)),MAX($D$2:D109)+1,0)</f>
        <v>108</v>
      </c>
      <c r="E110" s="342" t="s">
        <v>1253</v>
      </c>
      <c r="F110" s="343">
        <v>2706</v>
      </c>
      <c r="G110" s="344"/>
      <c r="H110" s="345" t="str">
        <f>IFERROR(VLOOKUP(ROWS($H$3:H110),$D$3:$E$204,2,0),"")</f>
        <v>JAROMĚŘ</v>
      </c>
      <c r="I110" s="312"/>
      <c r="J110" s="347" t="s">
        <v>1254</v>
      </c>
      <c r="K110" s="334" t="s">
        <v>1255</v>
      </c>
      <c r="M110" s="335">
        <f>IF(ISNUMBER(SEARCH(ZAKL_DATA!$B$29,N110)),MAX($M$2:M109)+1,0)</f>
        <v>108</v>
      </c>
      <c r="N110" s="336" t="s">
        <v>1256</v>
      </c>
      <c r="O110" s="337" t="s">
        <v>1257</v>
      </c>
      <c r="P110" s="338"/>
      <c r="Q110" s="339" t="str">
        <f>IFERROR(VLOOKUP(ROWS($Q$3:Q110),$M$3:$N$992,2,0),"")</f>
        <v>Činnosti domácností jako zaměstnavatelů domácího personálu</v>
      </c>
      <c r="R110">
        <f>IF(ISNUMBER(SEARCH('1Př1'!$A$33,N110)),MAX($M$2:M109)+1,0)</f>
        <v>108</v>
      </c>
      <c r="S110" s="336" t="s">
        <v>1256</v>
      </c>
      <c r="T110" t="str">
        <f>IFERROR(VLOOKUP(ROWS($T$3:T110),$R$3:$S$992,2,0),"")</f>
        <v>Činnosti domácností jako zaměstnavatelů domácího personálu</v>
      </c>
      <c r="U110">
        <f>IF(ISNUMBER(SEARCH('1Př1'!$A$34,N110)),MAX($M$2:M109)+1,0)</f>
        <v>108</v>
      </c>
      <c r="V110" s="336" t="s">
        <v>1256</v>
      </c>
      <c r="W110" t="str">
        <f>IFERROR(VLOOKUP(ROWS($W$3:W110),$U$3:$V$992,2,0),"")</f>
        <v>Činnosti domácností jako zaměstnavatelů domácího personálu</v>
      </c>
      <c r="X110">
        <f>IF(ISNUMBER(SEARCH('1Př1'!$A$35,N110)),MAX($M$2:M109)+1,0)</f>
        <v>108</v>
      </c>
      <c r="Y110" s="336" t="s">
        <v>1256</v>
      </c>
      <c r="Z110" t="str">
        <f>IFERROR(VLOOKUP(ROWS($Z$3:Z110),$X$3:$Y$992,2,0),"")</f>
        <v>Činnosti domácností jako zaměstnavatelů domácího personálu</v>
      </c>
    </row>
    <row r="111" spans="1:26" ht="12.75" customHeight="1">
      <c r="A111" s="312"/>
      <c r="B111" s="312"/>
      <c r="C111" s="312"/>
      <c r="D111" s="328">
        <f>IF(ISNUMBER(SEARCH(ZAKL_DATA!$B$14,E111)),MAX($D$2:D110)+1,0)</f>
        <v>109</v>
      </c>
      <c r="E111" s="342" t="s">
        <v>1258</v>
      </c>
      <c r="F111" s="343">
        <v>2707</v>
      </c>
      <c r="G111" s="344"/>
      <c r="H111" s="345" t="str">
        <f>IFERROR(VLOOKUP(ROWS($H$3:H111),$D$3:$E$204,2,0),"")</f>
        <v>JIČÍN</v>
      </c>
      <c r="I111" s="312"/>
      <c r="J111" s="347" t="s">
        <v>1259</v>
      </c>
      <c r="K111" s="334" t="s">
        <v>1260</v>
      </c>
      <c r="M111" s="335">
        <f>IF(ISNUMBER(SEARCH(ZAKL_DATA!$B$29,N111)),MAX($M$2:M110)+1,0)</f>
        <v>109</v>
      </c>
      <c r="N111" s="336" t="s">
        <v>1261</v>
      </c>
      <c r="O111" s="337" t="s">
        <v>1262</v>
      </c>
      <c r="P111" s="338"/>
      <c r="Q111" s="339" t="str">
        <f>IFERROR(VLOOKUP(ROWS($Q$3:Q111),$M$3:$N$992,2,0),"")</f>
        <v>Činnosti domác.produk.blíže neurčené výrobky a služby pro vlast.potřebu</v>
      </c>
      <c r="R111">
        <f>IF(ISNUMBER(SEARCH('1Př1'!$A$33,N111)),MAX($M$2:M110)+1,0)</f>
        <v>109</v>
      </c>
      <c r="S111" s="336" t="s">
        <v>1261</v>
      </c>
      <c r="T111" t="str">
        <f>IFERROR(VLOOKUP(ROWS($T$3:T111),$R$3:$S$992,2,0),"")</f>
        <v>Činnosti domác.produk.blíže neurčené výrobky a služby pro vlast.potřebu</v>
      </c>
      <c r="U111">
        <f>IF(ISNUMBER(SEARCH('1Př1'!$A$34,N111)),MAX($M$2:M110)+1,0)</f>
        <v>109</v>
      </c>
      <c r="V111" s="336" t="s">
        <v>1261</v>
      </c>
      <c r="W111" t="str">
        <f>IFERROR(VLOOKUP(ROWS($W$3:W111),$U$3:$V$992,2,0),"")</f>
        <v>Činnosti domác.produk.blíže neurčené výrobky a služby pro vlast.potřebu</v>
      </c>
      <c r="X111">
        <f>IF(ISNUMBER(SEARCH('1Př1'!$A$35,N111)),MAX($M$2:M110)+1,0)</f>
        <v>109</v>
      </c>
      <c r="Y111" s="336" t="s">
        <v>1261</v>
      </c>
      <c r="Z111" t="str">
        <f>IFERROR(VLOOKUP(ROWS($Z$3:Z111),$X$3:$Y$992,2,0),"")</f>
        <v>Činnosti domác.produk.blíže neurčené výrobky a služby pro vlast.potřebu</v>
      </c>
    </row>
    <row r="112" spans="1:26" ht="12.75" customHeight="1">
      <c r="A112" s="312"/>
      <c r="B112" s="312"/>
      <c r="C112" s="312"/>
      <c r="D112" s="328">
        <f>IF(ISNUMBER(SEARCH(ZAKL_DATA!$B$14,E112)),MAX($D$2:D111)+1,0)</f>
        <v>110</v>
      </c>
      <c r="E112" s="342" t="s">
        <v>1263</v>
      </c>
      <c r="F112" s="343">
        <v>2708</v>
      </c>
      <c r="G112" s="344"/>
      <c r="H112" s="345" t="str">
        <f>IFERROR(VLOOKUP(ROWS($H$3:H112),$D$3:$E$204,2,0),"")</f>
        <v>KOSTELEC NAD ORLICÍ</v>
      </c>
      <c r="I112" s="312"/>
      <c r="J112" s="347" t="s">
        <v>1264</v>
      </c>
      <c r="K112" s="334" t="s">
        <v>1265</v>
      </c>
      <c r="M112" s="335">
        <f>IF(ISNUMBER(SEARCH(ZAKL_DATA!$B$29,N112)),MAX($M$2:M111)+1,0)</f>
        <v>110</v>
      </c>
      <c r="N112" s="336" t="s">
        <v>1266</v>
      </c>
      <c r="O112" s="337" t="s">
        <v>1267</v>
      </c>
      <c r="P112" s="338"/>
      <c r="Q112" s="339" t="str">
        <f>IFERROR(VLOOKUP(ROWS($Q$3:Q112),$M$3:$N$992,2,0),"")</f>
        <v>Činnosti exteritoriálních organizací a orgánů</v>
      </c>
      <c r="R112">
        <f>IF(ISNUMBER(SEARCH('1Př1'!$A$33,N112)),MAX($M$2:M111)+1,0)</f>
        <v>110</v>
      </c>
      <c r="S112" s="336" t="s">
        <v>1266</v>
      </c>
      <c r="T112" t="str">
        <f>IFERROR(VLOOKUP(ROWS($T$3:T112),$R$3:$S$992,2,0),"")</f>
        <v>Činnosti exteritoriálních organizací a orgánů</v>
      </c>
      <c r="U112">
        <f>IF(ISNUMBER(SEARCH('1Př1'!$A$34,N112)),MAX($M$2:M111)+1,0)</f>
        <v>110</v>
      </c>
      <c r="V112" s="336" t="s">
        <v>1266</v>
      </c>
      <c r="W112" t="str">
        <f>IFERROR(VLOOKUP(ROWS($W$3:W112),$U$3:$V$992,2,0),"")</f>
        <v>Činnosti exteritoriálních organizací a orgánů</v>
      </c>
      <c r="X112">
        <f>IF(ISNUMBER(SEARCH('1Př1'!$A$35,N112)),MAX($M$2:M111)+1,0)</f>
        <v>110</v>
      </c>
      <c r="Y112" s="336" t="s">
        <v>1266</v>
      </c>
      <c r="Z112" t="str">
        <f>IFERROR(VLOOKUP(ROWS($Z$3:Z112),$X$3:$Y$992,2,0),"")</f>
        <v>Činnosti exteritoriálních organizací a orgánů</v>
      </c>
    </row>
    <row r="113" spans="1:26" ht="12.75" customHeight="1">
      <c r="A113" s="312"/>
      <c r="B113" s="312"/>
      <c r="C113" s="312"/>
      <c r="D113" s="328">
        <f>IF(ISNUMBER(SEARCH(ZAKL_DATA!$B$14,E113)),MAX($D$2:D112)+1,0)</f>
        <v>111</v>
      </c>
      <c r="E113" s="342" t="s">
        <v>1268</v>
      </c>
      <c r="F113" s="343">
        <v>2709</v>
      </c>
      <c r="G113" s="344"/>
      <c r="H113" s="345" t="str">
        <f>IFERROR(VLOOKUP(ROWS($H$3:H113),$D$3:$E$204,2,0),"")</f>
        <v>NÁCHOD</v>
      </c>
      <c r="I113" s="312"/>
      <c r="J113" s="347" t="s">
        <v>1269</v>
      </c>
      <c r="K113" s="334" t="s">
        <v>1270</v>
      </c>
      <c r="M113" s="335">
        <f>IF(ISNUMBER(SEARCH(ZAKL_DATA!$B$29,N113)),MAX($M$2:M112)+1,0)</f>
        <v>111</v>
      </c>
      <c r="N113" s="336" t="s">
        <v>1271</v>
      </c>
      <c r="O113" s="337" t="s">
        <v>1272</v>
      </c>
      <c r="P113" s="338"/>
      <c r="Q113" s="339" t="str">
        <f>IFERROR(VLOOKUP(ROWS($Q$3:Q113),$M$3:$N$992,2,0),"")</f>
        <v>Podpůrné činnosti při ostatní těžbě a dobývání</v>
      </c>
      <c r="R113">
        <f>IF(ISNUMBER(SEARCH('1Př1'!$A$33,N113)),MAX($M$2:M112)+1,0)</f>
        <v>111</v>
      </c>
      <c r="S113" s="336" t="s">
        <v>1271</v>
      </c>
      <c r="T113" t="str">
        <f>IFERROR(VLOOKUP(ROWS($T$3:T113),$R$3:$S$992,2,0),"")</f>
        <v>Podpůrné činnosti při ostatní těžbě a dobývání</v>
      </c>
      <c r="U113">
        <f>IF(ISNUMBER(SEARCH('1Př1'!$A$34,N113)),MAX($M$2:M112)+1,0)</f>
        <v>111</v>
      </c>
      <c r="V113" s="336" t="s">
        <v>1271</v>
      </c>
      <c r="W113" t="str">
        <f>IFERROR(VLOOKUP(ROWS($W$3:W113),$U$3:$V$992,2,0),"")</f>
        <v>Podpůrné činnosti při ostatní těžbě a dobývání</v>
      </c>
      <c r="X113">
        <f>IF(ISNUMBER(SEARCH('1Př1'!$A$35,N113)),MAX($M$2:M112)+1,0)</f>
        <v>111</v>
      </c>
      <c r="Y113" s="336" t="s">
        <v>1271</v>
      </c>
      <c r="Z113" t="str">
        <f>IFERROR(VLOOKUP(ROWS($Z$3:Z113),$X$3:$Y$992,2,0),"")</f>
        <v>Podpůrné činnosti při ostatní těžbě a dobývání</v>
      </c>
    </row>
    <row r="114" spans="1:26" ht="12.75" customHeight="1">
      <c r="A114" s="312"/>
      <c r="B114" s="312"/>
      <c r="C114" s="312"/>
      <c r="D114" s="328">
        <f>IF(ISNUMBER(SEARCH(ZAKL_DATA!$B$14,E114)),MAX($D$2:D113)+1,0)</f>
        <v>112</v>
      </c>
      <c r="E114" s="342" t="s">
        <v>1273</v>
      </c>
      <c r="F114" s="343">
        <v>2710</v>
      </c>
      <c r="G114" s="344"/>
      <c r="H114" s="345" t="str">
        <f>IFERROR(VLOOKUP(ROWS($H$3:H114),$D$3:$E$204,2,0),"")</f>
        <v>NOVÁ PAKA</v>
      </c>
      <c r="I114" s="312"/>
      <c r="J114" s="347" t="s">
        <v>1274</v>
      </c>
      <c r="K114" s="334" t="s">
        <v>1275</v>
      </c>
      <c r="M114" s="335">
        <f>IF(ISNUMBER(SEARCH(ZAKL_DATA!$B$29,N114)),MAX($M$2:M113)+1,0)</f>
        <v>112</v>
      </c>
      <c r="N114" s="336" t="s">
        <v>1276</v>
      </c>
      <c r="O114" s="337" t="s">
        <v>1277</v>
      </c>
      <c r="P114" s="338"/>
      <c r="Q114" s="339" t="str">
        <f>IFERROR(VLOOKUP(ROWS($Q$3:Q114),$M$3:$N$992,2,0),"")</f>
        <v>Zpracování a konzervování masa a výroba masných výrobků</v>
      </c>
      <c r="R114">
        <f>IF(ISNUMBER(SEARCH('1Př1'!$A$33,N114)),MAX($M$2:M113)+1,0)</f>
        <v>112</v>
      </c>
      <c r="S114" s="336" t="s">
        <v>1276</v>
      </c>
      <c r="T114" t="str">
        <f>IFERROR(VLOOKUP(ROWS($T$3:T114),$R$3:$S$992,2,0),"")</f>
        <v>Zpracování a konzervování masa a výroba masných výrobků</v>
      </c>
      <c r="U114">
        <f>IF(ISNUMBER(SEARCH('1Př1'!$A$34,N114)),MAX($M$2:M113)+1,0)</f>
        <v>112</v>
      </c>
      <c r="V114" s="336" t="s">
        <v>1276</v>
      </c>
      <c r="W114" t="str">
        <f>IFERROR(VLOOKUP(ROWS($W$3:W114),$U$3:$V$992,2,0),"")</f>
        <v>Zpracování a konzervování masa a výroba masných výrobků</v>
      </c>
      <c r="X114">
        <f>IF(ISNUMBER(SEARCH('1Př1'!$A$35,N114)),MAX($M$2:M113)+1,0)</f>
        <v>112</v>
      </c>
      <c r="Y114" s="336" t="s">
        <v>1276</v>
      </c>
      <c r="Z114" t="str">
        <f>IFERROR(VLOOKUP(ROWS($Z$3:Z114),$X$3:$Y$992,2,0),"")</f>
        <v>Zpracování a konzervování masa a výroba masných výrobků</v>
      </c>
    </row>
    <row r="115" spans="1:26" ht="12.75" customHeight="1">
      <c r="A115" s="312"/>
      <c r="B115" s="312"/>
      <c r="C115" s="312"/>
      <c r="D115" s="328">
        <f>IF(ISNUMBER(SEARCH(ZAKL_DATA!$B$14,E115)),MAX($D$2:D114)+1,0)</f>
        <v>113</v>
      </c>
      <c r="E115" s="342" t="s">
        <v>1278</v>
      </c>
      <c r="F115" s="343">
        <v>2711</v>
      </c>
      <c r="G115" s="344"/>
      <c r="H115" s="345" t="str">
        <f>IFERROR(VLOOKUP(ROWS($H$3:H115),$D$3:$E$204,2,0),"")</f>
        <v>NOVÝ BYDŽOV</v>
      </c>
      <c r="I115" s="312"/>
      <c r="J115" s="347" t="s">
        <v>1279</v>
      </c>
      <c r="K115" s="334" t="s">
        <v>1280</v>
      </c>
      <c r="M115" s="335">
        <f>IF(ISNUMBER(SEARCH(ZAKL_DATA!$B$29,N115)),MAX($M$2:M114)+1,0)</f>
        <v>113</v>
      </c>
      <c r="N115" s="336" t="s">
        <v>1281</v>
      </c>
      <c r="O115" s="337" t="s">
        <v>1282</v>
      </c>
      <c r="P115" s="338"/>
      <c r="Q115" s="339" t="str">
        <f>IFERROR(VLOOKUP(ROWS($Q$3:Q115),$M$3:$N$992,2,0),"")</f>
        <v>Zpracování a konzervování ryb, korýšů a měkkýšů</v>
      </c>
      <c r="R115">
        <f>IF(ISNUMBER(SEARCH('1Př1'!$A$33,N115)),MAX($M$2:M114)+1,0)</f>
        <v>113</v>
      </c>
      <c r="S115" s="336" t="s">
        <v>1281</v>
      </c>
      <c r="T115" t="str">
        <f>IFERROR(VLOOKUP(ROWS($T$3:T115),$R$3:$S$992,2,0),"")</f>
        <v>Zpracování a konzervování ryb, korýšů a měkkýšů</v>
      </c>
      <c r="U115">
        <f>IF(ISNUMBER(SEARCH('1Př1'!$A$34,N115)),MAX($M$2:M114)+1,0)</f>
        <v>113</v>
      </c>
      <c r="V115" s="336" t="s">
        <v>1281</v>
      </c>
      <c r="W115" t="str">
        <f>IFERROR(VLOOKUP(ROWS($W$3:W115),$U$3:$V$992,2,0),"")</f>
        <v>Zpracování a konzervování ryb, korýšů a měkkýšů</v>
      </c>
      <c r="X115">
        <f>IF(ISNUMBER(SEARCH('1Př1'!$A$35,N115)),MAX($M$2:M114)+1,0)</f>
        <v>113</v>
      </c>
      <c r="Y115" s="336" t="s">
        <v>1281</v>
      </c>
      <c r="Z115" t="str">
        <f>IFERROR(VLOOKUP(ROWS($Z$3:Z115),$X$3:$Y$992,2,0),"")</f>
        <v>Zpracování a konzervování ryb, korýšů a měkkýšů</v>
      </c>
    </row>
    <row r="116" spans="1:26" ht="12.75" customHeight="1">
      <c r="A116" s="312"/>
      <c r="B116" s="312"/>
      <c r="C116" s="312"/>
      <c r="D116" s="328">
        <f>IF(ISNUMBER(SEARCH(ZAKL_DATA!$B$14,E116)),MAX($D$2:D115)+1,0)</f>
        <v>114</v>
      </c>
      <c r="E116" s="342" t="s">
        <v>1283</v>
      </c>
      <c r="F116" s="343">
        <v>2712</v>
      </c>
      <c r="G116" s="344"/>
      <c r="H116" s="345" t="str">
        <f>IFERROR(VLOOKUP(ROWS($H$3:H116),$D$3:$E$204,2,0),"")</f>
        <v>RYCHNOV NAD KNĚŽ.</v>
      </c>
      <c r="I116" s="312"/>
      <c r="J116" s="347" t="s">
        <v>1284</v>
      </c>
      <c r="K116" s="334" t="s">
        <v>1285</v>
      </c>
      <c r="M116" s="335">
        <f>IF(ISNUMBER(SEARCH(ZAKL_DATA!$B$29,N116)),MAX($M$2:M115)+1,0)</f>
        <v>114</v>
      </c>
      <c r="N116" s="336" t="s">
        <v>1286</v>
      </c>
      <c r="O116" s="337" t="s">
        <v>1287</v>
      </c>
      <c r="P116" s="338"/>
      <c r="Q116" s="339" t="str">
        <f>IFERROR(VLOOKUP(ROWS($Q$3:Q116),$M$3:$N$992,2,0),"")</f>
        <v>Zpracování a konzervování ovoce a zeleniny</v>
      </c>
      <c r="R116">
        <f>IF(ISNUMBER(SEARCH('1Př1'!$A$33,N116)),MAX($M$2:M115)+1,0)</f>
        <v>114</v>
      </c>
      <c r="S116" s="336" t="s">
        <v>1286</v>
      </c>
      <c r="T116" t="str">
        <f>IFERROR(VLOOKUP(ROWS($T$3:T116),$R$3:$S$992,2,0),"")</f>
        <v>Zpracování a konzervování ovoce a zeleniny</v>
      </c>
      <c r="U116">
        <f>IF(ISNUMBER(SEARCH('1Př1'!$A$34,N116)),MAX($M$2:M115)+1,0)</f>
        <v>114</v>
      </c>
      <c r="V116" s="336" t="s">
        <v>1286</v>
      </c>
      <c r="W116" t="str">
        <f>IFERROR(VLOOKUP(ROWS($W$3:W116),$U$3:$V$992,2,0),"")</f>
        <v>Zpracování a konzervování ovoce a zeleniny</v>
      </c>
      <c r="X116">
        <f>IF(ISNUMBER(SEARCH('1Př1'!$A$35,N116)),MAX($M$2:M115)+1,0)</f>
        <v>114</v>
      </c>
      <c r="Y116" s="336" t="s">
        <v>1286</v>
      </c>
      <c r="Z116" t="str">
        <f>IFERROR(VLOOKUP(ROWS($Z$3:Z116),$X$3:$Y$992,2,0),"")</f>
        <v>Zpracování a konzervování ovoce a zeleniny</v>
      </c>
    </row>
    <row r="117" spans="1:26" ht="12.75" customHeight="1">
      <c r="A117" s="312"/>
      <c r="B117" s="312"/>
      <c r="C117" s="312"/>
      <c r="D117" s="328">
        <f>IF(ISNUMBER(SEARCH(ZAKL_DATA!$B$14,E117)),MAX($D$2:D116)+1,0)</f>
        <v>115</v>
      </c>
      <c r="E117" s="342" t="s">
        <v>1288</v>
      </c>
      <c r="F117" s="343">
        <v>2713</v>
      </c>
      <c r="G117" s="344"/>
      <c r="H117" s="345" t="str">
        <f>IFERROR(VLOOKUP(ROWS($H$3:H117),$D$3:$E$204,2,0),"")</f>
        <v>TRUTNOV</v>
      </c>
      <c r="I117" s="312"/>
      <c r="J117" s="347" t="s">
        <v>1289</v>
      </c>
      <c r="K117" s="334" t="s">
        <v>1290</v>
      </c>
      <c r="M117" s="335">
        <f>IF(ISNUMBER(SEARCH(ZAKL_DATA!$B$29,N117)),MAX($M$2:M116)+1,0)</f>
        <v>115</v>
      </c>
      <c r="N117" s="336" t="s">
        <v>1291</v>
      </c>
      <c r="O117" s="337" t="s">
        <v>1292</v>
      </c>
      <c r="P117" s="338"/>
      <c r="Q117" s="339" t="str">
        <f>IFERROR(VLOOKUP(ROWS($Q$3:Q117),$M$3:$N$992,2,0),"")</f>
        <v>Výroba rostlinných a živočišných olejů a tuků</v>
      </c>
      <c r="R117">
        <f>IF(ISNUMBER(SEARCH('1Př1'!$A$33,N117)),MAX($M$2:M116)+1,0)</f>
        <v>115</v>
      </c>
      <c r="S117" s="336" t="s">
        <v>1291</v>
      </c>
      <c r="T117" t="str">
        <f>IFERROR(VLOOKUP(ROWS($T$3:T117),$R$3:$S$992,2,0),"")</f>
        <v>Výroba rostlinných a živočišných olejů a tuků</v>
      </c>
      <c r="U117">
        <f>IF(ISNUMBER(SEARCH('1Př1'!$A$34,N117)),MAX($M$2:M116)+1,0)</f>
        <v>115</v>
      </c>
      <c r="V117" s="336" t="s">
        <v>1291</v>
      </c>
      <c r="W117" t="str">
        <f>IFERROR(VLOOKUP(ROWS($W$3:W117),$U$3:$V$992,2,0),"")</f>
        <v>Výroba rostlinných a živočišných olejů a tuků</v>
      </c>
      <c r="X117">
        <f>IF(ISNUMBER(SEARCH('1Př1'!$A$35,N117)),MAX($M$2:M116)+1,0)</f>
        <v>115</v>
      </c>
      <c r="Y117" s="336" t="s">
        <v>1291</v>
      </c>
      <c r="Z117" t="str">
        <f>IFERROR(VLOOKUP(ROWS($Z$3:Z117),$X$3:$Y$992,2,0),"")</f>
        <v>Výroba rostlinných a živočišných olejů a tuků</v>
      </c>
    </row>
    <row r="118" spans="1:26" ht="12.75" customHeight="1">
      <c r="A118" s="312"/>
      <c r="B118" s="312"/>
      <c r="C118" s="312"/>
      <c r="D118" s="328">
        <f>IF(ISNUMBER(SEARCH(ZAKL_DATA!$B$14,E118)),MAX($D$2:D117)+1,0)</f>
        <v>116</v>
      </c>
      <c r="E118" s="342" t="s">
        <v>1293</v>
      </c>
      <c r="F118" s="343">
        <v>2714</v>
      </c>
      <c r="G118" s="344"/>
      <c r="H118" s="345" t="str">
        <f>IFERROR(VLOOKUP(ROWS($H$3:H118),$D$3:$E$204,2,0),"")</f>
        <v>VRCHLABÍ</v>
      </c>
      <c r="I118" s="312"/>
      <c r="J118" s="347" t="s">
        <v>1294</v>
      </c>
      <c r="K118" s="334" t="s">
        <v>1295</v>
      </c>
      <c r="M118" s="335">
        <f>IF(ISNUMBER(SEARCH(ZAKL_DATA!$B$29,N118)),MAX($M$2:M117)+1,0)</f>
        <v>116</v>
      </c>
      <c r="N118" s="336" t="s">
        <v>1296</v>
      </c>
      <c r="O118" s="337" t="s">
        <v>1297</v>
      </c>
      <c r="P118" s="338"/>
      <c r="Q118" s="339" t="str">
        <f>IFERROR(VLOOKUP(ROWS($Q$3:Q118),$M$3:$N$992,2,0),"")</f>
        <v>Výroba mléčných výrobků</v>
      </c>
      <c r="R118">
        <f>IF(ISNUMBER(SEARCH('1Př1'!$A$33,N118)),MAX($M$2:M117)+1,0)</f>
        <v>116</v>
      </c>
      <c r="S118" s="336" t="s">
        <v>1296</v>
      </c>
      <c r="T118" t="str">
        <f>IFERROR(VLOOKUP(ROWS($T$3:T118),$R$3:$S$992,2,0),"")</f>
        <v>Výroba mléčných výrobků</v>
      </c>
      <c r="U118">
        <f>IF(ISNUMBER(SEARCH('1Př1'!$A$34,N118)),MAX($M$2:M117)+1,0)</f>
        <v>116</v>
      </c>
      <c r="V118" s="336" t="s">
        <v>1296</v>
      </c>
      <c r="W118" t="str">
        <f>IFERROR(VLOOKUP(ROWS($W$3:W118),$U$3:$V$992,2,0),"")</f>
        <v>Výroba mléčných výrobků</v>
      </c>
      <c r="X118">
        <f>IF(ISNUMBER(SEARCH('1Př1'!$A$35,N118)),MAX($M$2:M117)+1,0)</f>
        <v>116</v>
      </c>
      <c r="Y118" s="336" t="s">
        <v>1296</v>
      </c>
      <c r="Z118" t="str">
        <f>IFERROR(VLOOKUP(ROWS($Z$3:Z118),$X$3:$Y$992,2,0),"")</f>
        <v>Výroba mléčných výrobků</v>
      </c>
    </row>
    <row r="119" spans="1:26" ht="12.75" customHeight="1">
      <c r="A119" s="312"/>
      <c r="B119" s="312"/>
      <c r="C119" s="312"/>
      <c r="D119" s="328">
        <f>IF(ISNUMBER(SEARCH(ZAKL_DATA!$B$14,E119)),MAX($D$2:D118)+1,0)</f>
        <v>117</v>
      </c>
      <c r="E119" s="342" t="s">
        <v>1298</v>
      </c>
      <c r="F119" s="343">
        <v>2801</v>
      </c>
      <c r="G119" s="344"/>
      <c r="H119" s="345" t="str">
        <f>IFERROR(VLOOKUP(ROWS($H$3:H119),$D$3:$E$204,2,0),"")</f>
        <v>PARDUBICE</v>
      </c>
      <c r="I119" s="312"/>
      <c r="J119" s="347" t="s">
        <v>1299</v>
      </c>
      <c r="K119" s="334" t="s">
        <v>1300</v>
      </c>
      <c r="M119" s="335">
        <f>IF(ISNUMBER(SEARCH(ZAKL_DATA!$B$29,N119)),MAX($M$2:M118)+1,0)</f>
        <v>117</v>
      </c>
      <c r="N119" s="336" t="s">
        <v>1301</v>
      </c>
      <c r="O119" s="337" t="s">
        <v>1302</v>
      </c>
      <c r="P119" s="338"/>
      <c r="Q119" s="339" t="str">
        <f>IFERROR(VLOOKUP(ROWS($Q$3:Q119),$M$3:$N$992,2,0),"")</f>
        <v>Výroba mlýnských a škrobárenských výrobků</v>
      </c>
      <c r="R119">
        <f>IF(ISNUMBER(SEARCH('1Př1'!$A$33,N119)),MAX($M$2:M118)+1,0)</f>
        <v>117</v>
      </c>
      <c r="S119" s="336" t="s">
        <v>1301</v>
      </c>
      <c r="T119" t="str">
        <f>IFERROR(VLOOKUP(ROWS($T$3:T119),$R$3:$S$992,2,0),"")</f>
        <v>Výroba mlýnských a škrobárenských výrobků</v>
      </c>
      <c r="U119">
        <f>IF(ISNUMBER(SEARCH('1Př1'!$A$34,N119)),MAX($M$2:M118)+1,0)</f>
        <v>117</v>
      </c>
      <c r="V119" s="336" t="s">
        <v>1301</v>
      </c>
      <c r="W119" t="str">
        <f>IFERROR(VLOOKUP(ROWS($W$3:W119),$U$3:$V$992,2,0),"")</f>
        <v>Výroba mlýnských a škrobárenských výrobků</v>
      </c>
      <c r="X119">
        <f>IF(ISNUMBER(SEARCH('1Př1'!$A$35,N119)),MAX($M$2:M118)+1,0)</f>
        <v>117</v>
      </c>
      <c r="Y119" s="336" t="s">
        <v>1301</v>
      </c>
      <c r="Z119" t="str">
        <f>IFERROR(VLOOKUP(ROWS($Z$3:Z119),$X$3:$Y$992,2,0),"")</f>
        <v>Výroba mlýnských a škrobárenských výrobků</v>
      </c>
    </row>
    <row r="120" spans="1:26" ht="12.75" customHeight="1">
      <c r="A120" s="312"/>
      <c r="B120" s="312"/>
      <c r="C120" s="312"/>
      <c r="D120" s="328">
        <f>IF(ISNUMBER(SEARCH(ZAKL_DATA!$B$14,E120)),MAX($D$2:D119)+1,0)</f>
        <v>118</v>
      </c>
      <c r="E120" s="342" t="s">
        <v>1303</v>
      </c>
      <c r="F120" s="343">
        <v>2802</v>
      </c>
      <c r="G120" s="344"/>
      <c r="H120" s="345" t="str">
        <f>IFERROR(VLOOKUP(ROWS($H$3:H120),$D$3:$E$204,2,0),"")</f>
        <v>HLINSKO</v>
      </c>
      <c r="I120" s="312"/>
      <c r="J120" s="347" t="s">
        <v>1304</v>
      </c>
      <c r="K120" s="334" t="s">
        <v>1305</v>
      </c>
      <c r="M120" s="335">
        <f>IF(ISNUMBER(SEARCH(ZAKL_DATA!$B$29,N120)),MAX($M$2:M119)+1,0)</f>
        <v>118</v>
      </c>
      <c r="N120" s="336" t="s">
        <v>1306</v>
      </c>
      <c r="O120" s="337" t="s">
        <v>1307</v>
      </c>
      <c r="P120" s="338"/>
      <c r="Q120" s="339" t="str">
        <f>IFERROR(VLOOKUP(ROWS($Q$3:Q120),$M$3:$N$992,2,0),"")</f>
        <v>Výroba pekařských, cukrářských a jiných moučných výrobků</v>
      </c>
      <c r="R120">
        <f>IF(ISNUMBER(SEARCH('1Př1'!$A$33,N120)),MAX($M$2:M119)+1,0)</f>
        <v>118</v>
      </c>
      <c r="S120" s="336" t="s">
        <v>1306</v>
      </c>
      <c r="T120" t="str">
        <f>IFERROR(VLOOKUP(ROWS($T$3:T120),$R$3:$S$992,2,0),"")</f>
        <v>Výroba pekařských, cukrářských a jiných moučných výrobků</v>
      </c>
      <c r="U120">
        <f>IF(ISNUMBER(SEARCH('1Př1'!$A$34,N120)),MAX($M$2:M119)+1,0)</f>
        <v>118</v>
      </c>
      <c r="V120" s="336" t="s">
        <v>1306</v>
      </c>
      <c r="W120" t="str">
        <f>IFERROR(VLOOKUP(ROWS($W$3:W120),$U$3:$V$992,2,0),"")</f>
        <v>Výroba pekařských, cukrářských a jiných moučných výrobků</v>
      </c>
      <c r="X120">
        <f>IF(ISNUMBER(SEARCH('1Př1'!$A$35,N120)),MAX($M$2:M119)+1,0)</f>
        <v>118</v>
      </c>
      <c r="Y120" s="336" t="s">
        <v>1306</v>
      </c>
      <c r="Z120" t="str">
        <f>IFERROR(VLOOKUP(ROWS($Z$3:Z120),$X$3:$Y$992,2,0),"")</f>
        <v>Výroba pekařských, cukrářských a jiných moučných výrobků</v>
      </c>
    </row>
    <row r="121" spans="1:26" ht="12.75" customHeight="1">
      <c r="A121" s="312"/>
      <c r="B121" s="312"/>
      <c r="C121" s="312"/>
      <c r="D121" s="328">
        <f>IF(ISNUMBER(SEARCH(ZAKL_DATA!$B$14,E121)),MAX($D$2:D120)+1,0)</f>
        <v>119</v>
      </c>
      <c r="E121" s="342" t="s">
        <v>1308</v>
      </c>
      <c r="F121" s="343">
        <v>2803</v>
      </c>
      <c r="G121" s="344"/>
      <c r="H121" s="345" t="str">
        <f>IFERROR(VLOOKUP(ROWS($H$3:H121),$D$3:$E$204,2,0),"")</f>
        <v>HOLICE</v>
      </c>
      <c r="I121" s="312"/>
      <c r="J121" s="347" t="s">
        <v>1309</v>
      </c>
      <c r="K121" s="334" t="s">
        <v>1310</v>
      </c>
      <c r="M121" s="335">
        <f>IF(ISNUMBER(SEARCH(ZAKL_DATA!$B$29,N121)),MAX($M$2:M120)+1,0)</f>
        <v>119</v>
      </c>
      <c r="N121" s="336" t="s">
        <v>1311</v>
      </c>
      <c r="O121" s="337" t="s">
        <v>1312</v>
      </c>
      <c r="P121" s="338"/>
      <c r="Q121" s="339" t="str">
        <f>IFERROR(VLOOKUP(ROWS($Q$3:Q121),$M$3:$N$992,2,0),"")</f>
        <v>Výroba ostatních potravinářských výrobků</v>
      </c>
      <c r="R121">
        <f>IF(ISNUMBER(SEARCH('1Př1'!$A$33,N121)),MAX($M$2:M120)+1,0)</f>
        <v>119</v>
      </c>
      <c r="S121" s="336" t="s">
        <v>1311</v>
      </c>
      <c r="T121" t="str">
        <f>IFERROR(VLOOKUP(ROWS($T$3:T121),$R$3:$S$992,2,0),"")</f>
        <v>Výroba ostatních potravinářských výrobků</v>
      </c>
      <c r="U121">
        <f>IF(ISNUMBER(SEARCH('1Př1'!$A$34,N121)),MAX($M$2:M120)+1,0)</f>
        <v>119</v>
      </c>
      <c r="V121" s="336" t="s">
        <v>1311</v>
      </c>
      <c r="W121" t="str">
        <f>IFERROR(VLOOKUP(ROWS($W$3:W121),$U$3:$V$992,2,0),"")</f>
        <v>Výroba ostatních potravinářských výrobků</v>
      </c>
      <c r="X121">
        <f>IF(ISNUMBER(SEARCH('1Př1'!$A$35,N121)),MAX($M$2:M120)+1,0)</f>
        <v>119</v>
      </c>
      <c r="Y121" s="336" t="s">
        <v>1311</v>
      </c>
      <c r="Z121" t="str">
        <f>IFERROR(VLOOKUP(ROWS($Z$3:Z121),$X$3:$Y$992,2,0),"")</f>
        <v>Výroba ostatních potravinářských výrobků</v>
      </c>
    </row>
    <row r="122" spans="1:26" ht="12.75" customHeight="1">
      <c r="A122" s="312"/>
      <c r="B122" s="312"/>
      <c r="C122" s="312"/>
      <c r="D122" s="328">
        <f>IF(ISNUMBER(SEARCH(ZAKL_DATA!$B$14,E122)),MAX($D$2:D121)+1,0)</f>
        <v>120</v>
      </c>
      <c r="E122" s="342" t="s">
        <v>1313</v>
      </c>
      <c r="F122" s="343">
        <v>2804</v>
      </c>
      <c r="G122" s="344"/>
      <c r="H122" s="345" t="str">
        <f>IFERROR(VLOOKUP(ROWS($H$3:H122),$D$3:$E$204,2,0),"")</f>
        <v>CHRUDIM</v>
      </c>
      <c r="I122" s="312"/>
      <c r="J122" s="347" t="s">
        <v>1314</v>
      </c>
      <c r="K122" s="334" t="s">
        <v>1315</v>
      </c>
      <c r="M122" s="335">
        <f>IF(ISNUMBER(SEARCH(ZAKL_DATA!$B$29,N122)),MAX($M$2:M121)+1,0)</f>
        <v>120</v>
      </c>
      <c r="N122" s="336" t="s">
        <v>1316</v>
      </c>
      <c r="O122" s="337" t="s">
        <v>1317</v>
      </c>
      <c r="P122" s="338"/>
      <c r="Q122" s="339" t="str">
        <f>IFERROR(VLOOKUP(ROWS($Q$3:Q122),$M$3:$N$992,2,0),"")</f>
        <v>Výroba průmyslových krmiv</v>
      </c>
      <c r="R122">
        <f>IF(ISNUMBER(SEARCH('1Př1'!$A$33,N122)),MAX($M$2:M121)+1,0)</f>
        <v>120</v>
      </c>
      <c r="S122" s="336" t="s">
        <v>1316</v>
      </c>
      <c r="T122" t="str">
        <f>IFERROR(VLOOKUP(ROWS($T$3:T122),$R$3:$S$992,2,0),"")</f>
        <v>Výroba průmyslových krmiv</v>
      </c>
      <c r="U122">
        <f>IF(ISNUMBER(SEARCH('1Př1'!$A$34,N122)),MAX($M$2:M121)+1,0)</f>
        <v>120</v>
      </c>
      <c r="V122" s="336" t="s">
        <v>1316</v>
      </c>
      <c r="W122" t="str">
        <f>IFERROR(VLOOKUP(ROWS($W$3:W122),$U$3:$V$992,2,0),"")</f>
        <v>Výroba průmyslových krmiv</v>
      </c>
      <c r="X122">
        <f>IF(ISNUMBER(SEARCH('1Př1'!$A$35,N122)),MAX($M$2:M121)+1,0)</f>
        <v>120</v>
      </c>
      <c r="Y122" s="336" t="s">
        <v>1316</v>
      </c>
      <c r="Z122" t="str">
        <f>IFERROR(VLOOKUP(ROWS($Z$3:Z122),$X$3:$Y$992,2,0),"")</f>
        <v>Výroba průmyslových krmiv</v>
      </c>
    </row>
    <row r="123" spans="1:26" ht="12.75" customHeight="1">
      <c r="A123" s="312"/>
      <c r="B123" s="312"/>
      <c r="C123" s="312"/>
      <c r="D123" s="328">
        <f>IF(ISNUMBER(SEARCH(ZAKL_DATA!$B$14,E123)),MAX($D$2:D122)+1,0)</f>
        <v>121</v>
      </c>
      <c r="E123" s="342" t="s">
        <v>1318</v>
      </c>
      <c r="F123" s="343">
        <v>2805</v>
      </c>
      <c r="G123" s="344"/>
      <c r="H123" s="345" t="str">
        <f>IFERROR(VLOOKUP(ROWS($H$3:H123),$D$3:$E$204,2,0),"")</f>
        <v>LITOMYŠL</v>
      </c>
      <c r="I123" s="312"/>
      <c r="J123" s="347" t="s">
        <v>1319</v>
      </c>
      <c r="K123" s="334" t="s">
        <v>1320</v>
      </c>
      <c r="M123" s="335">
        <f>IF(ISNUMBER(SEARCH(ZAKL_DATA!$B$29,N123)),MAX($M$2:M122)+1,0)</f>
        <v>121</v>
      </c>
      <c r="N123" s="336" t="s">
        <v>1321</v>
      </c>
      <c r="O123" s="353" t="s">
        <v>1322</v>
      </c>
      <c r="P123" s="338"/>
      <c r="Q123" s="339" t="str">
        <f>IFERROR(VLOOKUP(ROWS($Q$3:Q123),$M$3:$N$992,2,0),"")</f>
        <v>Pěstování obilovin (kromě rýže), luštěnin a olejnatých semen</v>
      </c>
      <c r="R123">
        <f>IF(ISNUMBER(SEARCH('1Př1'!$A$33,N123)),MAX($M$2:M122)+1,0)</f>
        <v>121</v>
      </c>
      <c r="S123" s="336" t="s">
        <v>1321</v>
      </c>
      <c r="T123" t="str">
        <f>IFERROR(VLOOKUP(ROWS($T$3:T123),$R$3:$S$992,2,0),"")</f>
        <v>Pěstování obilovin (kromě rýže), luštěnin a olejnatých semen</v>
      </c>
      <c r="U123">
        <f>IF(ISNUMBER(SEARCH('1Př1'!$A$34,N123)),MAX($M$2:M122)+1,0)</f>
        <v>121</v>
      </c>
      <c r="V123" s="336" t="s">
        <v>1321</v>
      </c>
      <c r="W123" t="str">
        <f>IFERROR(VLOOKUP(ROWS($W$3:W123),$U$3:$V$992,2,0),"")</f>
        <v>Pěstování obilovin (kromě rýže), luštěnin a olejnatých semen</v>
      </c>
      <c r="X123">
        <f>IF(ISNUMBER(SEARCH('1Př1'!$A$35,N123)),MAX($M$2:M122)+1,0)</f>
        <v>121</v>
      </c>
      <c r="Y123" s="336" t="s">
        <v>1321</v>
      </c>
      <c r="Z123" t="str">
        <f>IFERROR(VLOOKUP(ROWS($Z$3:Z123),$X$3:$Y$992,2,0),"")</f>
        <v>Pěstování obilovin (kromě rýže), luštěnin a olejnatých semen</v>
      </c>
    </row>
    <row r="124" spans="1:26" ht="12.75" customHeight="1">
      <c r="A124" s="312"/>
      <c r="B124" s="312"/>
      <c r="C124" s="312"/>
      <c r="D124" s="328">
        <f>IF(ISNUMBER(SEARCH(ZAKL_DATA!$B$14,E124)),MAX($D$2:D123)+1,0)</f>
        <v>122</v>
      </c>
      <c r="E124" s="342" t="s">
        <v>1323</v>
      </c>
      <c r="F124" s="343">
        <v>2806</v>
      </c>
      <c r="G124" s="344"/>
      <c r="H124" s="345" t="str">
        <f>IFERROR(VLOOKUP(ROWS($H$3:H124),$D$3:$E$204,2,0),"")</f>
        <v>MORAVSKÁ TŘEBOVÁ</v>
      </c>
      <c r="I124" s="312"/>
      <c r="J124" s="354" t="s">
        <v>1324</v>
      </c>
      <c r="K124" s="355" t="s">
        <v>1325</v>
      </c>
      <c r="M124" s="335">
        <f>IF(ISNUMBER(SEARCH(ZAKL_DATA!$B$29,N124)),MAX($M$2:M123)+1,0)</f>
        <v>122</v>
      </c>
      <c r="N124" s="336" t="s">
        <v>1326</v>
      </c>
      <c r="O124" s="353" t="s">
        <v>1327</v>
      </c>
      <c r="P124" s="338"/>
      <c r="Q124" s="339" t="str">
        <f>IFERROR(VLOOKUP(ROWS($Q$3:Q124),$M$3:$N$992,2,0),"")</f>
        <v>Pěstování rýže</v>
      </c>
      <c r="R124">
        <f>IF(ISNUMBER(SEARCH('1Př1'!$A$33,N124)),MAX($M$2:M123)+1,0)</f>
        <v>122</v>
      </c>
      <c r="S124" s="336" t="s">
        <v>1326</v>
      </c>
      <c r="T124" t="str">
        <f>IFERROR(VLOOKUP(ROWS($T$3:T124),$R$3:$S$992,2,0),"")</f>
        <v>Pěstování rýže</v>
      </c>
      <c r="U124">
        <f>IF(ISNUMBER(SEARCH('1Př1'!$A$34,N124)),MAX($M$2:M123)+1,0)</f>
        <v>122</v>
      </c>
      <c r="V124" s="336" t="s">
        <v>1326</v>
      </c>
      <c r="W124" t="str">
        <f>IFERROR(VLOOKUP(ROWS($W$3:W124),$U$3:$V$992,2,0),"")</f>
        <v>Pěstování rýže</v>
      </c>
      <c r="X124">
        <f>IF(ISNUMBER(SEARCH('1Př1'!$A$35,N124)),MAX($M$2:M123)+1,0)</f>
        <v>122</v>
      </c>
      <c r="Y124" s="336" t="s">
        <v>1326</v>
      </c>
      <c r="Z124" t="str">
        <f>IFERROR(VLOOKUP(ROWS($Z$3:Z124),$X$3:$Y$992,2,0),"")</f>
        <v>Pěstování rýže</v>
      </c>
    </row>
    <row r="125" spans="1:26" ht="12.75" customHeight="1">
      <c r="A125" s="312"/>
      <c r="B125" s="312"/>
      <c r="C125" s="312"/>
      <c r="D125" s="328">
        <f>IF(ISNUMBER(SEARCH(ZAKL_DATA!$B$14,E125)),MAX($D$2:D124)+1,0)</f>
        <v>123</v>
      </c>
      <c r="E125" s="342" t="s">
        <v>1328</v>
      </c>
      <c r="F125" s="343">
        <v>2807</v>
      </c>
      <c r="G125" s="344"/>
      <c r="H125" s="345" t="str">
        <f>IFERROR(VLOOKUP(ROWS($H$3:H125),$D$3:$E$204,2,0),"")</f>
        <v>PŘELOUČ</v>
      </c>
      <c r="I125" s="312"/>
      <c r="J125" s="347" t="s">
        <v>1329</v>
      </c>
      <c r="K125" s="334" t="s">
        <v>1330</v>
      </c>
      <c r="M125" s="335">
        <f>IF(ISNUMBER(SEARCH(ZAKL_DATA!$B$29,N125)),MAX($M$2:M124)+1,0)</f>
        <v>123</v>
      </c>
      <c r="N125" s="336" t="s">
        <v>1331</v>
      </c>
      <c r="O125" s="353" t="s">
        <v>1332</v>
      </c>
      <c r="P125" s="338"/>
      <c r="Q125" s="339" t="str">
        <f>IFERROR(VLOOKUP(ROWS($Q$3:Q125),$M$3:$N$992,2,0),"")</f>
        <v>Pěstování zeleniny a melounů, kořenů a hlíz</v>
      </c>
      <c r="R125">
        <f>IF(ISNUMBER(SEARCH('1Př1'!$A$33,N125)),MAX($M$2:M124)+1,0)</f>
        <v>123</v>
      </c>
      <c r="S125" s="336" t="s">
        <v>1331</v>
      </c>
      <c r="T125" t="str">
        <f>IFERROR(VLOOKUP(ROWS($T$3:T125),$R$3:$S$992,2,0),"")</f>
        <v>Pěstování zeleniny a melounů, kořenů a hlíz</v>
      </c>
      <c r="U125">
        <f>IF(ISNUMBER(SEARCH('1Př1'!$A$34,N125)),MAX($M$2:M124)+1,0)</f>
        <v>123</v>
      </c>
      <c r="V125" s="336" t="s">
        <v>1331</v>
      </c>
      <c r="W125" t="str">
        <f>IFERROR(VLOOKUP(ROWS($W$3:W125),$U$3:$V$992,2,0),"")</f>
        <v>Pěstování zeleniny a melounů, kořenů a hlíz</v>
      </c>
      <c r="X125">
        <f>IF(ISNUMBER(SEARCH('1Př1'!$A$35,N125)),MAX($M$2:M124)+1,0)</f>
        <v>123</v>
      </c>
      <c r="Y125" s="336" t="s">
        <v>1331</v>
      </c>
      <c r="Z125" t="str">
        <f>IFERROR(VLOOKUP(ROWS($Z$3:Z125),$X$3:$Y$992,2,0),"")</f>
        <v>Pěstování zeleniny a melounů, kořenů a hlíz</v>
      </c>
    </row>
    <row r="126" spans="1:26" ht="12.75" customHeight="1">
      <c r="A126" s="312"/>
      <c r="B126" s="312"/>
      <c r="C126" s="312"/>
      <c r="D126" s="328">
        <f>IF(ISNUMBER(SEARCH(ZAKL_DATA!$B$14,E126)),MAX($D$2:D125)+1,0)</f>
        <v>124</v>
      </c>
      <c r="E126" s="342" t="s">
        <v>1333</v>
      </c>
      <c r="F126" s="343">
        <v>2808</v>
      </c>
      <c r="G126" s="344"/>
      <c r="H126" s="345" t="str">
        <f>IFERROR(VLOOKUP(ROWS($H$3:H126),$D$3:$E$204,2,0),"")</f>
        <v>SVITAVY</v>
      </c>
      <c r="I126" s="312"/>
      <c r="J126" s="347" t="s">
        <v>1334</v>
      </c>
      <c r="K126" s="334" t="s">
        <v>1335</v>
      </c>
      <c r="M126" s="335">
        <f>IF(ISNUMBER(SEARCH(ZAKL_DATA!$B$29,N126)),MAX($M$2:M125)+1,0)</f>
        <v>124</v>
      </c>
      <c r="N126" s="336" t="s">
        <v>1336</v>
      </c>
      <c r="O126" s="353" t="s">
        <v>1337</v>
      </c>
      <c r="P126" s="338"/>
      <c r="Q126" s="339" t="str">
        <f>IFERROR(VLOOKUP(ROWS($Q$3:Q126),$M$3:$N$992,2,0),"")</f>
        <v>Pěstování tabáku</v>
      </c>
      <c r="R126">
        <f>IF(ISNUMBER(SEARCH('1Př1'!$A$33,N126)),MAX($M$2:M125)+1,0)</f>
        <v>124</v>
      </c>
      <c r="S126" s="336" t="s">
        <v>1336</v>
      </c>
      <c r="T126" t="str">
        <f>IFERROR(VLOOKUP(ROWS($T$3:T126),$R$3:$S$992,2,0),"")</f>
        <v>Pěstování tabáku</v>
      </c>
      <c r="U126">
        <f>IF(ISNUMBER(SEARCH('1Př1'!$A$34,N126)),MAX($M$2:M125)+1,0)</f>
        <v>124</v>
      </c>
      <c r="V126" s="336" t="s">
        <v>1336</v>
      </c>
      <c r="W126" t="str">
        <f>IFERROR(VLOOKUP(ROWS($W$3:W126),$U$3:$V$992,2,0),"")</f>
        <v>Pěstování tabáku</v>
      </c>
      <c r="X126">
        <f>IF(ISNUMBER(SEARCH('1Př1'!$A$35,N126)),MAX($M$2:M125)+1,0)</f>
        <v>124</v>
      </c>
      <c r="Y126" s="336" t="s">
        <v>1336</v>
      </c>
      <c r="Z126" t="str">
        <f>IFERROR(VLOOKUP(ROWS($Z$3:Z126),$X$3:$Y$992,2,0),"")</f>
        <v>Pěstování tabáku</v>
      </c>
    </row>
    <row r="127" spans="1:26" ht="12.75" customHeight="1">
      <c r="A127" s="312"/>
      <c r="B127" s="312"/>
      <c r="C127" s="312"/>
      <c r="D127" s="328">
        <f>IF(ISNUMBER(SEARCH(ZAKL_DATA!$B$14,E127)),MAX($D$2:D126)+1,0)</f>
        <v>125</v>
      </c>
      <c r="E127" s="342" t="s">
        <v>1338</v>
      </c>
      <c r="F127" s="343">
        <v>2809</v>
      </c>
      <c r="G127" s="344"/>
      <c r="H127" s="345" t="str">
        <f>IFERROR(VLOOKUP(ROWS($H$3:H127),$D$3:$E$204,2,0),"")</f>
        <v>ÚSTÍ NAD ORLICÍ</v>
      </c>
      <c r="I127" s="312"/>
      <c r="J127" s="347" t="s">
        <v>1339</v>
      </c>
      <c r="K127" s="334" t="s">
        <v>1340</v>
      </c>
      <c r="M127" s="335">
        <f>IF(ISNUMBER(SEARCH(ZAKL_DATA!$B$29,N127)),MAX($M$2:M126)+1,0)</f>
        <v>125</v>
      </c>
      <c r="N127" s="336" t="s">
        <v>1341</v>
      </c>
      <c r="O127" s="353" t="s">
        <v>1342</v>
      </c>
      <c r="P127" s="338"/>
      <c r="Q127" s="339" t="str">
        <f>IFERROR(VLOOKUP(ROWS($Q$3:Q127),$M$3:$N$992,2,0),"")</f>
        <v>Pěstování přadných rostlin</v>
      </c>
      <c r="R127">
        <f>IF(ISNUMBER(SEARCH('1Př1'!$A$33,N127)),MAX($M$2:M126)+1,0)</f>
        <v>125</v>
      </c>
      <c r="S127" s="336" t="s">
        <v>1341</v>
      </c>
      <c r="T127" t="str">
        <f>IFERROR(VLOOKUP(ROWS($T$3:T127),$R$3:$S$992,2,0),"")</f>
        <v>Pěstování přadných rostlin</v>
      </c>
      <c r="U127">
        <f>IF(ISNUMBER(SEARCH('1Př1'!$A$34,N127)),MAX($M$2:M126)+1,0)</f>
        <v>125</v>
      </c>
      <c r="V127" s="336" t="s">
        <v>1341</v>
      </c>
      <c r="W127" t="str">
        <f>IFERROR(VLOOKUP(ROWS($W$3:W127),$U$3:$V$992,2,0),"")</f>
        <v>Pěstování přadných rostlin</v>
      </c>
      <c r="X127">
        <f>IF(ISNUMBER(SEARCH('1Př1'!$A$35,N127)),MAX($M$2:M126)+1,0)</f>
        <v>125</v>
      </c>
      <c r="Y127" s="336" t="s">
        <v>1341</v>
      </c>
      <c r="Z127" t="str">
        <f>IFERROR(VLOOKUP(ROWS($Z$3:Z127),$X$3:$Y$992,2,0),"")</f>
        <v>Pěstování přadných rostlin</v>
      </c>
    </row>
    <row r="128" spans="1:26" ht="12.75" customHeight="1">
      <c r="A128" s="312"/>
      <c r="B128" s="312"/>
      <c r="C128" s="312"/>
      <c r="D128" s="328">
        <f>IF(ISNUMBER(SEARCH(ZAKL_DATA!$B$14,E128)),MAX($D$2:D127)+1,0)</f>
        <v>126</v>
      </c>
      <c r="E128" s="342" t="s">
        <v>1343</v>
      </c>
      <c r="F128" s="343">
        <v>2810</v>
      </c>
      <c r="G128" s="344"/>
      <c r="H128" s="345" t="str">
        <f>IFERROR(VLOOKUP(ROWS($H$3:H128),$D$3:$E$204,2,0),"")</f>
        <v>VYSOKÉ MÝTO</v>
      </c>
      <c r="I128" s="312"/>
      <c r="J128" s="347" t="s">
        <v>1344</v>
      </c>
      <c r="K128" s="334" t="s">
        <v>1345</v>
      </c>
      <c r="M128" s="335">
        <f>IF(ISNUMBER(SEARCH(ZAKL_DATA!$B$29,N128)),MAX($M$2:M127)+1,0)</f>
        <v>126</v>
      </c>
      <c r="N128" s="336" t="s">
        <v>1346</v>
      </c>
      <c r="O128" s="353" t="s">
        <v>1347</v>
      </c>
      <c r="P128" s="338"/>
      <c r="Q128" s="339" t="str">
        <f>IFERROR(VLOOKUP(ROWS($Q$3:Q128),$M$3:$N$992,2,0),"")</f>
        <v>Pěstování ostatních plodin jiných než trvalých</v>
      </c>
      <c r="R128">
        <f>IF(ISNUMBER(SEARCH('1Př1'!$A$33,N128)),MAX($M$2:M127)+1,0)</f>
        <v>126</v>
      </c>
      <c r="S128" s="336" t="s">
        <v>1346</v>
      </c>
      <c r="T128" t="str">
        <f>IFERROR(VLOOKUP(ROWS($T$3:T128),$R$3:$S$992,2,0),"")</f>
        <v>Pěstování ostatních plodin jiných než trvalých</v>
      </c>
      <c r="U128">
        <f>IF(ISNUMBER(SEARCH('1Př1'!$A$34,N128)),MAX($M$2:M127)+1,0)</f>
        <v>126</v>
      </c>
      <c r="V128" s="336" t="s">
        <v>1346</v>
      </c>
      <c r="W128" t="str">
        <f>IFERROR(VLOOKUP(ROWS($W$3:W128),$U$3:$V$992,2,0),"")</f>
        <v>Pěstování ostatních plodin jiných než trvalých</v>
      </c>
      <c r="X128">
        <f>IF(ISNUMBER(SEARCH('1Př1'!$A$35,N128)),MAX($M$2:M127)+1,0)</f>
        <v>126</v>
      </c>
      <c r="Y128" s="336" t="s">
        <v>1346</v>
      </c>
      <c r="Z128" t="str">
        <f>IFERROR(VLOOKUP(ROWS($Z$3:Z128),$X$3:$Y$992,2,0),"")</f>
        <v>Pěstování ostatních plodin jiných než trvalých</v>
      </c>
    </row>
    <row r="129" spans="1:26" ht="12.75" customHeight="1">
      <c r="A129" s="312"/>
      <c r="B129" s="312"/>
      <c r="C129" s="312"/>
      <c r="D129" s="328">
        <f>IF(ISNUMBER(SEARCH(ZAKL_DATA!$B$14,E129)),MAX($D$2:D128)+1,0)</f>
        <v>127</v>
      </c>
      <c r="E129" s="342" t="s">
        <v>1348</v>
      </c>
      <c r="F129" s="343">
        <v>2811</v>
      </c>
      <c r="G129" s="344"/>
      <c r="H129" s="345" t="str">
        <f>IFERROR(VLOOKUP(ROWS($H$3:H129),$D$3:$E$204,2,0),"")</f>
        <v>ŽAMBERK</v>
      </c>
      <c r="I129" s="312"/>
      <c r="J129" s="347" t="s">
        <v>1349</v>
      </c>
      <c r="K129" s="334" t="s">
        <v>1350</v>
      </c>
      <c r="M129" s="335">
        <f>IF(ISNUMBER(SEARCH(ZAKL_DATA!$B$29,N129)),MAX($M$2:M128)+1,0)</f>
        <v>127</v>
      </c>
      <c r="N129" s="336" t="s">
        <v>1351</v>
      </c>
      <c r="O129" s="353" t="s">
        <v>1352</v>
      </c>
      <c r="P129" s="338"/>
      <c r="Q129" s="339" t="str">
        <f>IFERROR(VLOOKUP(ROWS($Q$3:Q129),$M$3:$N$992,2,0),"")</f>
        <v>Pěstování vinných hroznů</v>
      </c>
      <c r="R129">
        <f>IF(ISNUMBER(SEARCH('1Př1'!$A$33,N129)),MAX($M$2:M128)+1,0)</f>
        <v>127</v>
      </c>
      <c r="S129" s="336" t="s">
        <v>1351</v>
      </c>
      <c r="T129" t="str">
        <f>IFERROR(VLOOKUP(ROWS($T$3:T129),$R$3:$S$992,2,0),"")</f>
        <v>Pěstování vinných hroznů</v>
      </c>
      <c r="U129">
        <f>IF(ISNUMBER(SEARCH('1Př1'!$A$34,N129)),MAX($M$2:M128)+1,0)</f>
        <v>127</v>
      </c>
      <c r="V129" s="336" t="s">
        <v>1351</v>
      </c>
      <c r="W129" t="str">
        <f>IFERROR(VLOOKUP(ROWS($W$3:W129),$U$3:$V$992,2,0),"")</f>
        <v>Pěstování vinných hroznů</v>
      </c>
      <c r="X129">
        <f>IF(ISNUMBER(SEARCH('1Př1'!$A$35,N129)),MAX($M$2:M128)+1,0)</f>
        <v>127</v>
      </c>
      <c r="Y129" s="336" t="s">
        <v>1351</v>
      </c>
      <c r="Z129" t="str">
        <f>IFERROR(VLOOKUP(ROWS($Z$3:Z129),$X$3:$Y$992,2,0),"")</f>
        <v>Pěstování vinných hroznů</v>
      </c>
    </row>
    <row r="130" spans="1:26" ht="12.75" customHeight="1">
      <c r="A130" s="312"/>
      <c r="B130" s="312"/>
      <c r="C130" s="312"/>
      <c r="D130" s="328">
        <f>IF(ISNUMBER(SEARCH(ZAKL_DATA!$B$14,E130)),MAX($D$2:D129)+1,0)</f>
        <v>128</v>
      </c>
      <c r="E130" s="342" t="s">
        <v>1353</v>
      </c>
      <c r="F130" s="343">
        <v>2901</v>
      </c>
      <c r="G130" s="344"/>
      <c r="H130" s="345" t="str">
        <f>IFERROR(VLOOKUP(ROWS($H$3:H130),$D$3:$E$204,2,0),"")</f>
        <v>JIHLAVA</v>
      </c>
      <c r="I130" s="312"/>
      <c r="J130" s="347" t="s">
        <v>1354</v>
      </c>
      <c r="K130" s="334" t="s">
        <v>1355</v>
      </c>
      <c r="M130" s="335">
        <f>IF(ISNUMBER(SEARCH(ZAKL_DATA!$B$29,N130)),MAX($M$2:M129)+1,0)</f>
        <v>128</v>
      </c>
      <c r="N130" s="336" t="s">
        <v>1356</v>
      </c>
      <c r="O130" s="353" t="s">
        <v>1357</v>
      </c>
      <c r="P130" s="338"/>
      <c r="Q130" s="339" t="str">
        <f>IFERROR(VLOOKUP(ROWS($Q$3:Q130),$M$3:$N$992,2,0),"")</f>
        <v>Pěstování tropického a subtropického ovoce</v>
      </c>
      <c r="R130">
        <f>IF(ISNUMBER(SEARCH('1Př1'!$A$33,N130)),MAX($M$2:M129)+1,0)</f>
        <v>128</v>
      </c>
      <c r="S130" s="336" t="s">
        <v>1356</v>
      </c>
      <c r="T130" t="str">
        <f>IFERROR(VLOOKUP(ROWS($T$3:T130),$R$3:$S$992,2,0),"")</f>
        <v>Pěstování tropického a subtropického ovoce</v>
      </c>
      <c r="U130">
        <f>IF(ISNUMBER(SEARCH('1Př1'!$A$34,N130)),MAX($M$2:M129)+1,0)</f>
        <v>128</v>
      </c>
      <c r="V130" s="336" t="s">
        <v>1356</v>
      </c>
      <c r="W130" t="str">
        <f>IFERROR(VLOOKUP(ROWS($W$3:W130),$U$3:$V$992,2,0),"")</f>
        <v>Pěstování tropického a subtropického ovoce</v>
      </c>
      <c r="X130">
        <f>IF(ISNUMBER(SEARCH('1Př1'!$A$35,N130)),MAX($M$2:M129)+1,0)</f>
        <v>128</v>
      </c>
      <c r="Y130" s="336" t="s">
        <v>1356</v>
      </c>
      <c r="Z130" t="str">
        <f>IFERROR(VLOOKUP(ROWS($Z$3:Z130),$X$3:$Y$992,2,0),"")</f>
        <v>Pěstování tropického a subtropického ovoce</v>
      </c>
    </row>
    <row r="131" spans="1:26" ht="12.75" customHeight="1">
      <c r="A131" s="312"/>
      <c r="B131" s="312"/>
      <c r="C131" s="312"/>
      <c r="D131" s="328">
        <f>IF(ISNUMBER(SEARCH(ZAKL_DATA!$B$14,E131)),MAX($D$2:D130)+1,0)</f>
        <v>129</v>
      </c>
      <c r="E131" s="342" t="s">
        <v>1358</v>
      </c>
      <c r="F131" s="343">
        <v>2902</v>
      </c>
      <c r="G131" s="344"/>
      <c r="H131" s="345" t="str">
        <f>IFERROR(VLOOKUP(ROWS($H$3:H131),$D$3:$E$204,2,0),"")</f>
        <v>BYSTŘICE NAD PERN.</v>
      </c>
      <c r="I131" s="312"/>
      <c r="J131" s="347" t="s">
        <v>1359</v>
      </c>
      <c r="K131" s="334" t="s">
        <v>1360</v>
      </c>
      <c r="M131" s="335">
        <f>IF(ISNUMBER(SEARCH(ZAKL_DATA!$B$29,N131)),MAX($M$2:M130)+1,0)</f>
        <v>129</v>
      </c>
      <c r="N131" s="336" t="s">
        <v>1361</v>
      </c>
      <c r="O131" s="353" t="s">
        <v>1362</v>
      </c>
      <c r="P131" s="338"/>
      <c r="Q131" s="339" t="str">
        <f>IFERROR(VLOOKUP(ROWS($Q$3:Q131),$M$3:$N$992,2,0),"")</f>
        <v>Pěstování citrusových plodů</v>
      </c>
      <c r="R131">
        <f>IF(ISNUMBER(SEARCH('1Př1'!$A$33,N131)),MAX($M$2:M130)+1,0)</f>
        <v>129</v>
      </c>
      <c r="S131" s="336" t="s">
        <v>1361</v>
      </c>
      <c r="T131" t="str">
        <f>IFERROR(VLOOKUP(ROWS($T$3:T131),$R$3:$S$992,2,0),"")</f>
        <v>Pěstování citrusových plodů</v>
      </c>
      <c r="U131">
        <f>IF(ISNUMBER(SEARCH('1Př1'!$A$34,N131)),MAX($M$2:M130)+1,0)</f>
        <v>129</v>
      </c>
      <c r="V131" s="336" t="s">
        <v>1361</v>
      </c>
      <c r="W131" t="str">
        <f>IFERROR(VLOOKUP(ROWS($W$3:W131),$U$3:$V$992,2,0),"")</f>
        <v>Pěstování citrusových plodů</v>
      </c>
      <c r="X131">
        <f>IF(ISNUMBER(SEARCH('1Př1'!$A$35,N131)),MAX($M$2:M130)+1,0)</f>
        <v>129</v>
      </c>
      <c r="Y131" s="336" t="s">
        <v>1361</v>
      </c>
      <c r="Z131" t="str">
        <f>IFERROR(VLOOKUP(ROWS($Z$3:Z131),$X$3:$Y$992,2,0),"")</f>
        <v>Pěstování citrusových plodů</v>
      </c>
    </row>
    <row r="132" spans="1:26" ht="12.75" customHeight="1">
      <c r="A132" s="312"/>
      <c r="B132" s="312"/>
      <c r="C132" s="312"/>
      <c r="D132" s="328">
        <f>IF(ISNUMBER(SEARCH(ZAKL_DATA!$B$14,E132)),MAX($D$2:D131)+1,0)</f>
        <v>130</v>
      </c>
      <c r="E132" s="342" t="s">
        <v>1363</v>
      </c>
      <c r="F132" s="343">
        <v>2903</v>
      </c>
      <c r="G132" s="344"/>
      <c r="H132" s="345" t="str">
        <f>IFERROR(VLOOKUP(ROWS($H$3:H132),$D$3:$E$204,2,0),"")</f>
        <v>HAVLÍČKŮV BROD</v>
      </c>
      <c r="I132" s="312"/>
      <c r="J132" s="347" t="s">
        <v>1364</v>
      </c>
      <c r="K132" s="334" t="s">
        <v>1365</v>
      </c>
      <c r="M132" s="335">
        <f>IF(ISNUMBER(SEARCH(ZAKL_DATA!$B$29,N132)),MAX($M$2:M131)+1,0)</f>
        <v>130</v>
      </c>
      <c r="N132" s="336" t="s">
        <v>1366</v>
      </c>
      <c r="O132" s="353" t="s">
        <v>1367</v>
      </c>
      <c r="P132" s="338"/>
      <c r="Q132" s="339" t="str">
        <f>IFERROR(VLOOKUP(ROWS($Q$3:Q132),$M$3:$N$992,2,0),"")</f>
        <v>Pěstování jádrového a peckového ovoce</v>
      </c>
      <c r="R132">
        <f>IF(ISNUMBER(SEARCH('1Př1'!$A$33,N132)),MAX($M$2:M131)+1,0)</f>
        <v>130</v>
      </c>
      <c r="S132" s="336" t="s">
        <v>1366</v>
      </c>
      <c r="T132" t="str">
        <f>IFERROR(VLOOKUP(ROWS($T$3:T132),$R$3:$S$992,2,0),"")</f>
        <v>Pěstování jádrového a peckového ovoce</v>
      </c>
      <c r="U132">
        <f>IF(ISNUMBER(SEARCH('1Př1'!$A$34,N132)),MAX($M$2:M131)+1,0)</f>
        <v>130</v>
      </c>
      <c r="V132" s="336" t="s">
        <v>1366</v>
      </c>
      <c r="W132" t="str">
        <f>IFERROR(VLOOKUP(ROWS($W$3:W132),$U$3:$V$992,2,0),"")</f>
        <v>Pěstování jádrového a peckového ovoce</v>
      </c>
      <c r="X132">
        <f>IF(ISNUMBER(SEARCH('1Př1'!$A$35,N132)),MAX($M$2:M131)+1,0)</f>
        <v>130</v>
      </c>
      <c r="Y132" s="336" t="s">
        <v>1366</v>
      </c>
      <c r="Z132" t="str">
        <f>IFERROR(VLOOKUP(ROWS($Z$3:Z132),$X$3:$Y$992,2,0),"")</f>
        <v>Pěstování jádrového a peckového ovoce</v>
      </c>
    </row>
    <row r="133" spans="1:26" ht="12.75" customHeight="1">
      <c r="A133" s="312"/>
      <c r="B133" s="312"/>
      <c r="C133" s="312"/>
      <c r="D133" s="328">
        <f>IF(ISNUMBER(SEARCH(ZAKL_DATA!$B$14,E133)),MAX($D$2:D132)+1,0)</f>
        <v>131</v>
      </c>
      <c r="E133" s="342" t="s">
        <v>1368</v>
      </c>
      <c r="F133" s="343">
        <v>2904</v>
      </c>
      <c r="G133" s="344"/>
      <c r="H133" s="345" t="str">
        <f>IFERROR(VLOOKUP(ROWS($H$3:H133),$D$3:$E$204,2,0),"")</f>
        <v>HUMPOLEC</v>
      </c>
      <c r="I133" s="312"/>
      <c r="J133" s="351" t="s">
        <v>1369</v>
      </c>
      <c r="K133" s="352" t="s">
        <v>1370</v>
      </c>
      <c r="M133" s="335">
        <f>IF(ISNUMBER(SEARCH(ZAKL_DATA!$B$29,N133)),MAX($M$2:M132)+1,0)</f>
        <v>131</v>
      </c>
      <c r="N133" s="336" t="s">
        <v>1371</v>
      </c>
      <c r="O133" s="353" t="s">
        <v>1372</v>
      </c>
      <c r="P133" s="338"/>
      <c r="Q133" s="339" t="str">
        <f>IFERROR(VLOOKUP(ROWS($Q$3:Q133),$M$3:$N$992,2,0),"")</f>
        <v>Pěstování ostatního stromového a keřového ovoce a ořechů</v>
      </c>
      <c r="R133">
        <f>IF(ISNUMBER(SEARCH('1Př1'!$A$33,N133)),MAX($M$2:M132)+1,0)</f>
        <v>131</v>
      </c>
      <c r="S133" s="336" t="s">
        <v>1371</v>
      </c>
      <c r="T133" t="str">
        <f>IFERROR(VLOOKUP(ROWS($T$3:T133),$R$3:$S$992,2,0),"")</f>
        <v>Pěstování ostatního stromového a keřového ovoce a ořechů</v>
      </c>
      <c r="U133">
        <f>IF(ISNUMBER(SEARCH('1Př1'!$A$34,N133)),MAX($M$2:M132)+1,0)</f>
        <v>131</v>
      </c>
      <c r="V133" s="336" t="s">
        <v>1371</v>
      </c>
      <c r="W133" t="str">
        <f>IFERROR(VLOOKUP(ROWS($W$3:W133),$U$3:$V$992,2,0),"")</f>
        <v>Pěstování ostatního stromového a keřového ovoce a ořechů</v>
      </c>
      <c r="X133">
        <f>IF(ISNUMBER(SEARCH('1Př1'!$A$35,N133)),MAX($M$2:M132)+1,0)</f>
        <v>131</v>
      </c>
      <c r="Y133" s="336" t="s">
        <v>1371</v>
      </c>
      <c r="Z133" t="str">
        <f>IFERROR(VLOOKUP(ROWS($Z$3:Z133),$X$3:$Y$992,2,0),"")</f>
        <v>Pěstování ostatního stromového a keřového ovoce a ořechů</v>
      </c>
    </row>
    <row r="134" spans="1:26" ht="12.75" customHeight="1">
      <c r="A134" s="312"/>
      <c r="B134" s="312"/>
      <c r="C134" s="312"/>
      <c r="D134" s="328">
        <f>IF(ISNUMBER(SEARCH(ZAKL_DATA!$B$14,E134)),MAX($D$2:D133)+1,0)</f>
        <v>132</v>
      </c>
      <c r="E134" s="342" t="s">
        <v>1373</v>
      </c>
      <c r="F134" s="343">
        <v>2905</v>
      </c>
      <c r="G134" s="344"/>
      <c r="H134" s="345" t="str">
        <f>IFERROR(VLOOKUP(ROWS($H$3:H134),$D$3:$E$204,2,0),"")</f>
        <v>CHOTĚBOŘ</v>
      </c>
      <c r="I134" s="312"/>
      <c r="J134" s="347" t="s">
        <v>1374</v>
      </c>
      <c r="K134" s="334" t="s">
        <v>1375</v>
      </c>
      <c r="M134" s="335">
        <f>IF(ISNUMBER(SEARCH(ZAKL_DATA!$B$29,N134)),MAX($M$2:M133)+1,0)</f>
        <v>132</v>
      </c>
      <c r="N134" s="336" t="s">
        <v>1376</v>
      </c>
      <c r="O134" s="353" t="s">
        <v>1377</v>
      </c>
      <c r="P134" s="338"/>
      <c r="Q134" s="339" t="str">
        <f>IFERROR(VLOOKUP(ROWS($Q$3:Q134),$M$3:$N$992,2,0),"")</f>
        <v>Pěstování olejnatých plodů</v>
      </c>
      <c r="R134">
        <f>IF(ISNUMBER(SEARCH('1Př1'!$A$33,N134)),MAX($M$2:M133)+1,0)</f>
        <v>132</v>
      </c>
      <c r="S134" s="336" t="s">
        <v>1376</v>
      </c>
      <c r="T134" t="str">
        <f>IFERROR(VLOOKUP(ROWS($T$3:T134),$R$3:$S$992,2,0),"")</f>
        <v>Pěstování olejnatých plodů</v>
      </c>
      <c r="U134">
        <f>IF(ISNUMBER(SEARCH('1Př1'!$A$34,N134)),MAX($M$2:M133)+1,0)</f>
        <v>132</v>
      </c>
      <c r="V134" s="336" t="s">
        <v>1376</v>
      </c>
      <c r="W134" t="str">
        <f>IFERROR(VLOOKUP(ROWS($W$3:W134),$U$3:$V$992,2,0),"")</f>
        <v>Pěstování olejnatých plodů</v>
      </c>
      <c r="X134">
        <f>IF(ISNUMBER(SEARCH('1Př1'!$A$35,N134)),MAX($M$2:M133)+1,0)</f>
        <v>132</v>
      </c>
      <c r="Y134" s="336" t="s">
        <v>1376</v>
      </c>
      <c r="Z134" t="str">
        <f>IFERROR(VLOOKUP(ROWS($Z$3:Z134),$X$3:$Y$992,2,0),"")</f>
        <v>Pěstování olejnatých plodů</v>
      </c>
    </row>
    <row r="135" spans="1:26" ht="12.75" customHeight="1">
      <c r="A135" s="312"/>
      <c r="B135" s="312"/>
      <c r="C135" s="312"/>
      <c r="D135" s="328">
        <f>IF(ISNUMBER(SEARCH(ZAKL_DATA!$B$14,E135)),MAX($D$2:D134)+1,0)</f>
        <v>133</v>
      </c>
      <c r="E135" s="342" t="s">
        <v>1378</v>
      </c>
      <c r="F135" s="343">
        <v>2906</v>
      </c>
      <c r="G135" s="344"/>
      <c r="H135" s="345" t="str">
        <f>IFERROR(VLOOKUP(ROWS($H$3:H135),$D$3:$E$204,2,0),"")</f>
        <v>LEDEČ NAD SÁZAVOU</v>
      </c>
      <c r="I135" s="312"/>
      <c r="J135" s="346" t="s">
        <v>1379</v>
      </c>
      <c r="K135" s="334" t="s">
        <v>1380</v>
      </c>
      <c r="M135" s="335">
        <f>IF(ISNUMBER(SEARCH(ZAKL_DATA!$B$29,N135)),MAX($M$2:M134)+1,0)</f>
        <v>133</v>
      </c>
      <c r="N135" s="336" t="s">
        <v>1381</v>
      </c>
      <c r="O135" s="353" t="s">
        <v>1382</v>
      </c>
      <c r="P135" s="338"/>
      <c r="Q135" s="339" t="str">
        <f>IFERROR(VLOOKUP(ROWS($Q$3:Q135),$M$3:$N$992,2,0),"")</f>
        <v>Pěstování rostlin pro výrobu nápojů</v>
      </c>
      <c r="R135">
        <f>IF(ISNUMBER(SEARCH('1Př1'!$A$33,N135)),MAX($M$2:M134)+1,0)</f>
        <v>133</v>
      </c>
      <c r="S135" s="336" t="s">
        <v>1381</v>
      </c>
      <c r="T135" t="str">
        <f>IFERROR(VLOOKUP(ROWS($T$3:T135),$R$3:$S$992,2,0),"")</f>
        <v>Pěstování rostlin pro výrobu nápojů</v>
      </c>
      <c r="U135">
        <f>IF(ISNUMBER(SEARCH('1Př1'!$A$34,N135)),MAX($M$2:M134)+1,0)</f>
        <v>133</v>
      </c>
      <c r="V135" s="336" t="s">
        <v>1381</v>
      </c>
      <c r="W135" t="str">
        <f>IFERROR(VLOOKUP(ROWS($W$3:W135),$U$3:$V$992,2,0),"")</f>
        <v>Pěstování rostlin pro výrobu nápojů</v>
      </c>
      <c r="X135">
        <f>IF(ISNUMBER(SEARCH('1Př1'!$A$35,N135)),MAX($M$2:M134)+1,0)</f>
        <v>133</v>
      </c>
      <c r="Y135" s="336" t="s">
        <v>1381</v>
      </c>
      <c r="Z135" t="str">
        <f>IFERROR(VLOOKUP(ROWS($Z$3:Z135),$X$3:$Y$992,2,0),"")</f>
        <v>Pěstování rostlin pro výrobu nápojů</v>
      </c>
    </row>
    <row r="136" spans="1:26" ht="12.75" customHeight="1">
      <c r="A136" s="312"/>
      <c r="B136" s="312"/>
      <c r="C136" s="312"/>
      <c r="D136" s="328">
        <f>IF(ISNUMBER(SEARCH(ZAKL_DATA!$B$14,E136)),MAX($D$2:D135)+1,0)</f>
        <v>134</v>
      </c>
      <c r="E136" s="342" t="s">
        <v>1383</v>
      </c>
      <c r="F136" s="343">
        <v>2907</v>
      </c>
      <c r="G136" s="344"/>
      <c r="H136" s="345" t="str">
        <f>IFERROR(VLOOKUP(ROWS($H$3:H136),$D$3:$E$204,2,0),"")</f>
        <v>MORAVSKÉ BUDĚJOVICE</v>
      </c>
      <c r="I136" s="312"/>
      <c r="J136" s="347" t="s">
        <v>1384</v>
      </c>
      <c r="K136" s="334" t="s">
        <v>1385</v>
      </c>
      <c r="M136" s="335">
        <f>IF(ISNUMBER(SEARCH(ZAKL_DATA!$B$29,N136)),MAX($M$2:M135)+1,0)</f>
        <v>134</v>
      </c>
      <c r="N136" s="336" t="s">
        <v>1386</v>
      </c>
      <c r="O136" s="353" t="s">
        <v>1387</v>
      </c>
      <c r="P136" s="338"/>
      <c r="Q136" s="339" t="str">
        <f>IFERROR(VLOOKUP(ROWS($Q$3:Q136),$M$3:$N$992,2,0),"")</f>
        <v>Pěstování koření, aromatických, léčivých a farmaceutických rostlin</v>
      </c>
      <c r="R136">
        <f>IF(ISNUMBER(SEARCH('1Př1'!$A$33,N136)),MAX($M$2:M135)+1,0)</f>
        <v>134</v>
      </c>
      <c r="S136" s="336" t="s">
        <v>1386</v>
      </c>
      <c r="T136" t="str">
        <f>IFERROR(VLOOKUP(ROWS($T$3:T136),$R$3:$S$992,2,0),"")</f>
        <v>Pěstování koření, aromatických, léčivých a farmaceutických rostlin</v>
      </c>
      <c r="U136">
        <f>IF(ISNUMBER(SEARCH('1Př1'!$A$34,N136)),MAX($M$2:M135)+1,0)</f>
        <v>134</v>
      </c>
      <c r="V136" s="336" t="s">
        <v>1386</v>
      </c>
      <c r="W136" t="str">
        <f>IFERROR(VLOOKUP(ROWS($W$3:W136),$U$3:$V$992,2,0),"")</f>
        <v>Pěstování koření, aromatických, léčivých a farmaceutických rostlin</v>
      </c>
      <c r="X136">
        <f>IF(ISNUMBER(SEARCH('1Př1'!$A$35,N136)),MAX($M$2:M135)+1,0)</f>
        <v>134</v>
      </c>
      <c r="Y136" s="336" t="s">
        <v>1386</v>
      </c>
      <c r="Z136" t="str">
        <f>IFERROR(VLOOKUP(ROWS($Z$3:Z136),$X$3:$Y$992,2,0),"")</f>
        <v>Pěstování koření, aromatických, léčivých a farmaceutických rostlin</v>
      </c>
    </row>
    <row r="137" spans="1:26" ht="12.75" customHeight="1">
      <c r="A137" s="312"/>
      <c r="B137" s="312"/>
      <c r="C137" s="312"/>
      <c r="D137" s="328">
        <f>IF(ISNUMBER(SEARCH(ZAKL_DATA!$B$14,E137)),MAX($D$2:D136)+1,0)</f>
        <v>135</v>
      </c>
      <c r="E137" s="342" t="s">
        <v>1388</v>
      </c>
      <c r="F137" s="343">
        <v>2908</v>
      </c>
      <c r="G137" s="344"/>
      <c r="H137" s="345" t="str">
        <f>IFERROR(VLOOKUP(ROWS($H$3:H137),$D$3:$E$204,2,0),"")</f>
        <v>NÁMĚŠŤ NAD OSLAVOU</v>
      </c>
      <c r="I137" s="312"/>
      <c r="J137" s="347" t="s">
        <v>1389</v>
      </c>
      <c r="K137" s="334" t="s">
        <v>1390</v>
      </c>
      <c r="M137" s="335">
        <f>IF(ISNUMBER(SEARCH(ZAKL_DATA!$B$29,N137)),MAX($M$2:M136)+1,0)</f>
        <v>135</v>
      </c>
      <c r="N137" s="336" t="s">
        <v>1391</v>
      </c>
      <c r="O137" s="353" t="s">
        <v>1392</v>
      </c>
      <c r="P137" s="338"/>
      <c r="Q137" s="339" t="str">
        <f>IFERROR(VLOOKUP(ROWS($Q$3:Q137),$M$3:$N$992,2,0),"")</f>
        <v>Pěstování ostatních trvalých plodin</v>
      </c>
      <c r="R137">
        <f>IF(ISNUMBER(SEARCH('1Př1'!$A$33,N137)),MAX($M$2:M136)+1,0)</f>
        <v>135</v>
      </c>
      <c r="S137" s="336" t="s">
        <v>1391</v>
      </c>
      <c r="T137" t="str">
        <f>IFERROR(VLOOKUP(ROWS($T$3:T137),$R$3:$S$992,2,0),"")</f>
        <v>Pěstování ostatních trvalých plodin</v>
      </c>
      <c r="U137">
        <f>IF(ISNUMBER(SEARCH('1Př1'!$A$34,N137)),MAX($M$2:M136)+1,0)</f>
        <v>135</v>
      </c>
      <c r="V137" s="336" t="s">
        <v>1391</v>
      </c>
      <c r="W137" t="str">
        <f>IFERROR(VLOOKUP(ROWS($W$3:W137),$U$3:$V$992,2,0),"")</f>
        <v>Pěstování ostatních trvalých plodin</v>
      </c>
      <c r="X137">
        <f>IF(ISNUMBER(SEARCH('1Př1'!$A$35,N137)),MAX($M$2:M136)+1,0)</f>
        <v>135</v>
      </c>
      <c r="Y137" s="336" t="s">
        <v>1391</v>
      </c>
      <c r="Z137" t="str">
        <f>IFERROR(VLOOKUP(ROWS($Z$3:Z137),$X$3:$Y$992,2,0),"")</f>
        <v>Pěstování ostatních trvalých plodin</v>
      </c>
    </row>
    <row r="138" spans="1:26" ht="12.75" customHeight="1">
      <c r="A138" s="312"/>
      <c r="B138" s="312"/>
      <c r="C138" s="312"/>
      <c r="D138" s="328">
        <f>IF(ISNUMBER(SEARCH(ZAKL_DATA!$B$14,E138)),MAX($D$2:D137)+1,0)</f>
        <v>136</v>
      </c>
      <c r="E138" s="342" t="s">
        <v>1393</v>
      </c>
      <c r="F138" s="343">
        <v>2909</v>
      </c>
      <c r="G138" s="344"/>
      <c r="H138" s="345" t="str">
        <f>IFERROR(VLOOKUP(ROWS($H$3:H138),$D$3:$E$204,2,0),"")</f>
        <v>PACOV</v>
      </c>
      <c r="I138" s="312"/>
      <c r="J138" s="347" t="s">
        <v>1394</v>
      </c>
      <c r="K138" s="334" t="s">
        <v>1395</v>
      </c>
      <c r="M138" s="335">
        <f>IF(ISNUMBER(SEARCH(ZAKL_DATA!$B$29,N138)),MAX($M$2:M137)+1,0)</f>
        <v>136</v>
      </c>
      <c r="N138" s="336" t="s">
        <v>1396</v>
      </c>
      <c r="O138" s="353" t="s">
        <v>1397</v>
      </c>
      <c r="P138" s="338"/>
      <c r="Q138" s="339" t="str">
        <f>IFERROR(VLOOKUP(ROWS($Q$3:Q138),$M$3:$N$992,2,0),"")</f>
        <v>Úprava a spřádání textilních vláken a příze</v>
      </c>
      <c r="R138">
        <f>IF(ISNUMBER(SEARCH('1Př1'!$A$33,N138)),MAX($M$2:M137)+1,0)</f>
        <v>136</v>
      </c>
      <c r="S138" s="336" t="s">
        <v>1396</v>
      </c>
      <c r="T138" t="str">
        <f>IFERROR(VLOOKUP(ROWS($T$3:T138),$R$3:$S$992,2,0),"")</f>
        <v>Úprava a spřádání textilních vláken a příze</v>
      </c>
      <c r="U138">
        <f>IF(ISNUMBER(SEARCH('1Př1'!$A$34,N138)),MAX($M$2:M137)+1,0)</f>
        <v>136</v>
      </c>
      <c r="V138" s="336" t="s">
        <v>1396</v>
      </c>
      <c r="W138" t="str">
        <f>IFERROR(VLOOKUP(ROWS($W$3:W138),$U$3:$V$992,2,0),"")</f>
        <v>Úprava a spřádání textilních vláken a příze</v>
      </c>
      <c r="X138">
        <f>IF(ISNUMBER(SEARCH('1Př1'!$A$35,N138)),MAX($M$2:M137)+1,0)</f>
        <v>136</v>
      </c>
      <c r="Y138" s="336" t="s">
        <v>1396</v>
      </c>
      <c r="Z138" t="str">
        <f>IFERROR(VLOOKUP(ROWS($Z$3:Z138),$X$3:$Y$992,2,0),"")</f>
        <v>Úprava a spřádání textilních vláken a příze</v>
      </c>
    </row>
    <row r="139" spans="1:26" ht="12.75" customHeight="1">
      <c r="A139" s="312"/>
      <c r="B139" s="312"/>
      <c r="C139" s="312"/>
      <c r="D139" s="328">
        <f>IF(ISNUMBER(SEARCH(ZAKL_DATA!$B$14,E139)),MAX($D$2:D138)+1,0)</f>
        <v>137</v>
      </c>
      <c r="E139" s="342" t="s">
        <v>1398</v>
      </c>
      <c r="F139" s="343">
        <v>2910</v>
      </c>
      <c r="G139" s="344"/>
      <c r="H139" s="345" t="str">
        <f>IFERROR(VLOOKUP(ROWS($H$3:H139),$D$3:$E$204,2,0),"")</f>
        <v>PELHŘIMOV</v>
      </c>
      <c r="I139" s="312"/>
      <c r="J139" s="347" t="s">
        <v>1399</v>
      </c>
      <c r="K139" s="334" t="s">
        <v>1400</v>
      </c>
      <c r="M139" s="335">
        <f>IF(ISNUMBER(SEARCH(ZAKL_DATA!$B$29,N139)),MAX($M$2:M138)+1,0)</f>
        <v>137</v>
      </c>
      <c r="N139" s="336" t="s">
        <v>1401</v>
      </c>
      <c r="O139" s="353" t="s">
        <v>1402</v>
      </c>
      <c r="P139" s="338"/>
      <c r="Q139" s="339" t="str">
        <f>IFERROR(VLOOKUP(ROWS($Q$3:Q139),$M$3:$N$992,2,0),"")</f>
        <v>Tkaní textilií</v>
      </c>
      <c r="R139">
        <f>IF(ISNUMBER(SEARCH('1Př1'!$A$33,N139)),MAX($M$2:M138)+1,0)</f>
        <v>137</v>
      </c>
      <c r="S139" s="336" t="s">
        <v>1401</v>
      </c>
      <c r="T139" t="str">
        <f>IFERROR(VLOOKUP(ROWS($T$3:T139),$R$3:$S$992,2,0),"")</f>
        <v>Tkaní textilií</v>
      </c>
      <c r="U139">
        <f>IF(ISNUMBER(SEARCH('1Př1'!$A$34,N139)),MAX($M$2:M138)+1,0)</f>
        <v>137</v>
      </c>
      <c r="V139" s="336" t="s">
        <v>1401</v>
      </c>
      <c r="W139" t="str">
        <f>IFERROR(VLOOKUP(ROWS($W$3:W139),$U$3:$V$992,2,0),"")</f>
        <v>Tkaní textilií</v>
      </c>
      <c r="X139">
        <f>IF(ISNUMBER(SEARCH('1Př1'!$A$35,N139)),MAX($M$2:M138)+1,0)</f>
        <v>137</v>
      </c>
      <c r="Y139" s="336" t="s">
        <v>1401</v>
      </c>
      <c r="Z139" t="str">
        <f>IFERROR(VLOOKUP(ROWS($Z$3:Z139),$X$3:$Y$992,2,0),"")</f>
        <v>Tkaní textilií</v>
      </c>
    </row>
    <row r="140" spans="1:26" ht="12.75" customHeight="1">
      <c r="A140" s="312"/>
      <c r="B140" s="312"/>
      <c r="C140" s="312"/>
      <c r="D140" s="328">
        <f>IF(ISNUMBER(SEARCH(ZAKL_DATA!$B$14,E140)),MAX($D$2:D139)+1,0)</f>
        <v>138</v>
      </c>
      <c r="E140" s="342" t="s">
        <v>1403</v>
      </c>
      <c r="F140" s="343">
        <v>2911</v>
      </c>
      <c r="G140" s="344"/>
      <c r="H140" s="345" t="str">
        <f>IFERROR(VLOOKUP(ROWS($H$3:H140),$D$3:$E$204,2,0),"")</f>
        <v>TELČ</v>
      </c>
      <c r="I140" s="312"/>
      <c r="J140" s="347" t="s">
        <v>1404</v>
      </c>
      <c r="K140" s="334" t="s">
        <v>1405</v>
      </c>
      <c r="M140" s="335">
        <f>IF(ISNUMBER(SEARCH(ZAKL_DATA!$B$29,N140)),MAX($M$2:M139)+1,0)</f>
        <v>138</v>
      </c>
      <c r="N140" s="336" t="s">
        <v>1406</v>
      </c>
      <c r="O140" s="353" t="s">
        <v>1407</v>
      </c>
      <c r="P140" s="338"/>
      <c r="Q140" s="339" t="str">
        <f>IFERROR(VLOOKUP(ROWS($Q$3:Q140),$M$3:$N$992,2,0),"")</f>
        <v>Konečná úprava textilií</v>
      </c>
      <c r="R140">
        <f>IF(ISNUMBER(SEARCH('1Př1'!$A$33,N140)),MAX($M$2:M139)+1,0)</f>
        <v>138</v>
      </c>
      <c r="S140" s="336" t="s">
        <v>1406</v>
      </c>
      <c r="T140" t="str">
        <f>IFERROR(VLOOKUP(ROWS($T$3:T140),$R$3:$S$992,2,0),"")</f>
        <v>Konečná úprava textilií</v>
      </c>
      <c r="U140">
        <f>IF(ISNUMBER(SEARCH('1Př1'!$A$34,N140)),MAX($M$2:M139)+1,0)</f>
        <v>138</v>
      </c>
      <c r="V140" s="336" t="s">
        <v>1406</v>
      </c>
      <c r="W140" t="str">
        <f>IFERROR(VLOOKUP(ROWS($W$3:W140),$U$3:$V$992,2,0),"")</f>
        <v>Konečná úprava textilií</v>
      </c>
      <c r="X140">
        <f>IF(ISNUMBER(SEARCH('1Př1'!$A$35,N140)),MAX($M$2:M139)+1,0)</f>
        <v>138</v>
      </c>
      <c r="Y140" s="336" t="s">
        <v>1406</v>
      </c>
      <c r="Z140" t="str">
        <f>IFERROR(VLOOKUP(ROWS($Z$3:Z140),$X$3:$Y$992,2,0),"")</f>
        <v>Konečná úprava textilií</v>
      </c>
    </row>
    <row r="141" spans="1:26" ht="12.75" customHeight="1">
      <c r="A141" s="312"/>
      <c r="B141" s="312"/>
      <c r="C141" s="312"/>
      <c r="D141" s="328">
        <f>IF(ISNUMBER(SEARCH(ZAKL_DATA!$B$14,E141)),MAX($D$2:D140)+1,0)</f>
        <v>139</v>
      </c>
      <c r="E141" s="342" t="s">
        <v>1408</v>
      </c>
      <c r="F141" s="343">
        <v>2912</v>
      </c>
      <c r="G141" s="344"/>
      <c r="H141" s="345" t="str">
        <f>IFERROR(VLOOKUP(ROWS($H$3:H141),$D$3:$E$204,2,0),"")</f>
        <v>TŘEBÍČ</v>
      </c>
      <c r="I141" s="312"/>
      <c r="J141" s="347" t="s">
        <v>1409</v>
      </c>
      <c r="K141" s="334" t="s">
        <v>1410</v>
      </c>
      <c r="M141" s="335">
        <f>IF(ISNUMBER(SEARCH(ZAKL_DATA!$B$29,N141)),MAX($M$2:M140)+1,0)</f>
        <v>139</v>
      </c>
      <c r="N141" s="336" t="s">
        <v>1411</v>
      </c>
      <c r="O141" s="353" t="s">
        <v>1412</v>
      </c>
      <c r="P141" s="338"/>
      <c r="Q141" s="339" t="str">
        <f>IFERROR(VLOOKUP(ROWS($Q$3:Q141),$M$3:$N$992,2,0),"")</f>
        <v>Výroba ostatních textilií</v>
      </c>
      <c r="R141">
        <f>IF(ISNUMBER(SEARCH('1Př1'!$A$33,N141)),MAX($M$2:M140)+1,0)</f>
        <v>139</v>
      </c>
      <c r="S141" s="336" t="s">
        <v>1411</v>
      </c>
      <c r="T141" t="str">
        <f>IFERROR(VLOOKUP(ROWS($T$3:T141),$R$3:$S$992,2,0),"")</f>
        <v>Výroba ostatních textilií</v>
      </c>
      <c r="U141">
        <f>IF(ISNUMBER(SEARCH('1Př1'!$A$34,N141)),MAX($M$2:M140)+1,0)</f>
        <v>139</v>
      </c>
      <c r="V141" s="336" t="s">
        <v>1411</v>
      </c>
      <c r="W141" t="str">
        <f>IFERROR(VLOOKUP(ROWS($W$3:W141),$U$3:$V$992,2,0),"")</f>
        <v>Výroba ostatních textilií</v>
      </c>
      <c r="X141">
        <f>IF(ISNUMBER(SEARCH('1Př1'!$A$35,N141)),MAX($M$2:M140)+1,0)</f>
        <v>139</v>
      </c>
      <c r="Y141" s="336" t="s">
        <v>1411</v>
      </c>
      <c r="Z141" t="str">
        <f>IFERROR(VLOOKUP(ROWS($Z$3:Z141),$X$3:$Y$992,2,0),"")</f>
        <v>Výroba ostatních textilií</v>
      </c>
    </row>
    <row r="142" spans="1:26" ht="12.75" customHeight="1">
      <c r="A142" s="312"/>
      <c r="B142" s="312"/>
      <c r="C142" s="312"/>
      <c r="D142" s="328">
        <f>IF(ISNUMBER(SEARCH(ZAKL_DATA!$B$14,E142)),MAX($D$2:D141)+1,0)</f>
        <v>140</v>
      </c>
      <c r="E142" s="342" t="s">
        <v>1413</v>
      </c>
      <c r="F142" s="343">
        <v>2913</v>
      </c>
      <c r="G142" s="344"/>
      <c r="H142" s="345" t="str">
        <f>IFERROR(VLOOKUP(ROWS($H$3:H142),$D$3:$E$204,2,0),"")</f>
        <v>VELKÉ MEZIŘÍČÍ</v>
      </c>
      <c r="I142" s="312"/>
      <c r="J142" s="347" t="s">
        <v>1414</v>
      </c>
      <c r="K142" s="334" t="s">
        <v>1415</v>
      </c>
      <c r="M142" s="335">
        <f>IF(ISNUMBER(SEARCH(ZAKL_DATA!$B$29,N142)),MAX($M$2:M141)+1,0)</f>
        <v>140</v>
      </c>
      <c r="N142" s="336" t="s">
        <v>1416</v>
      </c>
      <c r="O142" s="353" t="s">
        <v>804</v>
      </c>
      <c r="P142" s="338"/>
      <c r="Q142" s="339" t="str">
        <f>IFERROR(VLOOKUP(ROWS($Q$3:Q142),$M$3:$N$992,2,0),"")</f>
        <v>Pěstování cukrové třtiny</v>
      </c>
      <c r="R142">
        <f>IF(ISNUMBER(SEARCH('1Př1'!$A$33,N142)),MAX($M$2:M141)+1,0)</f>
        <v>140</v>
      </c>
      <c r="S142" s="336" t="s">
        <v>1416</v>
      </c>
      <c r="T142" t="str">
        <f>IFERROR(VLOOKUP(ROWS($T$3:T142),$R$3:$S$992,2,0),"")</f>
        <v>Pěstování cukrové třtiny</v>
      </c>
      <c r="U142">
        <f>IF(ISNUMBER(SEARCH('1Př1'!$A$34,N142)),MAX($M$2:M141)+1,0)</f>
        <v>140</v>
      </c>
      <c r="V142" s="336" t="s">
        <v>1416</v>
      </c>
      <c r="W142" t="str">
        <f>IFERROR(VLOOKUP(ROWS($W$3:W142),$U$3:$V$992,2,0),"")</f>
        <v>Pěstování cukrové třtiny</v>
      </c>
      <c r="X142">
        <f>IF(ISNUMBER(SEARCH('1Př1'!$A$35,N142)),MAX($M$2:M141)+1,0)</f>
        <v>140</v>
      </c>
      <c r="Y142" s="336" t="s">
        <v>1416</v>
      </c>
      <c r="Z142" t="str">
        <f>IFERROR(VLOOKUP(ROWS($Z$3:Z142),$X$3:$Y$992,2,0),"")</f>
        <v>Pěstování cukrové třtiny</v>
      </c>
    </row>
    <row r="143" spans="1:26" ht="12.75" customHeight="1">
      <c r="A143" s="312"/>
      <c r="B143" s="312"/>
      <c r="C143" s="312"/>
      <c r="D143" s="328">
        <f>IF(ISNUMBER(SEARCH(ZAKL_DATA!$B$14,E143)),MAX($D$2:D142)+1,0)</f>
        <v>141</v>
      </c>
      <c r="E143" s="342" t="s">
        <v>1417</v>
      </c>
      <c r="F143" s="343">
        <v>2914</v>
      </c>
      <c r="G143" s="344"/>
      <c r="H143" s="345" t="str">
        <f>IFERROR(VLOOKUP(ROWS($H$3:H143),$D$3:$E$204,2,0),"")</f>
        <v>ŽĎÁR NAD SÁZAVOU</v>
      </c>
      <c r="I143" s="312"/>
      <c r="J143" s="347" t="s">
        <v>1418</v>
      </c>
      <c r="K143" s="334" t="s">
        <v>1419</v>
      </c>
      <c r="M143" s="335">
        <f>IF(ISNUMBER(SEARCH(ZAKL_DATA!$B$29,N143)),MAX($M$2:M142)+1,0)</f>
        <v>141</v>
      </c>
      <c r="N143" s="336" t="s">
        <v>1420</v>
      </c>
      <c r="O143" s="353" t="s">
        <v>1421</v>
      </c>
      <c r="P143" s="338"/>
      <c r="Q143" s="339" t="str">
        <f>IFERROR(VLOOKUP(ROWS($Q$3:Q143),$M$3:$N$992,2,0),"")</f>
        <v>Výroba oděvů, kromě kožešinových výrobků</v>
      </c>
      <c r="R143">
        <f>IF(ISNUMBER(SEARCH('1Př1'!$A$33,N143)),MAX($M$2:M142)+1,0)</f>
        <v>141</v>
      </c>
      <c r="S143" s="336" t="s">
        <v>1420</v>
      </c>
      <c r="T143" t="str">
        <f>IFERROR(VLOOKUP(ROWS($T$3:T143),$R$3:$S$992,2,0),"")</f>
        <v>Výroba oděvů, kromě kožešinových výrobků</v>
      </c>
      <c r="U143">
        <f>IF(ISNUMBER(SEARCH('1Př1'!$A$34,N143)),MAX($M$2:M142)+1,0)</f>
        <v>141</v>
      </c>
      <c r="V143" s="336" t="s">
        <v>1420</v>
      </c>
      <c r="W143" t="str">
        <f>IFERROR(VLOOKUP(ROWS($W$3:W143),$U$3:$V$992,2,0),"")</f>
        <v>Výroba oděvů, kromě kožešinových výrobků</v>
      </c>
      <c r="X143">
        <f>IF(ISNUMBER(SEARCH('1Př1'!$A$35,N143)),MAX($M$2:M142)+1,0)</f>
        <v>141</v>
      </c>
      <c r="Y143" s="336" t="s">
        <v>1420</v>
      </c>
      <c r="Z143" t="str">
        <f>IFERROR(VLOOKUP(ROWS($Z$3:Z143),$X$3:$Y$992,2,0),"")</f>
        <v>Výroba oděvů, kromě kožešinových výrobků</v>
      </c>
    </row>
    <row r="144" spans="1:26" ht="12.75" customHeight="1">
      <c r="A144" s="312"/>
      <c r="B144" s="312"/>
      <c r="C144" s="312"/>
      <c r="D144" s="328">
        <f>IF(ISNUMBER(SEARCH(ZAKL_DATA!$B$14,E144)),MAX($D$2:D143)+1,0)</f>
        <v>142</v>
      </c>
      <c r="E144" s="342" t="s">
        <v>1422</v>
      </c>
      <c r="F144" s="343">
        <v>3001</v>
      </c>
      <c r="G144" s="344"/>
      <c r="H144" s="345" t="str">
        <f>IFERROR(VLOOKUP(ROWS($H$3:H144),$D$3:$E$204,2,0),"")</f>
        <v>BRNO I</v>
      </c>
      <c r="I144" s="312"/>
      <c r="J144" s="347" t="s">
        <v>1423</v>
      </c>
      <c r="K144" s="334" t="s">
        <v>1424</v>
      </c>
      <c r="M144" s="335">
        <f>IF(ISNUMBER(SEARCH(ZAKL_DATA!$B$29,N144)),MAX($M$2:M143)+1,0)</f>
        <v>142</v>
      </c>
      <c r="N144" s="336" t="s">
        <v>1425</v>
      </c>
      <c r="O144" s="353" t="s">
        <v>1426</v>
      </c>
      <c r="P144" s="338"/>
      <c r="Q144" s="339" t="str">
        <f>IFERROR(VLOOKUP(ROWS($Q$3:Q144),$M$3:$N$992,2,0),"")</f>
        <v>Chov mléčného skotu</v>
      </c>
      <c r="R144">
        <f>IF(ISNUMBER(SEARCH('1Př1'!$A$33,N144)),MAX($M$2:M143)+1,0)</f>
        <v>142</v>
      </c>
      <c r="S144" s="336" t="s">
        <v>1425</v>
      </c>
      <c r="T144" t="str">
        <f>IFERROR(VLOOKUP(ROWS($T$3:T144),$R$3:$S$992,2,0),"")</f>
        <v>Chov mléčného skotu</v>
      </c>
      <c r="U144">
        <f>IF(ISNUMBER(SEARCH('1Př1'!$A$34,N144)),MAX($M$2:M143)+1,0)</f>
        <v>142</v>
      </c>
      <c r="V144" s="336" t="s">
        <v>1425</v>
      </c>
      <c r="W144" t="str">
        <f>IFERROR(VLOOKUP(ROWS($W$3:W144),$U$3:$V$992,2,0),"")</f>
        <v>Chov mléčného skotu</v>
      </c>
      <c r="X144">
        <f>IF(ISNUMBER(SEARCH('1Př1'!$A$35,N144)),MAX($M$2:M143)+1,0)</f>
        <v>142</v>
      </c>
      <c r="Y144" s="336" t="s">
        <v>1425</v>
      </c>
      <c r="Z144" t="str">
        <f>IFERROR(VLOOKUP(ROWS($Z$3:Z144),$X$3:$Y$992,2,0),"")</f>
        <v>Chov mléčného skotu</v>
      </c>
    </row>
    <row r="145" spans="1:26" ht="12.75" customHeight="1">
      <c r="A145" s="312"/>
      <c r="B145" s="312"/>
      <c r="C145" s="312"/>
      <c r="D145" s="328">
        <f>IF(ISNUMBER(SEARCH(ZAKL_DATA!$B$14,E145)),MAX($D$2:D144)+1,0)</f>
        <v>143</v>
      </c>
      <c r="E145" s="342" t="s">
        <v>1427</v>
      </c>
      <c r="F145" s="343">
        <v>3002</v>
      </c>
      <c r="G145" s="344"/>
      <c r="H145" s="345" t="str">
        <f>IFERROR(VLOOKUP(ROWS($H$3:H145),$D$3:$E$204,2,0),"")</f>
        <v>BRNO II</v>
      </c>
      <c r="I145" s="312"/>
      <c r="J145" s="347" t="s">
        <v>1428</v>
      </c>
      <c r="K145" s="334" t="s">
        <v>1429</v>
      </c>
      <c r="M145" s="335">
        <f>IF(ISNUMBER(SEARCH(ZAKL_DATA!$B$29,N145)),MAX($M$2:M144)+1,0)</f>
        <v>143</v>
      </c>
      <c r="N145" s="336" t="s">
        <v>1430</v>
      </c>
      <c r="O145" s="353" t="s">
        <v>1431</v>
      </c>
      <c r="P145" s="338"/>
      <c r="Q145" s="339" t="str">
        <f>IFERROR(VLOOKUP(ROWS($Q$3:Q145),$M$3:$N$992,2,0),"")</f>
        <v>Výroba kožešinových výrobků</v>
      </c>
      <c r="R145">
        <f>IF(ISNUMBER(SEARCH('1Př1'!$A$33,N145)),MAX($M$2:M144)+1,0)</f>
        <v>143</v>
      </c>
      <c r="S145" s="336" t="s">
        <v>1430</v>
      </c>
      <c r="T145" t="str">
        <f>IFERROR(VLOOKUP(ROWS($T$3:T145),$R$3:$S$992,2,0),"")</f>
        <v>Výroba kožešinových výrobků</v>
      </c>
      <c r="U145">
        <f>IF(ISNUMBER(SEARCH('1Př1'!$A$34,N145)),MAX($M$2:M144)+1,0)</f>
        <v>143</v>
      </c>
      <c r="V145" s="336" t="s">
        <v>1430</v>
      </c>
      <c r="W145" t="str">
        <f>IFERROR(VLOOKUP(ROWS($W$3:W145),$U$3:$V$992,2,0),"")</f>
        <v>Výroba kožešinových výrobků</v>
      </c>
      <c r="X145">
        <f>IF(ISNUMBER(SEARCH('1Př1'!$A$35,N145)),MAX($M$2:M144)+1,0)</f>
        <v>143</v>
      </c>
      <c r="Y145" s="336" t="s">
        <v>1430</v>
      </c>
      <c r="Z145" t="str">
        <f>IFERROR(VLOOKUP(ROWS($Z$3:Z145),$X$3:$Y$992,2,0),"")</f>
        <v>Výroba kožešinových výrobků</v>
      </c>
    </row>
    <row r="146" spans="1:26" ht="12.75" customHeight="1">
      <c r="A146" s="312"/>
      <c r="B146" s="312"/>
      <c r="C146" s="312"/>
      <c r="D146" s="328">
        <f>IF(ISNUMBER(SEARCH(ZAKL_DATA!$B$14,E146)),MAX($D$2:D145)+1,0)</f>
        <v>144</v>
      </c>
      <c r="E146" s="342" t="s">
        <v>1432</v>
      </c>
      <c r="F146" s="343">
        <v>3003</v>
      </c>
      <c r="G146" s="344"/>
      <c r="H146" s="345" t="str">
        <f>IFERROR(VLOOKUP(ROWS($H$3:H146),$D$3:$E$204,2,0),"")</f>
        <v>BRNO III</v>
      </c>
      <c r="I146" s="312"/>
      <c r="J146" s="347" t="s">
        <v>1433</v>
      </c>
      <c r="K146" s="334" t="s">
        <v>1434</v>
      </c>
      <c r="M146" s="335">
        <f>IF(ISNUMBER(SEARCH(ZAKL_DATA!$B$29,N146)),MAX($M$2:M145)+1,0)</f>
        <v>144</v>
      </c>
      <c r="N146" s="336" t="s">
        <v>1435</v>
      </c>
      <c r="O146" s="353" t="s">
        <v>1436</v>
      </c>
      <c r="P146" s="338"/>
      <c r="Q146" s="339" t="str">
        <f>IFERROR(VLOOKUP(ROWS($Q$3:Q146),$M$3:$N$992,2,0),"")</f>
        <v>Chov jiného skotu</v>
      </c>
      <c r="R146">
        <f>IF(ISNUMBER(SEARCH('1Př1'!$A$33,N146)),MAX($M$2:M145)+1,0)</f>
        <v>144</v>
      </c>
      <c r="S146" s="336" t="s">
        <v>1435</v>
      </c>
      <c r="T146" t="str">
        <f>IFERROR(VLOOKUP(ROWS($T$3:T146),$R$3:$S$992,2,0),"")</f>
        <v>Chov jiného skotu</v>
      </c>
      <c r="U146">
        <f>IF(ISNUMBER(SEARCH('1Př1'!$A$34,N146)),MAX($M$2:M145)+1,0)</f>
        <v>144</v>
      </c>
      <c r="V146" s="336" t="s">
        <v>1435</v>
      </c>
      <c r="W146" t="str">
        <f>IFERROR(VLOOKUP(ROWS($W$3:W146),$U$3:$V$992,2,0),"")</f>
        <v>Chov jiného skotu</v>
      </c>
      <c r="X146">
        <f>IF(ISNUMBER(SEARCH('1Př1'!$A$35,N146)),MAX($M$2:M145)+1,0)</f>
        <v>144</v>
      </c>
      <c r="Y146" s="336" t="s">
        <v>1435</v>
      </c>
      <c r="Z146" t="str">
        <f>IFERROR(VLOOKUP(ROWS($Z$3:Z146),$X$3:$Y$992,2,0),"")</f>
        <v>Chov jiného skotu</v>
      </c>
    </row>
    <row r="147" spans="1:26" ht="12.75" customHeight="1">
      <c r="A147" s="312"/>
      <c r="B147" s="312"/>
      <c r="C147" s="312"/>
      <c r="D147" s="328">
        <f>IF(ISNUMBER(SEARCH(ZAKL_DATA!$B$14,E147)),MAX($D$2:D146)+1,0)</f>
        <v>145</v>
      </c>
      <c r="E147" s="342" t="s">
        <v>1437</v>
      </c>
      <c r="F147" s="343">
        <v>3004</v>
      </c>
      <c r="G147" s="344"/>
      <c r="H147" s="345" t="str">
        <f>IFERROR(VLOOKUP(ROWS($H$3:H147),$D$3:$E$204,2,0),"")</f>
        <v>BRNO IV</v>
      </c>
      <c r="I147" s="312"/>
      <c r="J147" s="347" t="s">
        <v>1438</v>
      </c>
      <c r="K147" s="334" t="s">
        <v>1439</v>
      </c>
      <c r="M147" s="335">
        <f>IF(ISNUMBER(SEARCH(ZAKL_DATA!$B$29,N147)),MAX($M$2:M146)+1,0)</f>
        <v>145</v>
      </c>
      <c r="N147" s="336" t="s">
        <v>1440</v>
      </c>
      <c r="O147" s="337" t="s">
        <v>1441</v>
      </c>
      <c r="P147" s="338"/>
      <c r="Q147" s="339" t="str">
        <f>IFERROR(VLOOKUP(ROWS($Q$3:Q147),$M$3:$N$992,2,0),"")</f>
        <v>Výroba pletených a háčkovaných oděvů</v>
      </c>
      <c r="R147">
        <f>IF(ISNUMBER(SEARCH('1Př1'!$A$33,N147)),MAX($M$2:M146)+1,0)</f>
        <v>145</v>
      </c>
      <c r="S147" s="336" t="s">
        <v>1440</v>
      </c>
      <c r="T147" t="str">
        <f>IFERROR(VLOOKUP(ROWS($T$3:T147),$R$3:$S$992,2,0),"")</f>
        <v>Výroba pletených a háčkovaných oděvů</v>
      </c>
      <c r="U147">
        <f>IF(ISNUMBER(SEARCH('1Př1'!$A$34,N147)),MAX($M$2:M146)+1,0)</f>
        <v>145</v>
      </c>
      <c r="V147" s="336" t="s">
        <v>1440</v>
      </c>
      <c r="W147" t="str">
        <f>IFERROR(VLOOKUP(ROWS($W$3:W147),$U$3:$V$992,2,0),"")</f>
        <v>Výroba pletených a háčkovaných oděvů</v>
      </c>
      <c r="X147">
        <f>IF(ISNUMBER(SEARCH('1Př1'!$A$35,N147)),MAX($M$2:M146)+1,0)</f>
        <v>145</v>
      </c>
      <c r="Y147" s="336" t="s">
        <v>1440</v>
      </c>
      <c r="Z147" t="str">
        <f>IFERROR(VLOOKUP(ROWS($Z$3:Z147),$X$3:$Y$992,2,0),"")</f>
        <v>Výroba pletených a háčkovaných oděvů</v>
      </c>
    </row>
    <row r="148" spans="1:26" ht="12.75" customHeight="1">
      <c r="A148" s="312"/>
      <c r="B148" s="312"/>
      <c r="C148" s="312"/>
      <c r="D148" s="328">
        <f>IF(ISNUMBER(SEARCH(ZAKL_DATA!$B$14,E148)),MAX($D$2:D147)+1,0)</f>
        <v>146</v>
      </c>
      <c r="E148" s="342" t="s">
        <v>1442</v>
      </c>
      <c r="F148" s="343">
        <v>3005</v>
      </c>
      <c r="G148" s="344"/>
      <c r="H148" s="345" t="str">
        <f>IFERROR(VLOOKUP(ROWS($H$3:H148),$D$3:$E$204,2,0),"")</f>
        <v>BRNO VENKOV</v>
      </c>
      <c r="I148" s="312"/>
      <c r="J148" s="347" t="s">
        <v>1443</v>
      </c>
      <c r="K148" s="334" t="s">
        <v>1444</v>
      </c>
      <c r="M148" s="335">
        <f>IF(ISNUMBER(SEARCH(ZAKL_DATA!$B$29,N148)),MAX($M$2:M147)+1,0)</f>
        <v>146</v>
      </c>
      <c r="N148" s="336" t="s">
        <v>1445</v>
      </c>
      <c r="O148" s="353" t="s">
        <v>1446</v>
      </c>
      <c r="P148" s="338"/>
      <c r="Q148" s="339" t="str">
        <f>IFERROR(VLOOKUP(ROWS($Q$3:Q148),$M$3:$N$992,2,0),"")</f>
        <v>Chov koní a jiných koňovitých</v>
      </c>
      <c r="R148">
        <f>IF(ISNUMBER(SEARCH('1Př1'!$A$33,N148)),MAX($M$2:M147)+1,0)</f>
        <v>146</v>
      </c>
      <c r="S148" s="336" t="s">
        <v>1445</v>
      </c>
      <c r="T148" t="str">
        <f>IFERROR(VLOOKUP(ROWS($T$3:T148),$R$3:$S$992,2,0),"")</f>
        <v>Chov koní a jiných koňovitých</v>
      </c>
      <c r="U148">
        <f>IF(ISNUMBER(SEARCH('1Př1'!$A$34,N148)),MAX($M$2:M147)+1,0)</f>
        <v>146</v>
      </c>
      <c r="V148" s="336" t="s">
        <v>1445</v>
      </c>
      <c r="W148" t="str">
        <f>IFERROR(VLOOKUP(ROWS($W$3:W148),$U$3:$V$992,2,0),"")</f>
        <v>Chov koní a jiných koňovitých</v>
      </c>
      <c r="X148">
        <f>IF(ISNUMBER(SEARCH('1Př1'!$A$35,N148)),MAX($M$2:M147)+1,0)</f>
        <v>146</v>
      </c>
      <c r="Y148" s="336" t="s">
        <v>1445</v>
      </c>
      <c r="Z148" t="str">
        <f>IFERROR(VLOOKUP(ROWS($Z$3:Z148),$X$3:$Y$992,2,0),"")</f>
        <v>Chov koní a jiných koňovitých</v>
      </c>
    </row>
    <row r="149" spans="1:26" ht="12.75" customHeight="1">
      <c r="A149" s="312"/>
      <c r="B149" s="312"/>
      <c r="C149" s="312"/>
      <c r="D149" s="328">
        <f>IF(ISNUMBER(SEARCH(ZAKL_DATA!$B$14,E149)),MAX($D$2:D148)+1,0)</f>
        <v>147</v>
      </c>
      <c r="E149" s="342" t="s">
        <v>1447</v>
      </c>
      <c r="F149" s="343">
        <v>3006</v>
      </c>
      <c r="G149" s="344"/>
      <c r="H149" s="345" t="str">
        <f>IFERROR(VLOOKUP(ROWS($H$3:H149),$D$3:$E$204,2,0),"")</f>
        <v>BLANSKO</v>
      </c>
      <c r="I149" s="312"/>
      <c r="J149" s="347" t="s">
        <v>1448</v>
      </c>
      <c r="K149" s="334" t="s">
        <v>1449</v>
      </c>
      <c r="M149" s="335">
        <f>IF(ISNUMBER(SEARCH(ZAKL_DATA!$B$29,N149)),MAX($M$2:M148)+1,0)</f>
        <v>147</v>
      </c>
      <c r="N149" s="336" t="s">
        <v>1450</v>
      </c>
      <c r="O149" s="353" t="s">
        <v>1451</v>
      </c>
      <c r="P149" s="338"/>
      <c r="Q149" s="339" t="str">
        <f>IFERROR(VLOOKUP(ROWS($Q$3:Q149),$M$3:$N$992,2,0),"")</f>
        <v>Chov velbloudů a velbloudovitých</v>
      </c>
      <c r="R149">
        <f>IF(ISNUMBER(SEARCH('1Př1'!$A$33,N149)),MAX($M$2:M148)+1,0)</f>
        <v>147</v>
      </c>
      <c r="S149" s="336" t="s">
        <v>1450</v>
      </c>
      <c r="T149" t="str">
        <f>IFERROR(VLOOKUP(ROWS($T$3:T149),$R$3:$S$992,2,0),"")</f>
        <v>Chov velbloudů a velbloudovitých</v>
      </c>
      <c r="U149">
        <f>IF(ISNUMBER(SEARCH('1Př1'!$A$34,N149)),MAX($M$2:M148)+1,0)</f>
        <v>147</v>
      </c>
      <c r="V149" s="336" t="s">
        <v>1450</v>
      </c>
      <c r="W149" t="str">
        <f>IFERROR(VLOOKUP(ROWS($W$3:W149),$U$3:$V$992,2,0),"")</f>
        <v>Chov velbloudů a velbloudovitých</v>
      </c>
      <c r="X149">
        <f>IF(ISNUMBER(SEARCH('1Př1'!$A$35,N149)),MAX($M$2:M148)+1,0)</f>
        <v>147</v>
      </c>
      <c r="Y149" s="336" t="s">
        <v>1450</v>
      </c>
      <c r="Z149" t="str">
        <f>IFERROR(VLOOKUP(ROWS($Z$3:Z149),$X$3:$Y$992,2,0),"")</f>
        <v>Chov velbloudů a velbloudovitých</v>
      </c>
    </row>
    <row r="150" spans="1:26" ht="12.75" customHeight="1">
      <c r="A150" s="312"/>
      <c r="B150" s="312"/>
      <c r="C150" s="312"/>
      <c r="D150" s="328">
        <f>IF(ISNUMBER(SEARCH(ZAKL_DATA!$B$14,E150)),MAX($D$2:D149)+1,0)</f>
        <v>148</v>
      </c>
      <c r="E150" s="342" t="s">
        <v>1452</v>
      </c>
      <c r="F150" s="343">
        <v>3007</v>
      </c>
      <c r="G150" s="344"/>
      <c r="H150" s="345" t="str">
        <f>IFERROR(VLOOKUP(ROWS($H$3:H150),$D$3:$E$204,2,0),"")</f>
        <v>BOSKOVICE</v>
      </c>
      <c r="I150" s="312"/>
      <c r="J150" s="347" t="s">
        <v>1453</v>
      </c>
      <c r="K150" s="334" t="s">
        <v>1454</v>
      </c>
      <c r="M150" s="335">
        <f>IF(ISNUMBER(SEARCH(ZAKL_DATA!$B$29,N150)),MAX($M$2:M149)+1,0)</f>
        <v>148</v>
      </c>
      <c r="N150" s="336" t="s">
        <v>1455</v>
      </c>
      <c r="O150" s="353" t="s">
        <v>1456</v>
      </c>
      <c r="P150" s="338"/>
      <c r="Q150" s="339" t="str">
        <f>IFERROR(VLOOKUP(ROWS($Q$3:Q150),$M$3:$N$992,2,0),"")</f>
        <v>Chov ovcí a koz</v>
      </c>
      <c r="R150">
        <f>IF(ISNUMBER(SEARCH('1Př1'!$A$33,N150)),MAX($M$2:M149)+1,0)</f>
        <v>148</v>
      </c>
      <c r="S150" s="336" t="s">
        <v>1455</v>
      </c>
      <c r="T150" t="str">
        <f>IFERROR(VLOOKUP(ROWS($T$3:T150),$R$3:$S$992,2,0),"")</f>
        <v>Chov ovcí a koz</v>
      </c>
      <c r="U150">
        <f>IF(ISNUMBER(SEARCH('1Př1'!$A$34,N150)),MAX($M$2:M149)+1,0)</f>
        <v>148</v>
      </c>
      <c r="V150" s="336" t="s">
        <v>1455</v>
      </c>
      <c r="W150" t="str">
        <f>IFERROR(VLOOKUP(ROWS($W$3:W150),$U$3:$V$992,2,0),"")</f>
        <v>Chov ovcí a koz</v>
      </c>
      <c r="X150">
        <f>IF(ISNUMBER(SEARCH('1Př1'!$A$35,N150)),MAX($M$2:M149)+1,0)</f>
        <v>148</v>
      </c>
      <c r="Y150" s="336" t="s">
        <v>1455</v>
      </c>
      <c r="Z150" t="str">
        <f>IFERROR(VLOOKUP(ROWS($Z$3:Z150),$X$3:$Y$992,2,0),"")</f>
        <v>Chov ovcí a koz</v>
      </c>
    </row>
    <row r="151" spans="1:26" ht="12.75" customHeight="1">
      <c r="A151" s="312"/>
      <c r="B151" s="312"/>
      <c r="C151" s="312"/>
      <c r="D151" s="328">
        <f>IF(ISNUMBER(SEARCH(ZAKL_DATA!$B$14,E151)),MAX($D$2:D150)+1,0)</f>
        <v>149</v>
      </c>
      <c r="E151" s="342" t="s">
        <v>1457</v>
      </c>
      <c r="F151" s="343">
        <v>3008</v>
      </c>
      <c r="G151" s="344"/>
      <c r="H151" s="345" t="str">
        <f>IFERROR(VLOOKUP(ROWS($H$3:H151),$D$3:$E$204,2,0),"")</f>
        <v>BŘECLAV</v>
      </c>
      <c r="I151" s="312"/>
      <c r="J151" s="347" t="s">
        <v>1458</v>
      </c>
      <c r="K151" s="334" t="s">
        <v>1459</v>
      </c>
      <c r="M151" s="335">
        <f>IF(ISNUMBER(SEARCH(ZAKL_DATA!$B$29,N151)),MAX($M$2:M150)+1,0)</f>
        <v>149</v>
      </c>
      <c r="N151" s="336" t="s">
        <v>1460</v>
      </c>
      <c r="O151" s="353" t="s">
        <v>1461</v>
      </c>
      <c r="P151" s="338"/>
      <c r="Q151" s="339" t="str">
        <f>IFERROR(VLOOKUP(ROWS($Q$3:Q151),$M$3:$N$992,2,0),"")</f>
        <v>Chov prasat</v>
      </c>
      <c r="R151">
        <f>IF(ISNUMBER(SEARCH('1Př1'!$A$33,N151)),MAX($M$2:M150)+1,0)</f>
        <v>149</v>
      </c>
      <c r="S151" s="336" t="s">
        <v>1460</v>
      </c>
      <c r="T151" t="str">
        <f>IFERROR(VLOOKUP(ROWS($T$3:T151),$R$3:$S$992,2,0),"")</f>
        <v>Chov prasat</v>
      </c>
      <c r="U151">
        <f>IF(ISNUMBER(SEARCH('1Př1'!$A$34,N151)),MAX($M$2:M150)+1,0)</f>
        <v>149</v>
      </c>
      <c r="V151" s="336" t="s">
        <v>1460</v>
      </c>
      <c r="W151" t="str">
        <f>IFERROR(VLOOKUP(ROWS($W$3:W151),$U$3:$V$992,2,0),"")</f>
        <v>Chov prasat</v>
      </c>
      <c r="X151">
        <f>IF(ISNUMBER(SEARCH('1Př1'!$A$35,N151)),MAX($M$2:M150)+1,0)</f>
        <v>149</v>
      </c>
      <c r="Y151" s="336" t="s">
        <v>1460</v>
      </c>
      <c r="Z151" t="str">
        <f>IFERROR(VLOOKUP(ROWS($Z$3:Z151),$X$3:$Y$992,2,0),"")</f>
        <v>Chov prasat</v>
      </c>
    </row>
    <row r="152" spans="1:26" ht="12.75" customHeight="1">
      <c r="A152" s="312"/>
      <c r="B152" s="312"/>
      <c r="C152" s="312"/>
      <c r="D152" s="328">
        <f>IF(ISNUMBER(SEARCH(ZAKL_DATA!$B$14,E152)),MAX($D$2:D151)+1,0)</f>
        <v>150</v>
      </c>
      <c r="E152" s="342" t="s">
        <v>1462</v>
      </c>
      <c r="F152" s="343">
        <v>3009</v>
      </c>
      <c r="G152" s="344"/>
      <c r="H152" s="345" t="str">
        <f>IFERROR(VLOOKUP(ROWS($H$3:H152),$D$3:$E$204,2,0),"")</f>
        <v>BUČOVICE</v>
      </c>
      <c r="I152" s="312"/>
      <c r="J152" s="347" t="s">
        <v>1463</v>
      </c>
      <c r="K152" s="334" t="s">
        <v>1464</v>
      </c>
      <c r="M152" s="335">
        <f>IF(ISNUMBER(SEARCH(ZAKL_DATA!$B$29,N152)),MAX($M$2:M151)+1,0)</f>
        <v>150</v>
      </c>
      <c r="N152" s="336" t="s">
        <v>1465</v>
      </c>
      <c r="O152" s="353" t="s">
        <v>1466</v>
      </c>
      <c r="P152" s="338"/>
      <c r="Q152" s="339" t="str">
        <f>IFERROR(VLOOKUP(ROWS($Q$3:Q152),$M$3:$N$992,2,0),"")</f>
        <v>Chov drůbeže</v>
      </c>
      <c r="R152">
        <f>IF(ISNUMBER(SEARCH('1Př1'!$A$33,N152)),MAX($M$2:M151)+1,0)</f>
        <v>150</v>
      </c>
      <c r="S152" s="336" t="s">
        <v>1465</v>
      </c>
      <c r="T152" t="str">
        <f>IFERROR(VLOOKUP(ROWS($T$3:T152),$R$3:$S$992,2,0),"")</f>
        <v>Chov drůbeže</v>
      </c>
      <c r="U152">
        <f>IF(ISNUMBER(SEARCH('1Př1'!$A$34,N152)),MAX($M$2:M151)+1,0)</f>
        <v>150</v>
      </c>
      <c r="V152" s="336" t="s">
        <v>1465</v>
      </c>
      <c r="W152" t="str">
        <f>IFERROR(VLOOKUP(ROWS($W$3:W152),$U$3:$V$992,2,0),"")</f>
        <v>Chov drůbeže</v>
      </c>
      <c r="X152">
        <f>IF(ISNUMBER(SEARCH('1Př1'!$A$35,N152)),MAX($M$2:M151)+1,0)</f>
        <v>150</v>
      </c>
      <c r="Y152" s="336" t="s">
        <v>1465</v>
      </c>
      <c r="Z152" t="str">
        <f>IFERROR(VLOOKUP(ROWS($Z$3:Z152),$X$3:$Y$992,2,0),"")</f>
        <v>Chov drůbeže</v>
      </c>
    </row>
    <row r="153" spans="1:26" ht="12.75" customHeight="1">
      <c r="A153" s="312"/>
      <c r="B153" s="312"/>
      <c r="C153" s="312"/>
      <c r="D153" s="328">
        <f>IF(ISNUMBER(SEARCH(ZAKL_DATA!$B$14,E153)),MAX($D$2:D152)+1,0)</f>
        <v>151</v>
      </c>
      <c r="E153" s="342" t="s">
        <v>1467</v>
      </c>
      <c r="F153" s="343">
        <v>3010</v>
      </c>
      <c r="G153" s="344"/>
      <c r="H153" s="345" t="str">
        <f>IFERROR(VLOOKUP(ROWS($H$3:H153),$D$3:$E$204,2,0),"")</f>
        <v>HODONÍN</v>
      </c>
      <c r="I153" s="312"/>
      <c r="J153" s="347" t="s">
        <v>1468</v>
      </c>
      <c r="K153" s="334" t="s">
        <v>1469</v>
      </c>
      <c r="M153" s="335">
        <f>IF(ISNUMBER(SEARCH(ZAKL_DATA!$B$29,N153)),MAX($M$2:M152)+1,0)</f>
        <v>151</v>
      </c>
      <c r="N153" s="336" t="s">
        <v>1470</v>
      </c>
      <c r="O153" s="353" t="s">
        <v>1471</v>
      </c>
      <c r="P153" s="338"/>
      <c r="Q153" s="339" t="str">
        <f>IFERROR(VLOOKUP(ROWS($Q$3:Q153),$M$3:$N$992,2,0),"")</f>
        <v>Chov ostatních zvířat</v>
      </c>
      <c r="R153">
        <f>IF(ISNUMBER(SEARCH('1Př1'!$A$33,N153)),MAX($M$2:M152)+1,0)</f>
        <v>151</v>
      </c>
      <c r="S153" s="336" t="s">
        <v>1470</v>
      </c>
      <c r="T153" t="str">
        <f>IFERROR(VLOOKUP(ROWS($T$3:T153),$R$3:$S$992,2,0),"")</f>
        <v>Chov ostatních zvířat</v>
      </c>
      <c r="U153">
        <f>IF(ISNUMBER(SEARCH('1Př1'!$A$34,N153)),MAX($M$2:M152)+1,0)</f>
        <v>151</v>
      </c>
      <c r="V153" s="336" t="s">
        <v>1470</v>
      </c>
      <c r="W153" t="str">
        <f>IFERROR(VLOOKUP(ROWS($W$3:W153),$U$3:$V$992,2,0),"")</f>
        <v>Chov ostatních zvířat</v>
      </c>
      <c r="X153">
        <f>IF(ISNUMBER(SEARCH('1Př1'!$A$35,N153)),MAX($M$2:M152)+1,0)</f>
        <v>151</v>
      </c>
      <c r="Y153" s="336" t="s">
        <v>1470</v>
      </c>
      <c r="Z153" t="str">
        <f>IFERROR(VLOOKUP(ROWS($Z$3:Z153),$X$3:$Y$992,2,0),"")</f>
        <v>Chov ostatních zvířat</v>
      </c>
    </row>
    <row r="154" spans="1:26" ht="12.75" customHeight="1">
      <c r="A154" s="312"/>
      <c r="B154" s="312"/>
      <c r="C154" s="312"/>
      <c r="D154" s="328">
        <f>IF(ISNUMBER(SEARCH(ZAKL_DATA!$B$14,E154)),MAX($D$2:D153)+1,0)</f>
        <v>152</v>
      </c>
      <c r="E154" s="342" t="s">
        <v>1472</v>
      </c>
      <c r="F154" s="343">
        <v>3011</v>
      </c>
      <c r="G154" s="344"/>
      <c r="H154" s="345" t="str">
        <f>IFERROR(VLOOKUP(ROWS($H$3:H154),$D$3:$E$204,2,0),"")</f>
        <v>HUSTOPEČE</v>
      </c>
      <c r="I154" s="312"/>
      <c r="J154" s="347" t="s">
        <v>1473</v>
      </c>
      <c r="K154" s="334" t="s">
        <v>1474</v>
      </c>
      <c r="M154" s="335">
        <f>IF(ISNUMBER(SEARCH(ZAKL_DATA!$B$29,N154)),MAX($M$2:M153)+1,0)</f>
        <v>152</v>
      </c>
      <c r="N154" s="336" t="s">
        <v>1475</v>
      </c>
      <c r="O154" s="353" t="s">
        <v>1476</v>
      </c>
      <c r="P154" s="338"/>
      <c r="Q154" s="339" t="str">
        <f>IFERROR(VLOOKUP(ROWS($Q$3:Q154),$M$3:$N$992,2,0),"")</f>
        <v>Činění a úprava usní (vyčiněných kůží); zpracování a barvení kožešin; výrob</v>
      </c>
      <c r="R154">
        <f>IF(ISNUMBER(SEARCH('1Př1'!$A$33,N154)),MAX($M$2:M153)+1,0)</f>
        <v>152</v>
      </c>
      <c r="S154" s="336" t="s">
        <v>1475</v>
      </c>
      <c r="T154" t="str">
        <f>IFERROR(VLOOKUP(ROWS($T$3:T154),$R$3:$S$992,2,0),"")</f>
        <v>Činění a úprava usní (vyčiněných kůží); zpracování a barvení kožešin; výrob</v>
      </c>
      <c r="U154">
        <f>IF(ISNUMBER(SEARCH('1Př1'!$A$34,N154)),MAX($M$2:M153)+1,0)</f>
        <v>152</v>
      </c>
      <c r="V154" s="336" t="s">
        <v>1475</v>
      </c>
      <c r="W154" t="str">
        <f>IFERROR(VLOOKUP(ROWS($W$3:W154),$U$3:$V$992,2,0),"")</f>
        <v>Činění a úprava usní (vyčiněných kůží); zpracování a barvení kožešin; výrob</v>
      </c>
      <c r="X154">
        <f>IF(ISNUMBER(SEARCH('1Př1'!$A$35,N154)),MAX($M$2:M153)+1,0)</f>
        <v>152</v>
      </c>
      <c r="Y154" s="336" t="s">
        <v>1475</v>
      </c>
      <c r="Z154" t="str">
        <f>IFERROR(VLOOKUP(ROWS($Z$3:Z154),$X$3:$Y$992,2,0),"")</f>
        <v>Činění a úprava usní (vyčiněných kůží); zpracování a barvení kožešin; výrob</v>
      </c>
    </row>
    <row r="155" spans="1:26" ht="12.75" customHeight="1">
      <c r="A155" s="312"/>
      <c r="B155" s="312"/>
      <c r="C155" s="312"/>
      <c r="D155" s="328">
        <f>IF(ISNUMBER(SEARCH(ZAKL_DATA!$B$14,E155)),MAX($D$2:D154)+1,0)</f>
        <v>153</v>
      </c>
      <c r="E155" s="342" t="s">
        <v>1477</v>
      </c>
      <c r="F155" s="343">
        <v>3012</v>
      </c>
      <c r="G155" s="344"/>
      <c r="H155" s="345" t="str">
        <f>IFERROR(VLOOKUP(ROWS($H$3:H155),$D$3:$E$204,2,0),"")</f>
        <v>IVANČICE</v>
      </c>
      <c r="I155" s="312"/>
      <c r="J155" s="347" t="s">
        <v>1478</v>
      </c>
      <c r="K155" s="334" t="s">
        <v>1479</v>
      </c>
      <c r="M155" s="335">
        <f>IF(ISNUMBER(SEARCH(ZAKL_DATA!$B$29,N155)),MAX($M$2:M154)+1,0)</f>
        <v>153</v>
      </c>
      <c r="N155" s="336" t="s">
        <v>1480</v>
      </c>
      <c r="O155" s="353" t="s">
        <v>1481</v>
      </c>
      <c r="P155" s="338"/>
      <c r="Q155" s="339" t="str">
        <f>IFERROR(VLOOKUP(ROWS($Q$3:Q155),$M$3:$N$992,2,0),"")</f>
        <v>Výroba obuvi</v>
      </c>
      <c r="R155">
        <f>IF(ISNUMBER(SEARCH('1Př1'!$A$33,N155)),MAX($M$2:M154)+1,0)</f>
        <v>153</v>
      </c>
      <c r="S155" s="336" t="s">
        <v>1480</v>
      </c>
      <c r="T155" t="str">
        <f>IFERROR(VLOOKUP(ROWS($T$3:T155),$R$3:$S$992,2,0),"")</f>
        <v>Výroba obuvi</v>
      </c>
      <c r="U155">
        <f>IF(ISNUMBER(SEARCH('1Př1'!$A$34,N155)),MAX($M$2:M154)+1,0)</f>
        <v>153</v>
      </c>
      <c r="V155" s="336" t="s">
        <v>1480</v>
      </c>
      <c r="W155" t="str">
        <f>IFERROR(VLOOKUP(ROWS($W$3:W155),$U$3:$V$992,2,0),"")</f>
        <v>Výroba obuvi</v>
      </c>
      <c r="X155">
        <f>IF(ISNUMBER(SEARCH('1Př1'!$A$35,N155)),MAX($M$2:M154)+1,0)</f>
        <v>153</v>
      </c>
      <c r="Y155" s="336" t="s">
        <v>1480</v>
      </c>
      <c r="Z155" t="str">
        <f>IFERROR(VLOOKUP(ROWS($Z$3:Z155),$X$3:$Y$992,2,0),"")</f>
        <v>Výroba obuvi</v>
      </c>
    </row>
    <row r="156" spans="1:26" ht="12.75" customHeight="1">
      <c r="A156" s="312"/>
      <c r="B156" s="312"/>
      <c r="C156" s="312"/>
      <c r="D156" s="328">
        <f>IF(ISNUMBER(SEARCH(ZAKL_DATA!$B$14,E156)),MAX($D$2:D155)+1,0)</f>
        <v>154</v>
      </c>
      <c r="E156" s="342" t="s">
        <v>1482</v>
      </c>
      <c r="F156" s="343">
        <v>3013</v>
      </c>
      <c r="G156" s="344"/>
      <c r="H156" s="345" t="str">
        <f>IFERROR(VLOOKUP(ROWS($H$3:H156),$D$3:$E$204,2,0),"")</f>
        <v>KYJOV</v>
      </c>
      <c r="I156" s="312"/>
      <c r="J156" s="347" t="s">
        <v>1483</v>
      </c>
      <c r="K156" s="334" t="s">
        <v>1484</v>
      </c>
      <c r="M156" s="335">
        <f>IF(ISNUMBER(SEARCH(ZAKL_DATA!$B$29,N156)),MAX($M$2:M155)+1,0)</f>
        <v>154</v>
      </c>
      <c r="N156" s="336" t="s">
        <v>1485</v>
      </c>
      <c r="O156" s="353" t="s">
        <v>1486</v>
      </c>
      <c r="P156" s="338"/>
      <c r="Q156" s="339" t="str">
        <f>IFERROR(VLOOKUP(ROWS($Q$3:Q156),$M$3:$N$992,2,0),"")</f>
        <v>Výroba pilařská a impregnace dřeva</v>
      </c>
      <c r="R156">
        <f>IF(ISNUMBER(SEARCH('1Př1'!$A$33,N156)),MAX($M$2:M155)+1,0)</f>
        <v>154</v>
      </c>
      <c r="S156" s="336" t="s">
        <v>1485</v>
      </c>
      <c r="T156" t="str">
        <f>IFERROR(VLOOKUP(ROWS($T$3:T156),$R$3:$S$992,2,0),"")</f>
        <v>Výroba pilařská a impregnace dřeva</v>
      </c>
      <c r="U156">
        <f>IF(ISNUMBER(SEARCH('1Př1'!$A$34,N156)),MAX($M$2:M155)+1,0)</f>
        <v>154</v>
      </c>
      <c r="V156" s="336" t="s">
        <v>1485</v>
      </c>
      <c r="W156" t="str">
        <f>IFERROR(VLOOKUP(ROWS($W$3:W156),$U$3:$V$992,2,0),"")</f>
        <v>Výroba pilařská a impregnace dřeva</v>
      </c>
      <c r="X156">
        <f>IF(ISNUMBER(SEARCH('1Př1'!$A$35,N156)),MAX($M$2:M155)+1,0)</f>
        <v>154</v>
      </c>
      <c r="Y156" s="336" t="s">
        <v>1485</v>
      </c>
      <c r="Z156" t="str">
        <f>IFERROR(VLOOKUP(ROWS($Z$3:Z156),$X$3:$Y$992,2,0),"")</f>
        <v>Výroba pilařská a impregnace dřeva</v>
      </c>
    </row>
    <row r="157" spans="1:26" ht="12.75" customHeight="1">
      <c r="A157" s="312"/>
      <c r="B157" s="312"/>
      <c r="C157" s="312"/>
      <c r="D157" s="328">
        <f>IF(ISNUMBER(SEARCH(ZAKL_DATA!$B$14,E157)),MAX($D$2:D156)+1,0)</f>
        <v>155</v>
      </c>
      <c r="E157" s="342" t="s">
        <v>1487</v>
      </c>
      <c r="F157" s="343">
        <v>3014</v>
      </c>
      <c r="G157" s="344"/>
      <c r="H157" s="345" t="str">
        <f>IFERROR(VLOOKUP(ROWS($H$3:H157),$D$3:$E$204,2,0),"")</f>
        <v>MIKULOV</v>
      </c>
      <c r="I157" s="312"/>
      <c r="J157" s="347" t="s">
        <v>1488</v>
      </c>
      <c r="K157" s="334" t="s">
        <v>1489</v>
      </c>
      <c r="M157" s="335">
        <f>IF(ISNUMBER(SEARCH(ZAKL_DATA!$B$29,N157)),MAX($M$2:M156)+1,0)</f>
        <v>155</v>
      </c>
      <c r="N157" s="336" t="s">
        <v>1490</v>
      </c>
      <c r="O157" s="353" t="s">
        <v>1491</v>
      </c>
      <c r="P157" s="338"/>
      <c r="Q157" s="339" t="str">
        <f>IFERROR(VLOOKUP(ROWS($Q$3:Q157),$M$3:$N$992,2,0),"")</f>
        <v>Podpůrné činnosti pro rostlinnou výrobu</v>
      </c>
      <c r="R157">
        <f>IF(ISNUMBER(SEARCH('1Př1'!$A$33,N157)),MAX($M$2:M156)+1,0)</f>
        <v>155</v>
      </c>
      <c r="S157" s="336" t="s">
        <v>1490</v>
      </c>
      <c r="T157" t="str">
        <f>IFERROR(VLOOKUP(ROWS($T$3:T157),$R$3:$S$992,2,0),"")</f>
        <v>Podpůrné činnosti pro rostlinnou výrobu</v>
      </c>
      <c r="U157">
        <f>IF(ISNUMBER(SEARCH('1Př1'!$A$34,N157)),MAX($M$2:M156)+1,0)</f>
        <v>155</v>
      </c>
      <c r="V157" s="336" t="s">
        <v>1490</v>
      </c>
      <c r="W157" t="str">
        <f>IFERROR(VLOOKUP(ROWS($W$3:W157),$U$3:$V$992,2,0),"")</f>
        <v>Podpůrné činnosti pro rostlinnou výrobu</v>
      </c>
      <c r="X157">
        <f>IF(ISNUMBER(SEARCH('1Př1'!$A$35,N157)),MAX($M$2:M156)+1,0)</f>
        <v>155</v>
      </c>
      <c r="Y157" s="336" t="s">
        <v>1490</v>
      </c>
      <c r="Z157" t="str">
        <f>IFERROR(VLOOKUP(ROWS($Z$3:Z157),$X$3:$Y$992,2,0),"")</f>
        <v>Podpůrné činnosti pro rostlinnou výrobu</v>
      </c>
    </row>
    <row r="158" spans="1:26" ht="12.75" customHeight="1">
      <c r="A158" s="312"/>
      <c r="B158" s="312"/>
      <c r="C158" s="312"/>
      <c r="D158" s="328">
        <f>IF(ISNUMBER(SEARCH(ZAKL_DATA!$B$14,E158)),MAX($D$2:D157)+1,0)</f>
        <v>156</v>
      </c>
      <c r="E158" s="342" t="s">
        <v>1492</v>
      </c>
      <c r="F158" s="343">
        <v>3015</v>
      </c>
      <c r="G158" s="344"/>
      <c r="H158" s="345" t="str">
        <f>IFERROR(VLOOKUP(ROWS($H$3:H158),$D$3:$E$204,2,0),"")</f>
        <v>MORAVSKÝ KRUMLOV</v>
      </c>
      <c r="I158" s="312"/>
      <c r="J158" s="347" t="s">
        <v>1493</v>
      </c>
      <c r="K158" s="334" t="s">
        <v>1494</v>
      </c>
      <c r="M158" s="335">
        <f>IF(ISNUMBER(SEARCH(ZAKL_DATA!$B$29,N158)),MAX($M$2:M157)+1,0)</f>
        <v>156</v>
      </c>
      <c r="N158" s="336" t="s">
        <v>1495</v>
      </c>
      <c r="O158" s="353" t="s">
        <v>1496</v>
      </c>
      <c r="P158" s="338"/>
      <c r="Q158" s="339" t="str">
        <f>IFERROR(VLOOKUP(ROWS($Q$3:Q158),$M$3:$N$992,2,0),"")</f>
        <v>Výroba dřevěných,korkových,proutěných a slaměných výrobků,kromě nábytku</v>
      </c>
      <c r="R158">
        <f>IF(ISNUMBER(SEARCH('1Př1'!$A$33,N158)),MAX($M$2:M157)+1,0)</f>
        <v>156</v>
      </c>
      <c r="S158" s="336" t="s">
        <v>1495</v>
      </c>
      <c r="T158" t="str">
        <f>IFERROR(VLOOKUP(ROWS($T$3:T158),$R$3:$S$992,2,0),"")</f>
        <v>Výroba dřevěných,korkových,proutěných a slaměných výrobků,kromě nábytku</v>
      </c>
      <c r="U158">
        <f>IF(ISNUMBER(SEARCH('1Př1'!$A$34,N158)),MAX($M$2:M157)+1,0)</f>
        <v>156</v>
      </c>
      <c r="V158" s="336" t="s">
        <v>1495</v>
      </c>
      <c r="W158" t="str">
        <f>IFERROR(VLOOKUP(ROWS($W$3:W158),$U$3:$V$992,2,0),"")</f>
        <v>Výroba dřevěných,korkových,proutěných a slaměných výrobků,kromě nábytku</v>
      </c>
      <c r="X158">
        <f>IF(ISNUMBER(SEARCH('1Př1'!$A$35,N158)),MAX($M$2:M157)+1,0)</f>
        <v>156</v>
      </c>
      <c r="Y158" s="336" t="s">
        <v>1495</v>
      </c>
      <c r="Z158" t="str">
        <f>IFERROR(VLOOKUP(ROWS($Z$3:Z158),$X$3:$Y$992,2,0),"")</f>
        <v>Výroba dřevěných,korkových,proutěných a slaměných výrobků,kromě nábytku</v>
      </c>
    </row>
    <row r="159" spans="1:26" ht="12.75" customHeight="1">
      <c r="A159" s="312"/>
      <c r="B159" s="312"/>
      <c r="C159" s="312"/>
      <c r="D159" s="328">
        <f>IF(ISNUMBER(SEARCH(ZAKL_DATA!$B$14,E159)),MAX($D$2:D158)+1,0)</f>
        <v>157</v>
      </c>
      <c r="E159" s="342" t="s">
        <v>1497</v>
      </c>
      <c r="F159" s="343">
        <v>3016</v>
      </c>
      <c r="G159" s="344"/>
      <c r="H159" s="345" t="str">
        <f>IFERROR(VLOOKUP(ROWS($H$3:H159),$D$3:$E$204,2,0),"")</f>
        <v>SLAVKOV U BRNA</v>
      </c>
      <c r="I159" s="312"/>
      <c r="J159" s="347" t="s">
        <v>1498</v>
      </c>
      <c r="K159" s="334" t="s">
        <v>1499</v>
      </c>
      <c r="M159" s="335">
        <f>IF(ISNUMBER(SEARCH(ZAKL_DATA!$B$29,N159)),MAX($M$2:M158)+1,0)</f>
        <v>157</v>
      </c>
      <c r="N159" s="336" t="s">
        <v>1500</v>
      </c>
      <c r="O159" s="353" t="s">
        <v>1501</v>
      </c>
      <c r="P159" s="338"/>
      <c r="Q159" s="339" t="str">
        <f>IFERROR(VLOOKUP(ROWS($Q$3:Q159),$M$3:$N$992,2,0),"")</f>
        <v>Podpůrné činnosti pro živočišnou výrobu</v>
      </c>
      <c r="R159">
        <f>IF(ISNUMBER(SEARCH('1Př1'!$A$33,N159)),MAX($M$2:M158)+1,0)</f>
        <v>157</v>
      </c>
      <c r="S159" s="336" t="s">
        <v>1500</v>
      </c>
      <c r="T159" t="str">
        <f>IFERROR(VLOOKUP(ROWS($T$3:T159),$R$3:$S$992,2,0),"")</f>
        <v>Podpůrné činnosti pro živočišnou výrobu</v>
      </c>
      <c r="U159">
        <f>IF(ISNUMBER(SEARCH('1Př1'!$A$34,N159)),MAX($M$2:M158)+1,0)</f>
        <v>157</v>
      </c>
      <c r="V159" s="336" t="s">
        <v>1500</v>
      </c>
      <c r="W159" t="str">
        <f>IFERROR(VLOOKUP(ROWS($W$3:W159),$U$3:$V$992,2,0),"")</f>
        <v>Podpůrné činnosti pro živočišnou výrobu</v>
      </c>
      <c r="X159">
        <f>IF(ISNUMBER(SEARCH('1Př1'!$A$35,N159)),MAX($M$2:M158)+1,0)</f>
        <v>157</v>
      </c>
      <c r="Y159" s="336" t="s">
        <v>1500</v>
      </c>
      <c r="Z159" t="str">
        <f>IFERROR(VLOOKUP(ROWS($Z$3:Z159),$X$3:$Y$992,2,0),"")</f>
        <v>Podpůrné činnosti pro živočišnou výrobu</v>
      </c>
    </row>
    <row r="160" spans="1:26" ht="12.75" customHeight="1">
      <c r="A160" s="312"/>
      <c r="B160" s="312"/>
      <c r="C160" s="312"/>
      <c r="D160" s="328">
        <f>IF(ISNUMBER(SEARCH(ZAKL_DATA!$B$14,E160)),MAX($D$2:D159)+1,0)</f>
        <v>158</v>
      </c>
      <c r="E160" s="342" t="s">
        <v>1502</v>
      </c>
      <c r="F160" s="343">
        <v>3017</v>
      </c>
      <c r="G160" s="344"/>
      <c r="H160" s="345" t="str">
        <f>IFERROR(VLOOKUP(ROWS($H$3:H160),$D$3:$E$204,2,0),"")</f>
        <v>TIŠNOV</v>
      </c>
      <c r="I160" s="312"/>
      <c r="J160" s="347" t="s">
        <v>1503</v>
      </c>
      <c r="K160" s="334" t="s">
        <v>1504</v>
      </c>
      <c r="M160" s="335">
        <f>IF(ISNUMBER(SEARCH(ZAKL_DATA!$B$29,N160)),MAX($M$2:M159)+1,0)</f>
        <v>158</v>
      </c>
      <c r="N160" s="336" t="s">
        <v>1505</v>
      </c>
      <c r="O160" s="353" t="s">
        <v>1506</v>
      </c>
      <c r="P160" s="338"/>
      <c r="Q160" s="339" t="str">
        <f>IFERROR(VLOOKUP(ROWS($Q$3:Q160),$M$3:$N$992,2,0),"")</f>
        <v>Posklizňové činnosti</v>
      </c>
      <c r="R160">
        <f>IF(ISNUMBER(SEARCH('1Př1'!$A$33,N160)),MAX($M$2:M159)+1,0)</f>
        <v>158</v>
      </c>
      <c r="S160" s="336" t="s">
        <v>1505</v>
      </c>
      <c r="T160" t="str">
        <f>IFERROR(VLOOKUP(ROWS($T$3:T160),$R$3:$S$992,2,0),"")</f>
        <v>Posklizňové činnosti</v>
      </c>
      <c r="U160">
        <f>IF(ISNUMBER(SEARCH('1Př1'!$A$34,N160)),MAX($M$2:M159)+1,0)</f>
        <v>158</v>
      </c>
      <c r="V160" s="336" t="s">
        <v>1505</v>
      </c>
      <c r="W160" t="str">
        <f>IFERROR(VLOOKUP(ROWS($W$3:W160),$U$3:$V$992,2,0),"")</f>
        <v>Posklizňové činnosti</v>
      </c>
      <c r="X160">
        <f>IF(ISNUMBER(SEARCH('1Př1'!$A$35,N160)),MAX($M$2:M159)+1,0)</f>
        <v>158</v>
      </c>
      <c r="Y160" s="336" t="s">
        <v>1505</v>
      </c>
      <c r="Z160" t="str">
        <f>IFERROR(VLOOKUP(ROWS($Z$3:Z160),$X$3:$Y$992,2,0),"")</f>
        <v>Posklizňové činnosti</v>
      </c>
    </row>
    <row r="161" spans="1:26" ht="12.75" customHeight="1">
      <c r="A161" s="312"/>
      <c r="B161" s="312"/>
      <c r="C161" s="312"/>
      <c r="D161" s="328">
        <f>IF(ISNUMBER(SEARCH(ZAKL_DATA!$B$14,E161)),MAX($D$2:D160)+1,0)</f>
        <v>159</v>
      </c>
      <c r="E161" s="342" t="s">
        <v>1507</v>
      </c>
      <c r="F161" s="343">
        <v>3018</v>
      </c>
      <c r="G161" s="344"/>
      <c r="H161" s="345" t="str">
        <f>IFERROR(VLOOKUP(ROWS($H$3:H161),$D$3:$E$204,2,0),"")</f>
        <v>VESELÍ NAD MORAVOU</v>
      </c>
      <c r="I161" s="312"/>
      <c r="J161" s="346" t="s">
        <v>1508</v>
      </c>
      <c r="K161" s="334" t="s">
        <v>1509</v>
      </c>
      <c r="M161" s="335">
        <f>IF(ISNUMBER(SEARCH(ZAKL_DATA!$B$29,N161)),MAX($M$2:M160)+1,0)</f>
        <v>159</v>
      </c>
      <c r="N161" s="336" t="s">
        <v>1510</v>
      </c>
      <c r="O161" s="353" t="s">
        <v>1511</v>
      </c>
      <c r="P161" s="338"/>
      <c r="Q161" s="339" t="str">
        <f>IFERROR(VLOOKUP(ROWS($Q$3:Q161),$M$3:$N$992,2,0),"")</f>
        <v>Zpracování osiva pro účely množení</v>
      </c>
      <c r="R161">
        <f>IF(ISNUMBER(SEARCH('1Př1'!$A$33,N161)),MAX($M$2:M160)+1,0)</f>
        <v>159</v>
      </c>
      <c r="S161" s="336" t="s">
        <v>1510</v>
      </c>
      <c r="T161" t="str">
        <f>IFERROR(VLOOKUP(ROWS($T$3:T161),$R$3:$S$992,2,0),"")</f>
        <v>Zpracování osiva pro účely množení</v>
      </c>
      <c r="U161">
        <f>IF(ISNUMBER(SEARCH('1Př1'!$A$34,N161)),MAX($M$2:M160)+1,0)</f>
        <v>159</v>
      </c>
      <c r="V161" s="336" t="s">
        <v>1510</v>
      </c>
      <c r="W161" t="str">
        <f>IFERROR(VLOOKUP(ROWS($W$3:W161),$U$3:$V$992,2,0),"")</f>
        <v>Zpracování osiva pro účely množení</v>
      </c>
      <c r="X161">
        <f>IF(ISNUMBER(SEARCH('1Př1'!$A$35,N161)),MAX($M$2:M160)+1,0)</f>
        <v>159</v>
      </c>
      <c r="Y161" s="336" t="s">
        <v>1510</v>
      </c>
      <c r="Z161" t="str">
        <f>IFERROR(VLOOKUP(ROWS($Z$3:Z161),$X$3:$Y$992,2,0),"")</f>
        <v>Zpracování osiva pro účely množení</v>
      </c>
    </row>
    <row r="162" spans="1:26" ht="12.75" customHeight="1">
      <c r="A162" s="312"/>
      <c r="B162" s="312"/>
      <c r="C162" s="312"/>
      <c r="D162" s="328">
        <f>IF(ISNUMBER(SEARCH(ZAKL_DATA!$B$14,E162)),MAX($D$2:D161)+1,0)</f>
        <v>160</v>
      </c>
      <c r="E162" s="342" t="s">
        <v>1512</v>
      </c>
      <c r="F162" s="343">
        <v>3019</v>
      </c>
      <c r="G162" s="344"/>
      <c r="H162" s="345" t="str">
        <f>IFERROR(VLOOKUP(ROWS($H$3:H162),$D$3:$E$204,2,0),"")</f>
        <v>VYŠKOV</v>
      </c>
      <c r="I162" s="312"/>
      <c r="J162" s="347" t="s">
        <v>1513</v>
      </c>
      <c r="K162" s="334" t="s">
        <v>1514</v>
      </c>
      <c r="M162" s="335">
        <f>IF(ISNUMBER(SEARCH(ZAKL_DATA!$B$29,N162)),MAX($M$2:M161)+1,0)</f>
        <v>160</v>
      </c>
      <c r="N162" s="336" t="s">
        <v>1515</v>
      </c>
      <c r="O162" s="353" t="s">
        <v>1516</v>
      </c>
      <c r="P162" s="338"/>
      <c r="Q162" s="339" t="str">
        <f>IFERROR(VLOOKUP(ROWS($Q$3:Q162),$M$3:$N$992,2,0),"")</f>
        <v>Výroba buničiny, papíru a lepenky</v>
      </c>
      <c r="R162">
        <f>IF(ISNUMBER(SEARCH('1Př1'!$A$33,N162)),MAX($M$2:M161)+1,0)</f>
        <v>160</v>
      </c>
      <c r="S162" s="336" t="s">
        <v>1515</v>
      </c>
      <c r="T162" t="str">
        <f>IFERROR(VLOOKUP(ROWS($T$3:T162),$R$3:$S$992,2,0),"")</f>
        <v>Výroba buničiny, papíru a lepenky</v>
      </c>
      <c r="U162">
        <f>IF(ISNUMBER(SEARCH('1Př1'!$A$34,N162)),MAX($M$2:M161)+1,0)</f>
        <v>160</v>
      </c>
      <c r="V162" s="336" t="s">
        <v>1515</v>
      </c>
      <c r="W162" t="str">
        <f>IFERROR(VLOOKUP(ROWS($W$3:W162),$U$3:$V$992,2,0),"")</f>
        <v>Výroba buničiny, papíru a lepenky</v>
      </c>
      <c r="X162">
        <f>IF(ISNUMBER(SEARCH('1Př1'!$A$35,N162)),MAX($M$2:M161)+1,0)</f>
        <v>160</v>
      </c>
      <c r="Y162" s="336" t="s">
        <v>1515</v>
      </c>
      <c r="Z162" t="str">
        <f>IFERROR(VLOOKUP(ROWS($Z$3:Z162),$X$3:$Y$992,2,0),"")</f>
        <v>Výroba buničiny, papíru a lepenky</v>
      </c>
    </row>
    <row r="163" spans="1:26" ht="12.75" customHeight="1">
      <c r="A163" s="312"/>
      <c r="B163" s="312"/>
      <c r="C163" s="312"/>
      <c r="D163" s="328">
        <f>IF(ISNUMBER(SEARCH(ZAKL_DATA!$B$14,E163)),MAX($D$2:D162)+1,0)</f>
        <v>161</v>
      </c>
      <c r="E163" s="342" t="s">
        <v>1517</v>
      </c>
      <c r="F163" s="343">
        <v>3020</v>
      </c>
      <c r="G163" s="344"/>
      <c r="H163" s="345" t="str">
        <f>IFERROR(VLOOKUP(ROWS($H$3:H163),$D$3:$E$204,2,0),"")</f>
        <v>ZNOJMO</v>
      </c>
      <c r="I163" s="312"/>
      <c r="J163" s="347" t="s">
        <v>1518</v>
      </c>
      <c r="K163" s="334" t="s">
        <v>1519</v>
      </c>
      <c r="M163" s="335">
        <f>IF(ISNUMBER(SEARCH(ZAKL_DATA!$B$29,N163)),MAX($M$2:M162)+1,0)</f>
        <v>161</v>
      </c>
      <c r="N163" s="336" t="s">
        <v>1520</v>
      </c>
      <c r="O163" s="353" t="s">
        <v>1521</v>
      </c>
      <c r="P163" s="338"/>
      <c r="Q163" s="339" t="str">
        <f>IFERROR(VLOOKUP(ROWS($Q$3:Q163),$M$3:$N$992,2,0),"")</f>
        <v>Výroba výrobků z papíru a lepenky</v>
      </c>
      <c r="R163">
        <f>IF(ISNUMBER(SEARCH('1Př1'!$A$33,N163)),MAX($M$2:M162)+1,0)</f>
        <v>161</v>
      </c>
      <c r="S163" s="336" t="s">
        <v>1520</v>
      </c>
      <c r="T163" t="str">
        <f>IFERROR(VLOOKUP(ROWS($T$3:T163),$R$3:$S$992,2,0),"")</f>
        <v>Výroba výrobků z papíru a lepenky</v>
      </c>
      <c r="U163">
        <f>IF(ISNUMBER(SEARCH('1Př1'!$A$34,N163)),MAX($M$2:M162)+1,0)</f>
        <v>161</v>
      </c>
      <c r="V163" s="336" t="s">
        <v>1520</v>
      </c>
      <c r="W163" t="str">
        <f>IFERROR(VLOOKUP(ROWS($W$3:W163),$U$3:$V$992,2,0),"")</f>
        <v>Výroba výrobků z papíru a lepenky</v>
      </c>
      <c r="X163">
        <f>IF(ISNUMBER(SEARCH('1Př1'!$A$35,N163)),MAX($M$2:M162)+1,0)</f>
        <v>161</v>
      </c>
      <c r="Y163" s="336" t="s">
        <v>1520</v>
      </c>
      <c r="Z163" t="str">
        <f>IFERROR(VLOOKUP(ROWS($Z$3:Z163),$X$3:$Y$992,2,0),"")</f>
        <v>Výroba výrobků z papíru a lepenky</v>
      </c>
    </row>
    <row r="164" spans="1:26" ht="12.75" customHeight="1">
      <c r="A164" s="312"/>
      <c r="B164" s="312"/>
      <c r="C164" s="312"/>
      <c r="D164" s="328">
        <f>IF(ISNUMBER(SEARCH(ZAKL_DATA!$B$14,E164)),MAX($D$2:D163)+1,0)</f>
        <v>162</v>
      </c>
      <c r="E164" s="342" t="s">
        <v>1522</v>
      </c>
      <c r="F164" s="343">
        <v>3101</v>
      </c>
      <c r="G164" s="344"/>
      <c r="H164" s="345" t="str">
        <f>IFERROR(VLOOKUP(ROWS($H$3:H164),$D$3:$E$204,2,0),"")</f>
        <v>OLOMOUC</v>
      </c>
      <c r="I164" s="312"/>
      <c r="J164" s="347" t="s">
        <v>1523</v>
      </c>
      <c r="K164" s="334" t="s">
        <v>1524</v>
      </c>
      <c r="M164" s="335">
        <f>IF(ISNUMBER(SEARCH(ZAKL_DATA!$B$29,N164)),MAX($M$2:M163)+1,0)</f>
        <v>162</v>
      </c>
      <c r="N164" s="336" t="s">
        <v>1525</v>
      </c>
      <c r="O164" s="353" t="s">
        <v>1526</v>
      </c>
      <c r="P164" s="338"/>
      <c r="Q164" s="339" t="str">
        <f>IFERROR(VLOOKUP(ROWS($Q$3:Q164),$M$3:$N$992,2,0),"")</f>
        <v>Tisk a činnosti související s tiskem</v>
      </c>
      <c r="R164">
        <f>IF(ISNUMBER(SEARCH('1Př1'!$A$33,N164)),MAX($M$2:M163)+1,0)</f>
        <v>162</v>
      </c>
      <c r="S164" s="336" t="s">
        <v>1525</v>
      </c>
      <c r="T164" t="str">
        <f>IFERROR(VLOOKUP(ROWS($T$3:T164),$R$3:$S$992,2,0),"")</f>
        <v>Tisk a činnosti související s tiskem</v>
      </c>
      <c r="U164">
        <f>IF(ISNUMBER(SEARCH('1Př1'!$A$34,N164)),MAX($M$2:M163)+1,0)</f>
        <v>162</v>
      </c>
      <c r="V164" s="336" t="s">
        <v>1525</v>
      </c>
      <c r="W164" t="str">
        <f>IFERROR(VLOOKUP(ROWS($W$3:W164),$U$3:$V$992,2,0),"")</f>
        <v>Tisk a činnosti související s tiskem</v>
      </c>
      <c r="X164">
        <f>IF(ISNUMBER(SEARCH('1Př1'!$A$35,N164)),MAX($M$2:M163)+1,0)</f>
        <v>162</v>
      </c>
      <c r="Y164" s="336" t="s">
        <v>1525</v>
      </c>
      <c r="Z164" t="str">
        <f>IFERROR(VLOOKUP(ROWS($Z$3:Z164),$X$3:$Y$992,2,0),"")</f>
        <v>Tisk a činnosti související s tiskem</v>
      </c>
    </row>
    <row r="165" spans="1:26" ht="12.75" customHeight="1">
      <c r="A165" s="312"/>
      <c r="B165" s="312"/>
      <c r="C165" s="312"/>
      <c r="D165" s="328">
        <f>IF(ISNUMBER(SEARCH(ZAKL_DATA!$B$14,E165)),MAX($D$2:D164)+1,0)</f>
        <v>163</v>
      </c>
      <c r="E165" s="342" t="s">
        <v>1527</v>
      </c>
      <c r="F165" s="343">
        <v>3102</v>
      </c>
      <c r="G165" s="344"/>
      <c r="H165" s="345" t="str">
        <f>IFERROR(VLOOKUP(ROWS($H$3:H165),$D$3:$E$204,2,0),"")</f>
        <v>HRANICE</v>
      </c>
      <c r="I165" s="312"/>
      <c r="J165" s="346" t="s">
        <v>1528</v>
      </c>
      <c r="K165" s="334" t="s">
        <v>1529</v>
      </c>
      <c r="M165" s="335">
        <f>IF(ISNUMBER(SEARCH(ZAKL_DATA!$B$29,N165)),MAX($M$2:M164)+1,0)</f>
        <v>163</v>
      </c>
      <c r="N165" s="336" t="s">
        <v>1530</v>
      </c>
      <c r="O165" s="353" t="s">
        <v>1531</v>
      </c>
      <c r="P165" s="338"/>
      <c r="Q165" s="339" t="str">
        <f>IFERROR(VLOOKUP(ROWS($Q$3:Q165),$M$3:$N$992,2,0),"")</f>
        <v>Rozmnožování nahraných nosičů</v>
      </c>
      <c r="R165">
        <f>IF(ISNUMBER(SEARCH('1Př1'!$A$33,N165)),MAX($M$2:M164)+1,0)</f>
        <v>163</v>
      </c>
      <c r="S165" s="336" t="s">
        <v>1530</v>
      </c>
      <c r="T165" t="str">
        <f>IFERROR(VLOOKUP(ROWS($T$3:T165),$R$3:$S$992,2,0),"")</f>
        <v>Rozmnožování nahraných nosičů</v>
      </c>
      <c r="U165">
        <f>IF(ISNUMBER(SEARCH('1Př1'!$A$34,N165)),MAX($M$2:M164)+1,0)</f>
        <v>163</v>
      </c>
      <c r="V165" s="336" t="s">
        <v>1530</v>
      </c>
      <c r="W165" t="str">
        <f>IFERROR(VLOOKUP(ROWS($W$3:W165),$U$3:$V$992,2,0),"")</f>
        <v>Rozmnožování nahraných nosičů</v>
      </c>
      <c r="X165">
        <f>IF(ISNUMBER(SEARCH('1Př1'!$A$35,N165)),MAX($M$2:M164)+1,0)</f>
        <v>163</v>
      </c>
      <c r="Y165" s="336" t="s">
        <v>1530</v>
      </c>
      <c r="Z165" t="str">
        <f>IFERROR(VLOOKUP(ROWS($Z$3:Z165),$X$3:$Y$992,2,0),"")</f>
        <v>Rozmnožování nahraných nosičů</v>
      </c>
    </row>
    <row r="166" spans="1:26" ht="12.75" customHeight="1">
      <c r="A166" s="312"/>
      <c r="B166" s="312"/>
      <c r="C166" s="312"/>
      <c r="D166" s="328">
        <f>IF(ISNUMBER(SEARCH(ZAKL_DATA!$B$14,E166)),MAX($D$2:D165)+1,0)</f>
        <v>164</v>
      </c>
      <c r="E166" s="342" t="s">
        <v>1532</v>
      </c>
      <c r="F166" s="343">
        <v>3103</v>
      </c>
      <c r="G166" s="344"/>
      <c r="H166" s="345" t="str">
        <f>IFERROR(VLOOKUP(ROWS($H$3:H166),$D$3:$E$204,2,0),"")</f>
        <v>JESENÍK</v>
      </c>
      <c r="I166" s="312"/>
      <c r="J166" s="347" t="s">
        <v>1533</v>
      </c>
      <c r="K166" s="334" t="s">
        <v>1534</v>
      </c>
      <c r="M166" s="335">
        <f>IF(ISNUMBER(SEARCH(ZAKL_DATA!$B$29,N166)),MAX($M$2:M165)+1,0)</f>
        <v>164</v>
      </c>
      <c r="N166" s="336" t="s">
        <v>1535</v>
      </c>
      <c r="O166" s="353" t="s">
        <v>1536</v>
      </c>
      <c r="P166" s="338"/>
      <c r="Q166" s="339" t="str">
        <f>IFERROR(VLOOKUP(ROWS($Q$3:Q166),$M$3:$N$992,2,0),"")</f>
        <v>Výroba koksárenských produktů</v>
      </c>
      <c r="R166">
        <f>IF(ISNUMBER(SEARCH('1Př1'!$A$33,N166)),MAX($M$2:M165)+1,0)</f>
        <v>164</v>
      </c>
      <c r="S166" s="336" t="s">
        <v>1535</v>
      </c>
      <c r="T166" t="str">
        <f>IFERROR(VLOOKUP(ROWS($T$3:T166),$R$3:$S$992,2,0),"")</f>
        <v>Výroba koksárenských produktů</v>
      </c>
      <c r="U166">
        <f>IF(ISNUMBER(SEARCH('1Př1'!$A$34,N166)),MAX($M$2:M165)+1,0)</f>
        <v>164</v>
      </c>
      <c r="V166" s="336" t="s">
        <v>1535</v>
      </c>
      <c r="W166" t="str">
        <f>IFERROR(VLOOKUP(ROWS($W$3:W166),$U$3:$V$992,2,0),"")</f>
        <v>Výroba koksárenských produktů</v>
      </c>
      <c r="X166">
        <f>IF(ISNUMBER(SEARCH('1Př1'!$A$35,N166)),MAX($M$2:M165)+1,0)</f>
        <v>164</v>
      </c>
      <c r="Y166" s="336" t="s">
        <v>1535</v>
      </c>
      <c r="Z166" t="str">
        <f>IFERROR(VLOOKUP(ROWS($Z$3:Z166),$X$3:$Y$992,2,0),"")</f>
        <v>Výroba koksárenských produktů</v>
      </c>
    </row>
    <row r="167" spans="1:26" ht="12.75" customHeight="1">
      <c r="A167" s="312"/>
      <c r="B167" s="312"/>
      <c r="C167" s="312"/>
      <c r="D167" s="328">
        <f>IF(ISNUMBER(SEARCH(ZAKL_DATA!$B$14,E167)),MAX($D$2:D166)+1,0)</f>
        <v>165</v>
      </c>
      <c r="E167" s="342" t="s">
        <v>1537</v>
      </c>
      <c r="F167" s="343">
        <v>3104</v>
      </c>
      <c r="G167" s="344"/>
      <c r="H167" s="345" t="str">
        <f>IFERROR(VLOOKUP(ROWS($H$3:H167),$D$3:$E$204,2,0),"")</f>
        <v>KONICE</v>
      </c>
      <c r="I167" s="312"/>
      <c r="J167" s="347" t="s">
        <v>1538</v>
      </c>
      <c r="K167" s="334" t="s">
        <v>1539</v>
      </c>
      <c r="M167" s="335">
        <f>IF(ISNUMBER(SEARCH(ZAKL_DATA!$B$29,N167)),MAX($M$2:M166)+1,0)</f>
        <v>165</v>
      </c>
      <c r="N167" s="336" t="s">
        <v>1540</v>
      </c>
      <c r="O167" s="353" t="s">
        <v>1541</v>
      </c>
      <c r="P167" s="338"/>
      <c r="Q167" s="339" t="str">
        <f>IFERROR(VLOOKUP(ROWS($Q$3:Q167),$M$3:$N$992,2,0),"")</f>
        <v>Výroba rafinovaných ropných produktů</v>
      </c>
      <c r="R167">
        <f>IF(ISNUMBER(SEARCH('1Př1'!$A$33,N167)),MAX($M$2:M166)+1,0)</f>
        <v>165</v>
      </c>
      <c r="S167" s="336" t="s">
        <v>1540</v>
      </c>
      <c r="T167" t="str">
        <f>IFERROR(VLOOKUP(ROWS($T$3:T167),$R$3:$S$992,2,0),"")</f>
        <v>Výroba rafinovaných ropných produktů</v>
      </c>
      <c r="U167">
        <f>IF(ISNUMBER(SEARCH('1Př1'!$A$34,N167)),MAX($M$2:M166)+1,0)</f>
        <v>165</v>
      </c>
      <c r="V167" s="336" t="s">
        <v>1540</v>
      </c>
      <c r="W167" t="str">
        <f>IFERROR(VLOOKUP(ROWS($W$3:W167),$U$3:$V$992,2,0),"")</f>
        <v>Výroba rafinovaných ropných produktů</v>
      </c>
      <c r="X167">
        <f>IF(ISNUMBER(SEARCH('1Př1'!$A$35,N167)),MAX($M$2:M166)+1,0)</f>
        <v>165</v>
      </c>
      <c r="Y167" s="336" t="s">
        <v>1540</v>
      </c>
      <c r="Z167" t="str">
        <f>IFERROR(VLOOKUP(ROWS($Z$3:Z167),$X$3:$Y$992,2,0),"")</f>
        <v>Výroba rafinovaných ropných produktů</v>
      </c>
    </row>
    <row r="168" spans="1:26" ht="12.75" customHeight="1">
      <c r="A168" s="312"/>
      <c r="B168" s="312"/>
      <c r="C168" s="312"/>
      <c r="D168" s="328">
        <f>IF(ISNUMBER(SEARCH(ZAKL_DATA!$B$14,E168)),MAX($D$2:D167)+1,0)</f>
        <v>166</v>
      </c>
      <c r="E168" s="342" t="s">
        <v>1542</v>
      </c>
      <c r="F168" s="343">
        <v>3105</v>
      </c>
      <c r="G168" s="344"/>
      <c r="H168" s="345" t="str">
        <f>IFERROR(VLOOKUP(ROWS($H$3:H168),$D$3:$E$204,2,0),"")</f>
        <v>LITOVEL</v>
      </c>
      <c r="I168" s="312"/>
      <c r="J168" s="347" t="s">
        <v>1543</v>
      </c>
      <c r="K168" s="334" t="s">
        <v>1544</v>
      </c>
      <c r="M168" s="335">
        <f>IF(ISNUMBER(SEARCH(ZAKL_DATA!$B$29,N168)),MAX($M$2:M167)+1,0)</f>
        <v>166</v>
      </c>
      <c r="N168" s="336" t="s">
        <v>1545</v>
      </c>
      <c r="O168" s="337" t="s">
        <v>1546</v>
      </c>
      <c r="P168" s="338"/>
      <c r="Q168" s="339" t="str">
        <f>IFERROR(VLOOKUP(ROWS($Q$3:Q168),$M$3:$N$992,2,0),"")</f>
        <v>Výroba zákl.chem.látek,hnojiv a dusík.sl.,plastů a synt.kaučuku v prim.f.</v>
      </c>
      <c r="R168">
        <f>IF(ISNUMBER(SEARCH('1Př1'!$A$33,N168)),MAX($M$2:M167)+1,0)</f>
        <v>166</v>
      </c>
      <c r="S168" s="336" t="s">
        <v>1545</v>
      </c>
      <c r="T168" t="str">
        <f>IFERROR(VLOOKUP(ROWS($T$3:T168),$R$3:$S$992,2,0),"")</f>
        <v>Výroba zákl.chem.látek,hnojiv a dusík.sl.,plastů a synt.kaučuku v prim.f.</v>
      </c>
      <c r="U168">
        <f>IF(ISNUMBER(SEARCH('1Př1'!$A$34,N168)),MAX($M$2:M167)+1,0)</f>
        <v>166</v>
      </c>
      <c r="V168" s="336" t="s">
        <v>1545</v>
      </c>
      <c r="W168" t="str">
        <f>IFERROR(VLOOKUP(ROWS($W$3:W168),$U$3:$V$992,2,0),"")</f>
        <v>Výroba zákl.chem.látek,hnojiv a dusík.sl.,plastů a synt.kaučuku v prim.f.</v>
      </c>
      <c r="X168">
        <f>IF(ISNUMBER(SEARCH('1Př1'!$A$35,N168)),MAX($M$2:M167)+1,0)</f>
        <v>166</v>
      </c>
      <c r="Y168" s="336" t="s">
        <v>1545</v>
      </c>
      <c r="Z168" t="str">
        <f>IFERROR(VLOOKUP(ROWS($Z$3:Z168),$X$3:$Y$992,2,0),"")</f>
        <v>Výroba zákl.chem.látek,hnojiv a dusík.sl.,plastů a synt.kaučuku v prim.f.</v>
      </c>
    </row>
    <row r="169" spans="1:26" ht="12.75" customHeight="1">
      <c r="A169" s="312"/>
      <c r="B169" s="312"/>
      <c r="C169" s="312"/>
      <c r="D169" s="328">
        <f>IF(ISNUMBER(SEARCH(ZAKL_DATA!$B$14,E169)),MAX($D$2:D168)+1,0)</f>
        <v>167</v>
      </c>
      <c r="E169" s="342" t="s">
        <v>1547</v>
      </c>
      <c r="F169" s="343">
        <v>3106</v>
      </c>
      <c r="G169" s="344"/>
      <c r="H169" s="345" t="str">
        <f>IFERROR(VLOOKUP(ROWS($H$3:H169),$D$3:$E$204,2,0),"")</f>
        <v>PROSTĚJOV</v>
      </c>
      <c r="I169" s="312"/>
      <c r="J169" s="347" t="s">
        <v>1548</v>
      </c>
      <c r="K169" s="334" t="s">
        <v>1549</v>
      </c>
      <c r="M169" s="335">
        <f>IF(ISNUMBER(SEARCH(ZAKL_DATA!$B$29,N169)),MAX($M$2:M168)+1,0)</f>
        <v>167</v>
      </c>
      <c r="N169" s="336" t="s">
        <v>1550</v>
      </c>
      <c r="O169" s="337" t="s">
        <v>1551</v>
      </c>
      <c r="P169" s="338"/>
      <c r="Q169" s="339" t="str">
        <f>IFERROR(VLOOKUP(ROWS($Q$3:Q169),$M$3:$N$992,2,0),"")</f>
        <v>Výroba pesticidů a jiných agrochemických přípravků</v>
      </c>
      <c r="R169">
        <f>IF(ISNUMBER(SEARCH('1Př1'!$A$33,N169)),MAX($M$2:M168)+1,0)</f>
        <v>167</v>
      </c>
      <c r="S169" s="336" t="s">
        <v>1550</v>
      </c>
      <c r="T169" t="str">
        <f>IFERROR(VLOOKUP(ROWS($T$3:T169),$R$3:$S$992,2,0),"")</f>
        <v>Výroba pesticidů a jiných agrochemických přípravků</v>
      </c>
      <c r="U169">
        <f>IF(ISNUMBER(SEARCH('1Př1'!$A$34,N169)),MAX($M$2:M168)+1,0)</f>
        <v>167</v>
      </c>
      <c r="V169" s="336" t="s">
        <v>1550</v>
      </c>
      <c r="W169" t="str">
        <f>IFERROR(VLOOKUP(ROWS($W$3:W169),$U$3:$V$992,2,0),"")</f>
        <v>Výroba pesticidů a jiných agrochemických přípravků</v>
      </c>
      <c r="X169">
        <f>IF(ISNUMBER(SEARCH('1Př1'!$A$35,N169)),MAX($M$2:M168)+1,0)</f>
        <v>167</v>
      </c>
      <c r="Y169" s="336" t="s">
        <v>1550</v>
      </c>
      <c r="Z169" t="str">
        <f>IFERROR(VLOOKUP(ROWS($Z$3:Z169),$X$3:$Y$992,2,0),"")</f>
        <v>Výroba pesticidů a jiných agrochemických přípravků</v>
      </c>
    </row>
    <row r="170" spans="1:26" ht="12.75" customHeight="1">
      <c r="A170" s="312"/>
      <c r="B170" s="312"/>
      <c r="C170" s="312"/>
      <c r="D170" s="328">
        <f>IF(ISNUMBER(SEARCH(ZAKL_DATA!$B$14,E170)),MAX($D$2:D169)+1,0)</f>
        <v>168</v>
      </c>
      <c r="E170" s="342" t="s">
        <v>1552</v>
      </c>
      <c r="F170" s="343">
        <v>3107</v>
      </c>
      <c r="G170" s="344"/>
      <c r="H170" s="345" t="str">
        <f>IFERROR(VLOOKUP(ROWS($H$3:H170),$D$3:$E$204,2,0),"")</f>
        <v>PŘEROV</v>
      </c>
      <c r="I170" s="312"/>
      <c r="J170" s="347" t="s">
        <v>1553</v>
      </c>
      <c r="K170" s="334" t="s">
        <v>1554</v>
      </c>
      <c r="M170" s="335">
        <f>IF(ISNUMBER(SEARCH(ZAKL_DATA!$B$29,N170)),MAX($M$2:M169)+1,0)</f>
        <v>168</v>
      </c>
      <c r="N170" s="336" t="s">
        <v>1555</v>
      </c>
      <c r="O170" s="337" t="s">
        <v>1556</v>
      </c>
      <c r="P170" s="338"/>
      <c r="Q170" s="339" t="str">
        <f>IFERROR(VLOOKUP(ROWS($Q$3:Q170),$M$3:$N$992,2,0),"")</f>
        <v>Výroba nátěr.barev,laků a jiných nátěrových mater.,tisk.barev a tmelů</v>
      </c>
      <c r="R170">
        <f>IF(ISNUMBER(SEARCH('1Př1'!$A$33,N170)),MAX($M$2:M169)+1,0)</f>
        <v>168</v>
      </c>
      <c r="S170" s="336" t="s">
        <v>1555</v>
      </c>
      <c r="T170" t="str">
        <f>IFERROR(VLOOKUP(ROWS($T$3:T170),$R$3:$S$992,2,0),"")</f>
        <v>Výroba nátěr.barev,laků a jiných nátěrových mater.,tisk.barev a tmelů</v>
      </c>
      <c r="U170">
        <f>IF(ISNUMBER(SEARCH('1Př1'!$A$34,N170)),MAX($M$2:M169)+1,0)</f>
        <v>168</v>
      </c>
      <c r="V170" s="336" t="s">
        <v>1555</v>
      </c>
      <c r="W170" t="str">
        <f>IFERROR(VLOOKUP(ROWS($W$3:W170),$U$3:$V$992,2,0),"")</f>
        <v>Výroba nátěr.barev,laků a jiných nátěrových mater.,tisk.barev a tmelů</v>
      </c>
      <c r="X170">
        <f>IF(ISNUMBER(SEARCH('1Př1'!$A$35,N170)),MAX($M$2:M169)+1,0)</f>
        <v>168</v>
      </c>
      <c r="Y170" s="336" t="s">
        <v>1555</v>
      </c>
      <c r="Z170" t="str">
        <f>IFERROR(VLOOKUP(ROWS($Z$3:Z170),$X$3:$Y$992,2,0),"")</f>
        <v>Výroba nátěr.barev,laků a jiných nátěrových mater.,tisk.barev a tmelů</v>
      </c>
    </row>
    <row r="171" spans="1:26" ht="12.75" customHeight="1">
      <c r="A171" s="312"/>
      <c r="B171" s="312"/>
      <c r="C171" s="312"/>
      <c r="D171" s="328">
        <f>IF(ISNUMBER(SEARCH(ZAKL_DATA!$B$14,E171)),MAX($D$2:D170)+1,0)</f>
        <v>169</v>
      </c>
      <c r="E171" s="342" t="s">
        <v>1557</v>
      </c>
      <c r="F171" s="343">
        <v>3108</v>
      </c>
      <c r="G171" s="344"/>
      <c r="H171" s="345" t="str">
        <f>IFERROR(VLOOKUP(ROWS($H$3:H171),$D$3:$E$204,2,0),"")</f>
        <v>ŠTERNBERK</v>
      </c>
      <c r="I171" s="312"/>
      <c r="J171" s="347" t="s">
        <v>1558</v>
      </c>
      <c r="K171" s="334" t="s">
        <v>1559</v>
      </c>
      <c r="M171" s="335">
        <f>IF(ISNUMBER(SEARCH(ZAKL_DATA!$B$29,N171)),MAX($M$2:M170)+1,0)</f>
        <v>169</v>
      </c>
      <c r="N171" s="336" t="s">
        <v>1560</v>
      </c>
      <c r="O171" s="337" t="s">
        <v>1561</v>
      </c>
      <c r="P171" s="338"/>
      <c r="Q171" s="339" t="str">
        <f>IFERROR(VLOOKUP(ROWS($Q$3:Q171),$M$3:$N$992,2,0),"")</f>
        <v>Výroba mýdel a detergentů,čist.a lešticích prostř.,parfémů a toal. přípr.</v>
      </c>
      <c r="R171">
        <f>IF(ISNUMBER(SEARCH('1Př1'!$A$33,N171)),MAX($M$2:M170)+1,0)</f>
        <v>169</v>
      </c>
      <c r="S171" s="336" t="s">
        <v>1560</v>
      </c>
      <c r="T171" t="str">
        <f>IFERROR(VLOOKUP(ROWS($T$3:T171),$R$3:$S$992,2,0),"")</f>
        <v>Výroba mýdel a detergentů,čist.a lešticích prostř.,parfémů a toal. přípr.</v>
      </c>
      <c r="U171">
        <f>IF(ISNUMBER(SEARCH('1Př1'!$A$34,N171)),MAX($M$2:M170)+1,0)</f>
        <v>169</v>
      </c>
      <c r="V171" s="336" t="s">
        <v>1560</v>
      </c>
      <c r="W171" t="str">
        <f>IFERROR(VLOOKUP(ROWS($W$3:W171),$U$3:$V$992,2,0),"")</f>
        <v>Výroba mýdel a detergentů,čist.a lešticích prostř.,parfémů a toal. přípr.</v>
      </c>
      <c r="X171">
        <f>IF(ISNUMBER(SEARCH('1Př1'!$A$35,N171)),MAX($M$2:M170)+1,0)</f>
        <v>169</v>
      </c>
      <c r="Y171" s="336" t="s">
        <v>1560</v>
      </c>
      <c r="Z171" t="str">
        <f>IFERROR(VLOOKUP(ROWS($Z$3:Z171),$X$3:$Y$992,2,0),"")</f>
        <v>Výroba mýdel a detergentů,čist.a lešticích prostř.,parfémů a toal. přípr.</v>
      </c>
    </row>
    <row r="172" spans="1:26" ht="12.75" customHeight="1">
      <c r="A172" s="312"/>
      <c r="B172" s="312"/>
      <c r="C172" s="312"/>
      <c r="D172" s="328">
        <f>IF(ISNUMBER(SEARCH(ZAKL_DATA!$B$14,E172)),MAX($D$2:D171)+1,0)</f>
        <v>170</v>
      </c>
      <c r="E172" s="342" t="s">
        <v>1562</v>
      </c>
      <c r="F172" s="343">
        <v>3109</v>
      </c>
      <c r="G172" s="344"/>
      <c r="H172" s="345" t="str">
        <f>IFERROR(VLOOKUP(ROWS($H$3:H172),$D$3:$E$204,2,0),"")</f>
        <v>ŠUMPERK</v>
      </c>
      <c r="I172" s="312"/>
      <c r="J172" s="347" t="s">
        <v>1563</v>
      </c>
      <c r="K172" s="334" t="s">
        <v>1564</v>
      </c>
      <c r="M172" s="335">
        <f>IF(ISNUMBER(SEARCH(ZAKL_DATA!$B$29,N172)),MAX($M$2:M171)+1,0)</f>
        <v>170</v>
      </c>
      <c r="N172" s="336" t="s">
        <v>1565</v>
      </c>
      <c r="O172" s="353" t="s">
        <v>1566</v>
      </c>
      <c r="P172" s="338"/>
      <c r="Q172" s="339" t="str">
        <f>IFERROR(VLOOKUP(ROWS($Q$3:Q172),$M$3:$N$992,2,0),"")</f>
        <v>Výroba ostatních chemických výrobků</v>
      </c>
      <c r="R172">
        <f>IF(ISNUMBER(SEARCH('1Př1'!$A$33,N172)),MAX($M$2:M171)+1,0)</f>
        <v>170</v>
      </c>
      <c r="S172" s="336" t="s">
        <v>1565</v>
      </c>
      <c r="T172" t="str">
        <f>IFERROR(VLOOKUP(ROWS($T$3:T172),$R$3:$S$992,2,0),"")</f>
        <v>Výroba ostatních chemických výrobků</v>
      </c>
      <c r="U172">
        <f>IF(ISNUMBER(SEARCH('1Př1'!$A$34,N172)),MAX($M$2:M171)+1,0)</f>
        <v>170</v>
      </c>
      <c r="V172" s="336" t="s">
        <v>1565</v>
      </c>
      <c r="W172" t="str">
        <f>IFERROR(VLOOKUP(ROWS($W$3:W172),$U$3:$V$992,2,0),"")</f>
        <v>Výroba ostatních chemických výrobků</v>
      </c>
      <c r="X172">
        <f>IF(ISNUMBER(SEARCH('1Př1'!$A$35,N172)),MAX($M$2:M171)+1,0)</f>
        <v>170</v>
      </c>
      <c r="Y172" s="336" t="s">
        <v>1565</v>
      </c>
      <c r="Z172" t="str">
        <f>IFERROR(VLOOKUP(ROWS($Z$3:Z172),$X$3:$Y$992,2,0),"")</f>
        <v>Výroba ostatních chemických výrobků</v>
      </c>
    </row>
    <row r="173" spans="1:26" ht="12.75" customHeight="1">
      <c r="A173" s="312"/>
      <c r="B173" s="312"/>
      <c r="C173" s="312"/>
      <c r="D173" s="328">
        <f>IF(ISNUMBER(SEARCH(ZAKL_DATA!$B$14,E173)),MAX($D$2:D172)+1,0)</f>
        <v>171</v>
      </c>
      <c r="E173" s="342" t="s">
        <v>1567</v>
      </c>
      <c r="F173" s="343">
        <v>3110</v>
      </c>
      <c r="G173" s="344"/>
      <c r="H173" s="345" t="str">
        <f>IFERROR(VLOOKUP(ROWS($H$3:H173),$D$3:$E$204,2,0),"")</f>
        <v>ZÁBŘEH</v>
      </c>
      <c r="I173" s="312"/>
      <c r="J173" s="347" t="s">
        <v>1568</v>
      </c>
      <c r="K173" s="334" t="s">
        <v>1569</v>
      </c>
      <c r="M173" s="335">
        <f>IF(ISNUMBER(SEARCH(ZAKL_DATA!$B$29,N173)),MAX($M$2:M172)+1,0)</f>
        <v>171</v>
      </c>
      <c r="N173" s="336" t="s">
        <v>1570</v>
      </c>
      <c r="O173" s="337" t="s">
        <v>1571</v>
      </c>
      <c r="P173" s="338"/>
      <c r="Q173" s="339" t="str">
        <f>IFERROR(VLOOKUP(ROWS($Q$3:Q173),$M$3:$N$992,2,0),"")</f>
        <v>Výroba chemických vláken</v>
      </c>
      <c r="R173">
        <f>IF(ISNUMBER(SEARCH('1Př1'!$A$33,N173)),MAX($M$2:M172)+1,0)</f>
        <v>171</v>
      </c>
      <c r="S173" s="336" t="s">
        <v>1570</v>
      </c>
      <c r="T173" t="str">
        <f>IFERROR(VLOOKUP(ROWS($T$3:T173),$R$3:$S$992,2,0),"")</f>
        <v>Výroba chemických vláken</v>
      </c>
      <c r="U173">
        <f>IF(ISNUMBER(SEARCH('1Př1'!$A$34,N173)),MAX($M$2:M172)+1,0)</f>
        <v>171</v>
      </c>
      <c r="V173" s="336" t="s">
        <v>1570</v>
      </c>
      <c r="W173" t="str">
        <f>IFERROR(VLOOKUP(ROWS($W$3:W173),$U$3:$V$992,2,0),"")</f>
        <v>Výroba chemických vláken</v>
      </c>
      <c r="X173">
        <f>IF(ISNUMBER(SEARCH('1Př1'!$A$35,N173)),MAX($M$2:M172)+1,0)</f>
        <v>171</v>
      </c>
      <c r="Y173" s="336" t="s">
        <v>1570</v>
      </c>
      <c r="Z173" t="str">
        <f>IFERROR(VLOOKUP(ROWS($Z$3:Z173),$X$3:$Y$992,2,0),"")</f>
        <v>Výroba chemických vláken</v>
      </c>
    </row>
    <row r="174" spans="1:26" ht="12.75" customHeight="1">
      <c r="A174" s="312"/>
      <c r="B174" s="312"/>
      <c r="C174" s="312"/>
      <c r="D174" s="328">
        <f>IF(ISNUMBER(SEARCH(ZAKL_DATA!$B$14,E174)),MAX($D$2:D173)+1,0)</f>
        <v>172</v>
      </c>
      <c r="E174" s="342" t="s">
        <v>1572</v>
      </c>
      <c r="F174" s="343">
        <v>3201</v>
      </c>
      <c r="G174" s="344"/>
      <c r="H174" s="345" t="str">
        <f>IFERROR(VLOOKUP(ROWS($H$3:H174),$D$3:$E$204,2,0),"")</f>
        <v>OSTRAVA I</v>
      </c>
      <c r="I174" s="312"/>
      <c r="J174" s="347" t="s">
        <v>1573</v>
      </c>
      <c r="K174" s="334" t="s">
        <v>1574</v>
      </c>
      <c r="M174" s="335">
        <f>IF(ISNUMBER(SEARCH(ZAKL_DATA!$B$29,N174)),MAX($M$2:M173)+1,0)</f>
        <v>172</v>
      </c>
      <c r="N174" s="336" t="s">
        <v>1575</v>
      </c>
      <c r="O174" s="353" t="s">
        <v>1576</v>
      </c>
      <c r="P174" s="338"/>
      <c r="Q174" s="339" t="str">
        <f>IFERROR(VLOOKUP(ROWS($Q$3:Q174),$M$3:$N$992,2,0),"")</f>
        <v>Výroba základních farmaceutických výrobků</v>
      </c>
      <c r="R174">
        <f>IF(ISNUMBER(SEARCH('1Př1'!$A$33,N174)),MAX($M$2:M173)+1,0)</f>
        <v>172</v>
      </c>
      <c r="S174" s="336" t="s">
        <v>1575</v>
      </c>
      <c r="T174" t="str">
        <f>IFERROR(VLOOKUP(ROWS($T$3:T174),$R$3:$S$992,2,0),"")</f>
        <v>Výroba základních farmaceutických výrobků</v>
      </c>
      <c r="U174">
        <f>IF(ISNUMBER(SEARCH('1Př1'!$A$34,N174)),MAX($M$2:M173)+1,0)</f>
        <v>172</v>
      </c>
      <c r="V174" s="336" t="s">
        <v>1575</v>
      </c>
      <c r="W174" t="str">
        <f>IFERROR(VLOOKUP(ROWS($W$3:W174),$U$3:$V$992,2,0),"")</f>
        <v>Výroba základních farmaceutických výrobků</v>
      </c>
      <c r="X174">
        <f>IF(ISNUMBER(SEARCH('1Př1'!$A$35,N174)),MAX($M$2:M173)+1,0)</f>
        <v>172</v>
      </c>
      <c r="Y174" s="336" t="s">
        <v>1575</v>
      </c>
      <c r="Z174" t="str">
        <f>IFERROR(VLOOKUP(ROWS($Z$3:Z174),$X$3:$Y$992,2,0),"")</f>
        <v>Výroba základních farmaceutických výrobků</v>
      </c>
    </row>
    <row r="175" spans="1:26" ht="12.75" customHeight="1">
      <c r="A175" s="312"/>
      <c r="B175" s="312"/>
      <c r="C175" s="312"/>
      <c r="D175" s="328">
        <f>IF(ISNUMBER(SEARCH(ZAKL_DATA!$B$14,E175)),MAX($D$2:D174)+1,0)</f>
        <v>173</v>
      </c>
      <c r="E175" s="342" t="s">
        <v>1577</v>
      </c>
      <c r="F175" s="343">
        <v>3202</v>
      </c>
      <c r="G175" s="344"/>
      <c r="H175" s="345" t="str">
        <f>IFERROR(VLOOKUP(ROWS($H$3:H175),$D$3:$E$204,2,0),"")</f>
        <v>OSTRAVA II</v>
      </c>
      <c r="I175" s="312"/>
      <c r="J175" s="347" t="s">
        <v>1578</v>
      </c>
      <c r="K175" s="334" t="s">
        <v>1579</v>
      </c>
      <c r="M175" s="335">
        <f>IF(ISNUMBER(SEARCH(ZAKL_DATA!$B$29,N175)),MAX($M$2:M174)+1,0)</f>
        <v>173</v>
      </c>
      <c r="N175" s="336" t="s">
        <v>1580</v>
      </c>
      <c r="O175" s="337" t="s">
        <v>1581</v>
      </c>
      <c r="P175" s="338"/>
      <c r="Q175" s="339" t="str">
        <f>IFERROR(VLOOKUP(ROWS($Q$3:Q175),$M$3:$N$992,2,0),"")</f>
        <v>Výroba farmaceutických přípravků</v>
      </c>
      <c r="R175">
        <f>IF(ISNUMBER(SEARCH('1Př1'!$A$33,N175)),MAX($M$2:M174)+1,0)</f>
        <v>173</v>
      </c>
      <c r="S175" s="336" t="s">
        <v>1580</v>
      </c>
      <c r="T175" t="str">
        <f>IFERROR(VLOOKUP(ROWS($T$3:T175),$R$3:$S$992,2,0),"")</f>
        <v>Výroba farmaceutických přípravků</v>
      </c>
      <c r="U175">
        <f>IF(ISNUMBER(SEARCH('1Př1'!$A$34,N175)),MAX($M$2:M174)+1,0)</f>
        <v>173</v>
      </c>
      <c r="V175" s="336" t="s">
        <v>1580</v>
      </c>
      <c r="W175" t="str">
        <f>IFERROR(VLOOKUP(ROWS($W$3:W175),$U$3:$V$992,2,0),"")</f>
        <v>Výroba farmaceutických přípravků</v>
      </c>
      <c r="X175">
        <f>IF(ISNUMBER(SEARCH('1Př1'!$A$35,N175)),MAX($M$2:M174)+1,0)</f>
        <v>173</v>
      </c>
      <c r="Y175" s="336" t="s">
        <v>1580</v>
      </c>
      <c r="Z175" t="str">
        <f>IFERROR(VLOOKUP(ROWS($Z$3:Z175),$X$3:$Y$992,2,0),"")</f>
        <v>Výroba farmaceutických přípravků</v>
      </c>
    </row>
    <row r="176" spans="1:26" ht="12.75" customHeight="1">
      <c r="A176" s="312"/>
      <c r="B176" s="312"/>
      <c r="C176" s="312"/>
      <c r="D176" s="328">
        <f>IF(ISNUMBER(SEARCH(ZAKL_DATA!$B$14,E176)),MAX($D$2:D175)+1,0)</f>
        <v>174</v>
      </c>
      <c r="E176" s="342" t="s">
        <v>1582</v>
      </c>
      <c r="F176" s="343">
        <v>3203</v>
      </c>
      <c r="G176" s="344"/>
      <c r="H176" s="345" t="str">
        <f>IFERROR(VLOOKUP(ROWS($H$3:H176),$D$3:$E$204,2,0),"")</f>
        <v>OSTRAVA III</v>
      </c>
      <c r="I176" s="312"/>
      <c r="J176" s="347" t="s">
        <v>1583</v>
      </c>
      <c r="K176" s="334" t="s">
        <v>1584</v>
      </c>
      <c r="M176" s="335">
        <f>IF(ISNUMBER(SEARCH(ZAKL_DATA!$B$29,N176)),MAX($M$2:M175)+1,0)</f>
        <v>174</v>
      </c>
      <c r="N176" s="336" t="s">
        <v>1585</v>
      </c>
      <c r="O176" s="353" t="s">
        <v>1586</v>
      </c>
      <c r="P176" s="338"/>
      <c r="Q176" s="339" t="str">
        <f>IFERROR(VLOOKUP(ROWS($Q$3:Q176),$M$3:$N$992,2,0),"")</f>
        <v>Výroba pryžových výrobků</v>
      </c>
      <c r="R176">
        <f>IF(ISNUMBER(SEARCH('1Př1'!$A$33,N176)),MAX($M$2:M175)+1,0)</f>
        <v>174</v>
      </c>
      <c r="S176" s="336" t="s">
        <v>1585</v>
      </c>
      <c r="T176" t="str">
        <f>IFERROR(VLOOKUP(ROWS($T$3:T176),$R$3:$S$992,2,0),"")</f>
        <v>Výroba pryžových výrobků</v>
      </c>
      <c r="U176">
        <f>IF(ISNUMBER(SEARCH('1Př1'!$A$34,N176)),MAX($M$2:M175)+1,0)</f>
        <v>174</v>
      </c>
      <c r="V176" s="336" t="s">
        <v>1585</v>
      </c>
      <c r="W176" t="str">
        <f>IFERROR(VLOOKUP(ROWS($W$3:W176),$U$3:$V$992,2,0),"")</f>
        <v>Výroba pryžových výrobků</v>
      </c>
      <c r="X176">
        <f>IF(ISNUMBER(SEARCH('1Př1'!$A$35,N176)),MAX($M$2:M175)+1,0)</f>
        <v>174</v>
      </c>
      <c r="Y176" s="336" t="s">
        <v>1585</v>
      </c>
      <c r="Z176" t="str">
        <f>IFERROR(VLOOKUP(ROWS($Z$3:Z176),$X$3:$Y$992,2,0),"")</f>
        <v>Výroba pryžových výrobků</v>
      </c>
    </row>
    <row r="177" spans="1:26" ht="12.75" customHeight="1">
      <c r="A177" s="312"/>
      <c r="B177" s="312"/>
      <c r="C177" s="312"/>
      <c r="D177" s="328">
        <f>IF(ISNUMBER(SEARCH(ZAKL_DATA!$B$14,E177)),MAX($D$2:D176)+1,0)</f>
        <v>175</v>
      </c>
      <c r="E177" s="342" t="s">
        <v>1587</v>
      </c>
      <c r="F177" s="343">
        <v>3204</v>
      </c>
      <c r="G177" s="344"/>
      <c r="H177" s="345" t="str">
        <f>IFERROR(VLOOKUP(ROWS($H$3:H177),$D$3:$E$204,2,0),"")</f>
        <v>BOHUMÍN</v>
      </c>
      <c r="I177" s="312"/>
      <c r="J177" s="347" t="s">
        <v>1588</v>
      </c>
      <c r="K177" s="334" t="s">
        <v>1589</v>
      </c>
      <c r="M177" s="335">
        <f>IF(ISNUMBER(SEARCH(ZAKL_DATA!$B$29,N177)),MAX($M$2:M176)+1,0)</f>
        <v>175</v>
      </c>
      <c r="N177" s="336" t="s">
        <v>1590</v>
      </c>
      <c r="O177" s="337" t="s">
        <v>1591</v>
      </c>
      <c r="P177" s="338"/>
      <c r="Q177" s="339" t="str">
        <f>IFERROR(VLOOKUP(ROWS($Q$3:Q177),$M$3:$N$992,2,0),"")</f>
        <v>Výroba plastových výrobků</v>
      </c>
      <c r="R177">
        <f>IF(ISNUMBER(SEARCH('1Př1'!$A$33,N177)),MAX($M$2:M176)+1,0)</f>
        <v>175</v>
      </c>
      <c r="S177" s="336" t="s">
        <v>1590</v>
      </c>
      <c r="T177" t="str">
        <f>IFERROR(VLOOKUP(ROWS($T$3:T177),$R$3:$S$992,2,0),"")</f>
        <v>Výroba plastových výrobků</v>
      </c>
      <c r="U177">
        <f>IF(ISNUMBER(SEARCH('1Př1'!$A$34,N177)),MAX($M$2:M176)+1,0)</f>
        <v>175</v>
      </c>
      <c r="V177" s="336" t="s">
        <v>1590</v>
      </c>
      <c r="W177" t="str">
        <f>IFERROR(VLOOKUP(ROWS($W$3:W177),$U$3:$V$992,2,0),"")</f>
        <v>Výroba plastových výrobků</v>
      </c>
      <c r="X177">
        <f>IF(ISNUMBER(SEARCH('1Př1'!$A$35,N177)),MAX($M$2:M176)+1,0)</f>
        <v>175</v>
      </c>
      <c r="Y177" s="336" t="s">
        <v>1590</v>
      </c>
      <c r="Z177" t="str">
        <f>IFERROR(VLOOKUP(ROWS($Z$3:Z177),$X$3:$Y$992,2,0),"")</f>
        <v>Výroba plastových výrobků</v>
      </c>
    </row>
    <row r="178" spans="1:26" ht="12.75" customHeight="1">
      <c r="A178" s="312"/>
      <c r="B178" s="312"/>
      <c r="C178" s="312"/>
      <c r="D178" s="328">
        <f>IF(ISNUMBER(SEARCH(ZAKL_DATA!$B$14,E178)),MAX($D$2:D177)+1,0)</f>
        <v>176</v>
      </c>
      <c r="E178" s="342" t="s">
        <v>1592</v>
      </c>
      <c r="F178" s="343">
        <v>3205</v>
      </c>
      <c r="G178" s="344"/>
      <c r="H178" s="345" t="str">
        <f>IFERROR(VLOOKUP(ROWS($H$3:H178),$D$3:$E$204,2,0),"")</f>
        <v>BRUNTÁL</v>
      </c>
      <c r="I178" s="312"/>
      <c r="J178" s="347" t="s">
        <v>1593</v>
      </c>
      <c r="K178" s="334" t="s">
        <v>1594</v>
      </c>
      <c r="M178" s="335">
        <f>IF(ISNUMBER(SEARCH(ZAKL_DATA!$B$29,N178)),MAX($M$2:M177)+1,0)</f>
        <v>176</v>
      </c>
      <c r="N178" s="336" t="s">
        <v>1595</v>
      </c>
      <c r="O178" s="353" t="s">
        <v>1596</v>
      </c>
      <c r="P178" s="338"/>
      <c r="Q178" s="339" t="str">
        <f>IFERROR(VLOOKUP(ROWS($Q$3:Q178),$M$3:$N$992,2,0),"")</f>
        <v>Výroba skla a skleněných výrobků</v>
      </c>
      <c r="R178">
        <f>IF(ISNUMBER(SEARCH('1Př1'!$A$33,N178)),MAX($M$2:M177)+1,0)</f>
        <v>176</v>
      </c>
      <c r="S178" s="336" t="s">
        <v>1595</v>
      </c>
      <c r="T178" t="str">
        <f>IFERROR(VLOOKUP(ROWS($T$3:T178),$R$3:$S$992,2,0),"")</f>
        <v>Výroba skla a skleněných výrobků</v>
      </c>
      <c r="U178">
        <f>IF(ISNUMBER(SEARCH('1Př1'!$A$34,N178)),MAX($M$2:M177)+1,0)</f>
        <v>176</v>
      </c>
      <c r="V178" s="336" t="s">
        <v>1595</v>
      </c>
      <c r="W178" t="str">
        <f>IFERROR(VLOOKUP(ROWS($W$3:W178),$U$3:$V$992,2,0),"")</f>
        <v>Výroba skla a skleněných výrobků</v>
      </c>
      <c r="X178">
        <f>IF(ISNUMBER(SEARCH('1Př1'!$A$35,N178)),MAX($M$2:M177)+1,0)</f>
        <v>176</v>
      </c>
      <c r="Y178" s="336" t="s">
        <v>1595</v>
      </c>
      <c r="Z178" t="str">
        <f>IFERROR(VLOOKUP(ROWS($Z$3:Z178),$X$3:$Y$992,2,0),"")</f>
        <v>Výroba skla a skleněných výrobků</v>
      </c>
    </row>
    <row r="179" spans="1:26" ht="12.75" customHeight="1">
      <c r="A179" s="312"/>
      <c r="B179" s="312"/>
      <c r="C179" s="312"/>
      <c r="D179" s="328">
        <f>IF(ISNUMBER(SEARCH(ZAKL_DATA!$B$14,E179)),MAX($D$2:D178)+1,0)</f>
        <v>177</v>
      </c>
      <c r="E179" s="342" t="s">
        <v>1597</v>
      </c>
      <c r="F179" s="343">
        <v>3206</v>
      </c>
      <c r="G179" s="344"/>
      <c r="H179" s="345" t="str">
        <f>IFERROR(VLOOKUP(ROWS($H$3:H179),$D$3:$E$204,2,0),"")</f>
        <v>ČESKÝ TĚŠÍN</v>
      </c>
      <c r="I179" s="312"/>
      <c r="J179" s="347" t="s">
        <v>1598</v>
      </c>
      <c r="K179" s="334" t="s">
        <v>1599</v>
      </c>
      <c r="M179" s="335">
        <f>IF(ISNUMBER(SEARCH(ZAKL_DATA!$B$29,N179)),MAX($M$2:M178)+1,0)</f>
        <v>177</v>
      </c>
      <c r="N179" s="336" t="s">
        <v>1600</v>
      </c>
      <c r="O179" s="353" t="s">
        <v>1601</v>
      </c>
      <c r="P179" s="338"/>
      <c r="Q179" s="339" t="str">
        <f>IFERROR(VLOOKUP(ROWS($Q$3:Q179),$M$3:$N$992,2,0),"")</f>
        <v>Výroba žáruvzdorných výrobků</v>
      </c>
      <c r="R179">
        <f>IF(ISNUMBER(SEARCH('1Př1'!$A$33,N179)),MAX($M$2:M178)+1,0)</f>
        <v>177</v>
      </c>
      <c r="S179" s="336" t="s">
        <v>1600</v>
      </c>
      <c r="T179" t="str">
        <f>IFERROR(VLOOKUP(ROWS($T$3:T179),$R$3:$S$992,2,0),"")</f>
        <v>Výroba žáruvzdorných výrobků</v>
      </c>
      <c r="U179">
        <f>IF(ISNUMBER(SEARCH('1Př1'!$A$34,N179)),MAX($M$2:M178)+1,0)</f>
        <v>177</v>
      </c>
      <c r="V179" s="336" t="s">
        <v>1600</v>
      </c>
      <c r="W179" t="str">
        <f>IFERROR(VLOOKUP(ROWS($W$3:W179),$U$3:$V$992,2,0),"")</f>
        <v>Výroba žáruvzdorných výrobků</v>
      </c>
      <c r="X179">
        <f>IF(ISNUMBER(SEARCH('1Př1'!$A$35,N179)),MAX($M$2:M178)+1,0)</f>
        <v>177</v>
      </c>
      <c r="Y179" s="336" t="s">
        <v>1600</v>
      </c>
      <c r="Z179" t="str">
        <f>IFERROR(VLOOKUP(ROWS($Z$3:Z179),$X$3:$Y$992,2,0),"")</f>
        <v>Výroba žáruvzdorných výrobků</v>
      </c>
    </row>
    <row r="180" spans="1:26" ht="12.75" customHeight="1">
      <c r="A180" s="312"/>
      <c r="B180" s="312"/>
      <c r="C180" s="312"/>
      <c r="D180" s="328">
        <f>IF(ISNUMBER(SEARCH(ZAKL_DATA!$B$14,E180)),MAX($D$2:D179)+1,0)</f>
        <v>178</v>
      </c>
      <c r="E180" s="342" t="s">
        <v>1602</v>
      </c>
      <c r="F180" s="343">
        <v>3207</v>
      </c>
      <c r="G180" s="344"/>
      <c r="H180" s="345" t="str">
        <f>IFERROR(VLOOKUP(ROWS($H$3:H180),$D$3:$E$204,2,0),"")</f>
        <v>FRÝDEK-MÍSTEK</v>
      </c>
      <c r="I180" s="312"/>
      <c r="J180" s="347" t="s">
        <v>1603</v>
      </c>
      <c r="K180" s="334" t="s">
        <v>1604</v>
      </c>
      <c r="M180" s="335">
        <f>IF(ISNUMBER(SEARCH(ZAKL_DATA!$B$29,N180)),MAX($M$2:M179)+1,0)</f>
        <v>178</v>
      </c>
      <c r="N180" s="336" t="s">
        <v>1605</v>
      </c>
      <c r="O180" s="353" t="s">
        <v>1606</v>
      </c>
      <c r="P180" s="338"/>
      <c r="Q180" s="339" t="str">
        <f>IFERROR(VLOOKUP(ROWS($Q$3:Q180),$M$3:$N$992,2,0),"")</f>
        <v>Výroba stavebních výrobků z jílovitých materiálů</v>
      </c>
      <c r="R180">
        <f>IF(ISNUMBER(SEARCH('1Př1'!$A$33,N180)),MAX($M$2:M179)+1,0)</f>
        <v>178</v>
      </c>
      <c r="S180" s="336" t="s">
        <v>1605</v>
      </c>
      <c r="T180" t="str">
        <f>IFERROR(VLOOKUP(ROWS($T$3:T180),$R$3:$S$992,2,0),"")</f>
        <v>Výroba stavebních výrobků z jílovitých materiálů</v>
      </c>
      <c r="U180">
        <f>IF(ISNUMBER(SEARCH('1Př1'!$A$34,N180)),MAX($M$2:M179)+1,0)</f>
        <v>178</v>
      </c>
      <c r="V180" s="336" t="s">
        <v>1605</v>
      </c>
      <c r="W180" t="str">
        <f>IFERROR(VLOOKUP(ROWS($W$3:W180),$U$3:$V$992,2,0),"")</f>
        <v>Výroba stavebních výrobků z jílovitých materiálů</v>
      </c>
      <c r="X180">
        <f>IF(ISNUMBER(SEARCH('1Př1'!$A$35,N180)),MAX($M$2:M179)+1,0)</f>
        <v>178</v>
      </c>
      <c r="Y180" s="336" t="s">
        <v>1605</v>
      </c>
      <c r="Z180" t="str">
        <f>IFERROR(VLOOKUP(ROWS($Z$3:Z180),$X$3:$Y$992,2,0),"")</f>
        <v>Výroba stavebních výrobků z jílovitých materiálů</v>
      </c>
    </row>
    <row r="181" spans="1:26" ht="12.75" customHeight="1">
      <c r="A181" s="312"/>
      <c r="B181" s="312"/>
      <c r="C181" s="312"/>
      <c r="D181" s="328">
        <f>IF(ISNUMBER(SEARCH(ZAKL_DATA!$B$14,E181)),MAX($D$2:D180)+1,0)</f>
        <v>179</v>
      </c>
      <c r="E181" s="342" t="s">
        <v>1607</v>
      </c>
      <c r="F181" s="343">
        <v>3208</v>
      </c>
      <c r="G181" s="344"/>
      <c r="H181" s="345" t="str">
        <f>IFERROR(VLOOKUP(ROWS($H$3:H181),$D$3:$E$204,2,0),"")</f>
        <v>FRÝDLANT NAD OSTRAV.</v>
      </c>
      <c r="I181" s="312"/>
      <c r="J181" s="347" t="s">
        <v>1608</v>
      </c>
      <c r="K181" s="334" t="s">
        <v>1609</v>
      </c>
      <c r="M181" s="335">
        <f>IF(ISNUMBER(SEARCH(ZAKL_DATA!$B$29,N181)),MAX($M$2:M180)+1,0)</f>
        <v>179</v>
      </c>
      <c r="N181" s="336" t="s">
        <v>1610</v>
      </c>
      <c r="O181" s="353" t="s">
        <v>1611</v>
      </c>
      <c r="P181" s="338"/>
      <c r="Q181" s="339" t="str">
        <f>IFERROR(VLOOKUP(ROWS($Q$3:Q181),$M$3:$N$992,2,0),"")</f>
        <v>Výroba ostatních porcelánových a keramických výrobků</v>
      </c>
      <c r="R181">
        <f>IF(ISNUMBER(SEARCH('1Př1'!$A$33,N181)),MAX($M$2:M180)+1,0)</f>
        <v>179</v>
      </c>
      <c r="S181" s="336" t="s">
        <v>1610</v>
      </c>
      <c r="T181" t="str">
        <f>IFERROR(VLOOKUP(ROWS($T$3:T181),$R$3:$S$992,2,0),"")</f>
        <v>Výroba ostatních porcelánových a keramických výrobků</v>
      </c>
      <c r="U181">
        <f>IF(ISNUMBER(SEARCH('1Př1'!$A$34,N181)),MAX($M$2:M180)+1,0)</f>
        <v>179</v>
      </c>
      <c r="V181" s="336" t="s">
        <v>1610</v>
      </c>
      <c r="W181" t="str">
        <f>IFERROR(VLOOKUP(ROWS($W$3:W181),$U$3:$V$992,2,0),"")</f>
        <v>Výroba ostatních porcelánových a keramických výrobků</v>
      </c>
      <c r="X181">
        <f>IF(ISNUMBER(SEARCH('1Př1'!$A$35,N181)),MAX($M$2:M180)+1,0)</f>
        <v>179</v>
      </c>
      <c r="Y181" s="336" t="s">
        <v>1610</v>
      </c>
      <c r="Z181" t="str">
        <f>IFERROR(VLOOKUP(ROWS($Z$3:Z181),$X$3:$Y$992,2,0),"")</f>
        <v>Výroba ostatních porcelánových a keramických výrobků</v>
      </c>
    </row>
    <row r="182" spans="1:26" ht="12.75" customHeight="1">
      <c r="A182" s="312"/>
      <c r="B182" s="312"/>
      <c r="C182" s="312"/>
      <c r="D182" s="328">
        <f>IF(ISNUMBER(SEARCH(ZAKL_DATA!$B$14,E182)),MAX($D$2:D181)+1,0)</f>
        <v>180</v>
      </c>
      <c r="E182" s="342" t="s">
        <v>1612</v>
      </c>
      <c r="F182" s="343">
        <v>3209</v>
      </c>
      <c r="G182" s="344"/>
      <c r="H182" s="345" t="str">
        <f>IFERROR(VLOOKUP(ROWS($H$3:H182),$D$3:$E$204,2,0),"")</f>
        <v>FULNEK</v>
      </c>
      <c r="I182" s="312"/>
      <c r="J182" s="347" t="s">
        <v>1613</v>
      </c>
      <c r="K182" s="334" t="s">
        <v>1614</v>
      </c>
      <c r="M182" s="335">
        <f>IF(ISNUMBER(SEARCH(ZAKL_DATA!$B$29,N182)),MAX($M$2:M181)+1,0)</f>
        <v>180</v>
      </c>
      <c r="N182" s="336" t="s">
        <v>1615</v>
      </c>
      <c r="O182" s="353" t="s">
        <v>1616</v>
      </c>
      <c r="P182" s="338"/>
      <c r="Q182" s="339" t="str">
        <f>IFERROR(VLOOKUP(ROWS($Q$3:Q182),$M$3:$N$992,2,0),"")</f>
        <v>Výroba cementu, vápna a sádry</v>
      </c>
      <c r="R182">
        <f>IF(ISNUMBER(SEARCH('1Př1'!$A$33,N182)),MAX($M$2:M181)+1,0)</f>
        <v>180</v>
      </c>
      <c r="S182" s="336" t="s">
        <v>1615</v>
      </c>
      <c r="T182" t="str">
        <f>IFERROR(VLOOKUP(ROWS($T$3:T182),$R$3:$S$992,2,0),"")</f>
        <v>Výroba cementu, vápna a sádry</v>
      </c>
      <c r="U182">
        <f>IF(ISNUMBER(SEARCH('1Př1'!$A$34,N182)),MAX($M$2:M181)+1,0)</f>
        <v>180</v>
      </c>
      <c r="V182" s="336" t="s">
        <v>1615</v>
      </c>
      <c r="W182" t="str">
        <f>IFERROR(VLOOKUP(ROWS($W$3:W182),$U$3:$V$992,2,0),"")</f>
        <v>Výroba cementu, vápna a sádry</v>
      </c>
      <c r="X182">
        <f>IF(ISNUMBER(SEARCH('1Př1'!$A$35,N182)),MAX($M$2:M181)+1,0)</f>
        <v>180</v>
      </c>
      <c r="Y182" s="336" t="s">
        <v>1615</v>
      </c>
      <c r="Z182" t="str">
        <f>IFERROR(VLOOKUP(ROWS($Z$3:Z182),$X$3:$Y$992,2,0),"")</f>
        <v>Výroba cementu, vápna a sádry</v>
      </c>
    </row>
    <row r="183" spans="1:26" ht="12.75" customHeight="1">
      <c r="A183" s="312"/>
      <c r="B183" s="312"/>
      <c r="C183" s="312"/>
      <c r="D183" s="328">
        <f>IF(ISNUMBER(SEARCH(ZAKL_DATA!$B$14,E183)),MAX($D$2:D182)+1,0)</f>
        <v>181</v>
      </c>
      <c r="E183" s="342" t="s">
        <v>1617</v>
      </c>
      <c r="F183" s="343">
        <v>3210</v>
      </c>
      <c r="G183" s="344"/>
      <c r="H183" s="345" t="str">
        <f>IFERROR(VLOOKUP(ROWS($H$3:H183),$D$3:$E$204,2,0),"")</f>
        <v>HAVÍŘOV</v>
      </c>
      <c r="I183" s="312"/>
      <c r="J183" s="347" t="s">
        <v>1618</v>
      </c>
      <c r="K183" s="334" t="s">
        <v>1619</v>
      </c>
      <c r="M183" s="335">
        <f>IF(ISNUMBER(SEARCH(ZAKL_DATA!$B$29,N183)),MAX($M$2:M182)+1,0)</f>
        <v>181</v>
      </c>
      <c r="N183" s="336" t="s">
        <v>1620</v>
      </c>
      <c r="O183" s="353" t="s">
        <v>1621</v>
      </c>
      <c r="P183" s="338"/>
      <c r="Q183" s="339" t="str">
        <f>IFERROR(VLOOKUP(ROWS($Q$3:Q183),$M$3:$N$992,2,0),"")</f>
        <v>Výroba betonových, cementových a sádrových výrobků</v>
      </c>
      <c r="R183">
        <f>IF(ISNUMBER(SEARCH('1Př1'!$A$33,N183)),MAX($M$2:M182)+1,0)</f>
        <v>181</v>
      </c>
      <c r="S183" s="336" t="s">
        <v>1620</v>
      </c>
      <c r="T183" t="str">
        <f>IFERROR(VLOOKUP(ROWS($T$3:T183),$R$3:$S$992,2,0),"")</f>
        <v>Výroba betonových, cementových a sádrových výrobků</v>
      </c>
      <c r="U183">
        <f>IF(ISNUMBER(SEARCH('1Př1'!$A$34,N183)),MAX($M$2:M182)+1,0)</f>
        <v>181</v>
      </c>
      <c r="V183" s="336" t="s">
        <v>1620</v>
      </c>
      <c r="W183" t="str">
        <f>IFERROR(VLOOKUP(ROWS($W$3:W183),$U$3:$V$992,2,0),"")</f>
        <v>Výroba betonových, cementových a sádrových výrobků</v>
      </c>
      <c r="X183">
        <f>IF(ISNUMBER(SEARCH('1Př1'!$A$35,N183)),MAX($M$2:M182)+1,0)</f>
        <v>181</v>
      </c>
      <c r="Y183" s="336" t="s">
        <v>1620</v>
      </c>
      <c r="Z183" t="str">
        <f>IFERROR(VLOOKUP(ROWS($Z$3:Z183),$X$3:$Y$992,2,0),"")</f>
        <v>Výroba betonových, cementových a sádrových výrobků</v>
      </c>
    </row>
    <row r="184" spans="1:26" ht="12.75" customHeight="1">
      <c r="A184" s="312"/>
      <c r="B184" s="312"/>
      <c r="C184" s="312"/>
      <c r="D184" s="328">
        <f>IF(ISNUMBER(SEARCH(ZAKL_DATA!$B$14,E184)),MAX($D$2:D183)+1,0)</f>
        <v>182</v>
      </c>
      <c r="E184" s="342" t="s">
        <v>1622</v>
      </c>
      <c r="F184" s="343">
        <v>3211</v>
      </c>
      <c r="G184" s="344"/>
      <c r="H184" s="345" t="str">
        <f>IFERROR(VLOOKUP(ROWS($H$3:H184),$D$3:$E$204,2,0),"")</f>
        <v>HLUČÍN</v>
      </c>
      <c r="I184" s="312"/>
      <c r="J184" s="347" t="s">
        <v>1623</v>
      </c>
      <c r="K184" s="334" t="s">
        <v>1624</v>
      </c>
      <c r="M184" s="335">
        <f>IF(ISNUMBER(SEARCH(ZAKL_DATA!$B$29,N184)),MAX($M$2:M183)+1,0)</f>
        <v>182</v>
      </c>
      <c r="N184" s="336" t="s">
        <v>1625</v>
      </c>
      <c r="O184" s="353" t="s">
        <v>1626</v>
      </c>
      <c r="P184" s="338"/>
      <c r="Q184" s="339" t="str">
        <f>IFERROR(VLOOKUP(ROWS($Q$3:Q184),$M$3:$N$992,2,0),"")</f>
        <v>Řezání, tvarování a konečná úprava kamenů</v>
      </c>
      <c r="R184">
        <f>IF(ISNUMBER(SEARCH('1Př1'!$A$33,N184)),MAX($M$2:M183)+1,0)</f>
        <v>182</v>
      </c>
      <c r="S184" s="336" t="s">
        <v>1625</v>
      </c>
      <c r="T184" t="str">
        <f>IFERROR(VLOOKUP(ROWS($T$3:T184),$R$3:$S$992,2,0),"")</f>
        <v>Řezání, tvarování a konečná úprava kamenů</v>
      </c>
      <c r="U184">
        <f>IF(ISNUMBER(SEARCH('1Př1'!$A$34,N184)),MAX($M$2:M183)+1,0)</f>
        <v>182</v>
      </c>
      <c r="V184" s="336" t="s">
        <v>1625</v>
      </c>
      <c r="W184" t="str">
        <f>IFERROR(VLOOKUP(ROWS($W$3:W184),$U$3:$V$992,2,0),"")</f>
        <v>Řezání, tvarování a konečná úprava kamenů</v>
      </c>
      <c r="X184">
        <f>IF(ISNUMBER(SEARCH('1Př1'!$A$35,N184)),MAX($M$2:M183)+1,0)</f>
        <v>182</v>
      </c>
      <c r="Y184" s="336" t="s">
        <v>1625</v>
      </c>
      <c r="Z184" t="str">
        <f>IFERROR(VLOOKUP(ROWS($Z$3:Z184),$X$3:$Y$992,2,0),"")</f>
        <v>Řezání, tvarování a konečná úprava kamenů</v>
      </c>
    </row>
    <row r="185" spans="1:26" ht="12.75" customHeight="1">
      <c r="A185" s="312"/>
      <c r="B185" s="312"/>
      <c r="C185" s="312"/>
      <c r="D185" s="328">
        <f>IF(ISNUMBER(SEARCH(ZAKL_DATA!$B$14,E185)),MAX($D$2:D184)+1,0)</f>
        <v>183</v>
      </c>
      <c r="E185" s="342" t="s">
        <v>1627</v>
      </c>
      <c r="F185" s="343">
        <v>3212</v>
      </c>
      <c r="G185" s="344"/>
      <c r="H185" s="345" t="str">
        <f>IFERROR(VLOOKUP(ROWS($H$3:H185),$D$3:$E$204,2,0),"")</f>
        <v>KARVINÁ</v>
      </c>
      <c r="I185" s="312"/>
      <c r="J185" s="347" t="s">
        <v>1628</v>
      </c>
      <c r="K185" s="334" t="s">
        <v>1629</v>
      </c>
      <c r="M185" s="335">
        <f>IF(ISNUMBER(SEARCH(ZAKL_DATA!$B$29,N185)),MAX($M$2:M184)+1,0)</f>
        <v>183</v>
      </c>
      <c r="N185" s="336" t="s">
        <v>1630</v>
      </c>
      <c r="O185" s="337" t="s">
        <v>1631</v>
      </c>
      <c r="P185" s="338"/>
      <c r="Q185" s="339" t="str">
        <f>IFERROR(VLOOKUP(ROWS($Q$3:Q185),$M$3:$N$992,2,0),"")</f>
        <v>Výroba brusiv a ostatních nekovových minerálních výrobků j. n.</v>
      </c>
      <c r="R185">
        <f>IF(ISNUMBER(SEARCH('1Př1'!$A$33,N185)),MAX($M$2:M184)+1,0)</f>
        <v>183</v>
      </c>
      <c r="S185" s="336" t="s">
        <v>1630</v>
      </c>
      <c r="T185" t="str">
        <f>IFERROR(VLOOKUP(ROWS($T$3:T185),$R$3:$S$992,2,0),"")</f>
        <v>Výroba brusiv a ostatních nekovových minerálních výrobků j. n.</v>
      </c>
      <c r="U185">
        <f>IF(ISNUMBER(SEARCH('1Př1'!$A$34,N185)),MAX($M$2:M184)+1,0)</f>
        <v>183</v>
      </c>
      <c r="V185" s="336" t="s">
        <v>1630</v>
      </c>
      <c r="W185" t="str">
        <f>IFERROR(VLOOKUP(ROWS($W$3:W185),$U$3:$V$992,2,0),"")</f>
        <v>Výroba brusiv a ostatních nekovových minerálních výrobků j. n.</v>
      </c>
      <c r="X185">
        <f>IF(ISNUMBER(SEARCH('1Př1'!$A$35,N185)),MAX($M$2:M184)+1,0)</f>
        <v>183</v>
      </c>
      <c r="Y185" s="336" t="s">
        <v>1630</v>
      </c>
      <c r="Z185" t="str">
        <f>IFERROR(VLOOKUP(ROWS($Z$3:Z185),$X$3:$Y$992,2,0),"")</f>
        <v>Výroba brusiv a ostatních nekovových minerálních výrobků j. n.</v>
      </c>
    </row>
    <row r="186" spans="1:26" ht="12.75" customHeight="1">
      <c r="A186" s="312"/>
      <c r="B186" s="312"/>
      <c r="C186" s="312"/>
      <c r="D186" s="328">
        <f>IF(ISNUMBER(SEARCH(ZAKL_DATA!$B$14,E186)),MAX($D$2:D185)+1,0)</f>
        <v>184</v>
      </c>
      <c r="E186" s="342" t="s">
        <v>1632</v>
      </c>
      <c r="F186" s="343">
        <v>3213</v>
      </c>
      <c r="G186" s="344"/>
      <c r="H186" s="345" t="str">
        <f>IFERROR(VLOOKUP(ROWS($H$3:H186),$D$3:$E$204,2,0),"")</f>
        <v>KOPŘIVNICE</v>
      </c>
      <c r="I186" s="312"/>
      <c r="J186" s="347" t="s">
        <v>1633</v>
      </c>
      <c r="K186" s="334" t="s">
        <v>1634</v>
      </c>
      <c r="M186" s="335">
        <f>IF(ISNUMBER(SEARCH(ZAKL_DATA!$B$29,N186)),MAX($M$2:M185)+1,0)</f>
        <v>184</v>
      </c>
      <c r="N186" s="336" t="s">
        <v>1635</v>
      </c>
      <c r="O186" s="337" t="s">
        <v>1636</v>
      </c>
      <c r="P186" s="338"/>
      <c r="Q186" s="339" t="str">
        <f>IFERROR(VLOOKUP(ROWS($Q$3:Q186),$M$3:$N$992,2,0),"")</f>
        <v>Výroba sur.železa,oceli a feroslitin,ploch.výr.,tváření výrobků za tepla</v>
      </c>
      <c r="R186">
        <f>IF(ISNUMBER(SEARCH('1Př1'!$A$33,N186)),MAX($M$2:M185)+1,0)</f>
        <v>184</v>
      </c>
      <c r="S186" s="336" t="s">
        <v>1635</v>
      </c>
      <c r="T186" t="str">
        <f>IFERROR(VLOOKUP(ROWS($T$3:T186),$R$3:$S$992,2,0),"")</f>
        <v>Výroba sur.železa,oceli a feroslitin,ploch.výr.,tváření výrobků za tepla</v>
      </c>
      <c r="U186">
        <f>IF(ISNUMBER(SEARCH('1Př1'!$A$34,N186)),MAX($M$2:M185)+1,0)</f>
        <v>184</v>
      </c>
      <c r="V186" s="336" t="s">
        <v>1635</v>
      </c>
      <c r="W186" t="str">
        <f>IFERROR(VLOOKUP(ROWS($W$3:W186),$U$3:$V$992,2,0),"")</f>
        <v>Výroba sur.železa,oceli a feroslitin,ploch.výr.,tváření výrobků za tepla</v>
      </c>
      <c r="X186">
        <f>IF(ISNUMBER(SEARCH('1Př1'!$A$35,N186)),MAX($M$2:M185)+1,0)</f>
        <v>184</v>
      </c>
      <c r="Y186" s="336" t="s">
        <v>1635</v>
      </c>
      <c r="Z186" t="str">
        <f>IFERROR(VLOOKUP(ROWS($Z$3:Z186),$X$3:$Y$992,2,0),"")</f>
        <v>Výroba sur.železa,oceli a feroslitin,ploch.výr.,tváření výrobků za tepla</v>
      </c>
    </row>
    <row r="187" spans="1:26" ht="12.75" customHeight="1">
      <c r="A187" s="312"/>
      <c r="B187" s="312"/>
      <c r="C187" s="312"/>
      <c r="D187" s="328">
        <f>IF(ISNUMBER(SEARCH(ZAKL_DATA!$B$14,E187)),MAX($D$2:D186)+1,0)</f>
        <v>185</v>
      </c>
      <c r="E187" s="342" t="s">
        <v>1637</v>
      </c>
      <c r="F187" s="343">
        <v>3214</v>
      </c>
      <c r="G187" s="344"/>
      <c r="H187" s="345" t="str">
        <f>IFERROR(VLOOKUP(ROWS($H$3:H187),$D$3:$E$204,2,0),"")</f>
        <v>KRNOV</v>
      </c>
      <c r="I187" s="312"/>
      <c r="J187" s="347" t="s">
        <v>1638</v>
      </c>
      <c r="K187" s="334" t="s">
        <v>1639</v>
      </c>
      <c r="M187" s="335">
        <f>IF(ISNUMBER(SEARCH(ZAKL_DATA!$B$29,N187)),MAX($M$2:M186)+1,0)</f>
        <v>185</v>
      </c>
      <c r="N187" s="336" t="s">
        <v>1640</v>
      </c>
      <c r="O187" s="353" t="s">
        <v>1641</v>
      </c>
      <c r="P187" s="338"/>
      <c r="Q187" s="339" t="str">
        <f>IFERROR(VLOOKUP(ROWS($Q$3:Q187),$M$3:$N$992,2,0),"")</f>
        <v>Výroba ocelových trub,trubek,dutých profilů a souvis.potrubních tvarovek</v>
      </c>
      <c r="R187">
        <f>IF(ISNUMBER(SEARCH('1Př1'!$A$33,N187)),MAX($M$2:M186)+1,0)</f>
        <v>185</v>
      </c>
      <c r="S187" s="336" t="s">
        <v>1640</v>
      </c>
      <c r="T187" t="str">
        <f>IFERROR(VLOOKUP(ROWS($T$3:T187),$R$3:$S$992,2,0),"")</f>
        <v>Výroba ocelových trub,trubek,dutých profilů a souvis.potrubních tvarovek</v>
      </c>
      <c r="U187">
        <f>IF(ISNUMBER(SEARCH('1Př1'!$A$34,N187)),MAX($M$2:M186)+1,0)</f>
        <v>185</v>
      </c>
      <c r="V187" s="336" t="s">
        <v>1640</v>
      </c>
      <c r="W187" t="str">
        <f>IFERROR(VLOOKUP(ROWS($W$3:W187),$U$3:$V$992,2,0),"")</f>
        <v>Výroba ocelových trub,trubek,dutých profilů a souvis.potrubních tvarovek</v>
      </c>
      <c r="X187">
        <f>IF(ISNUMBER(SEARCH('1Př1'!$A$35,N187)),MAX($M$2:M186)+1,0)</f>
        <v>185</v>
      </c>
      <c r="Y187" s="336" t="s">
        <v>1640</v>
      </c>
      <c r="Z187" t="str">
        <f>IFERROR(VLOOKUP(ROWS($Z$3:Z187),$X$3:$Y$992,2,0),"")</f>
        <v>Výroba ocelových trub,trubek,dutých profilů a souvis.potrubních tvarovek</v>
      </c>
    </row>
    <row r="188" spans="1:26" ht="12.75" customHeight="1">
      <c r="A188" s="312"/>
      <c r="B188" s="312"/>
      <c r="C188" s="312"/>
      <c r="D188" s="328">
        <f>IF(ISNUMBER(SEARCH(ZAKL_DATA!$B$14,E188)),MAX($D$2:D187)+1,0)</f>
        <v>186</v>
      </c>
      <c r="E188" s="342" t="s">
        <v>1642</v>
      </c>
      <c r="F188" s="343">
        <v>3215</v>
      </c>
      <c r="G188" s="344"/>
      <c r="H188" s="345" t="str">
        <f>IFERROR(VLOOKUP(ROWS($H$3:H188),$D$3:$E$204,2,0),"")</f>
        <v>NOVÝ JIČÍN</v>
      </c>
      <c r="I188" s="312"/>
      <c r="J188" s="347" t="s">
        <v>1643</v>
      </c>
      <c r="K188" s="334" t="s">
        <v>1644</v>
      </c>
      <c r="M188" s="335">
        <f>IF(ISNUMBER(SEARCH(ZAKL_DATA!$B$29,N188)),MAX($M$2:M187)+1,0)</f>
        <v>186</v>
      </c>
      <c r="N188" s="336" t="s">
        <v>1645</v>
      </c>
      <c r="O188" s="337" t="s">
        <v>1646</v>
      </c>
      <c r="P188" s="338"/>
      <c r="Q188" s="339" t="str">
        <f>IFERROR(VLOOKUP(ROWS($Q$3:Q188),$M$3:$N$992,2,0),"")</f>
        <v>Výroba ostatních výrobků získaných jednostupňovým zpracováním oceli</v>
      </c>
      <c r="R188">
        <f>IF(ISNUMBER(SEARCH('1Př1'!$A$33,N188)),MAX($M$2:M187)+1,0)</f>
        <v>186</v>
      </c>
      <c r="S188" s="336" t="s">
        <v>1645</v>
      </c>
      <c r="T188" t="str">
        <f>IFERROR(VLOOKUP(ROWS($T$3:T188),$R$3:$S$992,2,0),"")</f>
        <v>Výroba ostatních výrobků získaných jednostupňovým zpracováním oceli</v>
      </c>
      <c r="U188">
        <f>IF(ISNUMBER(SEARCH('1Př1'!$A$34,N188)),MAX($M$2:M187)+1,0)</f>
        <v>186</v>
      </c>
      <c r="V188" s="336" t="s">
        <v>1645</v>
      </c>
      <c r="W188" t="str">
        <f>IFERROR(VLOOKUP(ROWS($W$3:W188),$U$3:$V$992,2,0),"")</f>
        <v>Výroba ostatních výrobků získaných jednostupňovým zpracováním oceli</v>
      </c>
      <c r="X188">
        <f>IF(ISNUMBER(SEARCH('1Př1'!$A$35,N188)),MAX($M$2:M187)+1,0)</f>
        <v>186</v>
      </c>
      <c r="Y188" s="336" t="s">
        <v>1645</v>
      </c>
      <c r="Z188" t="str">
        <f>IFERROR(VLOOKUP(ROWS($Z$3:Z188),$X$3:$Y$992,2,0),"")</f>
        <v>Výroba ostatních výrobků získaných jednostupňovým zpracováním oceli</v>
      </c>
    </row>
    <row r="189" spans="1:26" ht="12.75" customHeight="1">
      <c r="A189" s="312"/>
      <c r="B189" s="312"/>
      <c r="C189" s="312"/>
      <c r="D189" s="328">
        <f>IF(ISNUMBER(SEARCH(ZAKL_DATA!$B$14,E189)),MAX($D$2:D188)+1,0)</f>
        <v>187</v>
      </c>
      <c r="E189" s="342" t="s">
        <v>1647</v>
      </c>
      <c r="F189" s="343">
        <v>3216</v>
      </c>
      <c r="G189" s="344"/>
      <c r="H189" s="345" t="str">
        <f>IFERROR(VLOOKUP(ROWS($H$3:H189),$D$3:$E$204,2,0),"")</f>
        <v>OPAVA</v>
      </c>
      <c r="I189" s="312"/>
      <c r="J189" s="347" t="s">
        <v>1648</v>
      </c>
      <c r="K189" s="334" t="s">
        <v>1649</v>
      </c>
      <c r="M189" s="335">
        <f>IF(ISNUMBER(SEARCH(ZAKL_DATA!$B$29,N189)),MAX($M$2:M188)+1,0)</f>
        <v>187</v>
      </c>
      <c r="N189" s="336" t="s">
        <v>1650</v>
      </c>
      <c r="O189" s="353" t="s">
        <v>1651</v>
      </c>
      <c r="P189" s="338"/>
      <c r="Q189" s="339" t="str">
        <f>IFERROR(VLOOKUP(ROWS($Q$3:Q189),$M$3:$N$992,2,0),"")</f>
        <v>Výroba a hutní zpracování drahých a neželezných kovů</v>
      </c>
      <c r="R189">
        <f>IF(ISNUMBER(SEARCH('1Př1'!$A$33,N189)),MAX($M$2:M188)+1,0)</f>
        <v>187</v>
      </c>
      <c r="S189" s="336" t="s">
        <v>1650</v>
      </c>
      <c r="T189" t="str">
        <f>IFERROR(VLOOKUP(ROWS($T$3:T189),$R$3:$S$992,2,0),"")</f>
        <v>Výroba a hutní zpracování drahých a neželezných kovů</v>
      </c>
      <c r="U189">
        <f>IF(ISNUMBER(SEARCH('1Př1'!$A$34,N189)),MAX($M$2:M188)+1,0)</f>
        <v>187</v>
      </c>
      <c r="V189" s="336" t="s">
        <v>1650</v>
      </c>
      <c r="W189" t="str">
        <f>IFERROR(VLOOKUP(ROWS($W$3:W189),$U$3:$V$992,2,0),"")</f>
        <v>Výroba a hutní zpracování drahých a neželezných kovů</v>
      </c>
      <c r="X189">
        <f>IF(ISNUMBER(SEARCH('1Př1'!$A$35,N189)),MAX($M$2:M188)+1,0)</f>
        <v>187</v>
      </c>
      <c r="Y189" s="336" t="s">
        <v>1650</v>
      </c>
      <c r="Z189" t="str">
        <f>IFERROR(VLOOKUP(ROWS($Z$3:Z189),$X$3:$Y$992,2,0),"")</f>
        <v>Výroba a hutní zpracování drahých a neželezných kovů</v>
      </c>
    </row>
    <row r="190" spans="1:26" ht="12.75" customHeight="1">
      <c r="A190" s="312"/>
      <c r="B190" s="312"/>
      <c r="C190" s="312"/>
      <c r="D190" s="328">
        <f>IF(ISNUMBER(SEARCH(ZAKL_DATA!$B$14,E190)),MAX($D$2:D189)+1,0)</f>
        <v>188</v>
      </c>
      <c r="E190" s="342" t="s">
        <v>1652</v>
      </c>
      <c r="F190" s="343">
        <v>3217</v>
      </c>
      <c r="G190" s="344"/>
      <c r="H190" s="345" t="str">
        <f>IFERROR(VLOOKUP(ROWS($H$3:H190),$D$3:$E$204,2,0),"")</f>
        <v>ORLOVÁ</v>
      </c>
      <c r="I190" s="312"/>
      <c r="J190" s="347" t="s">
        <v>1653</v>
      </c>
      <c r="K190" s="334" t="s">
        <v>1654</v>
      </c>
      <c r="M190" s="335">
        <f>IF(ISNUMBER(SEARCH(ZAKL_DATA!$B$29,N190)),MAX($M$2:M189)+1,0)</f>
        <v>188</v>
      </c>
      <c r="N190" s="336" t="s">
        <v>1655</v>
      </c>
      <c r="O190" s="337" t="s">
        <v>1656</v>
      </c>
      <c r="P190" s="338"/>
      <c r="Q190" s="339" t="str">
        <f>IFERROR(VLOOKUP(ROWS($Q$3:Q190),$M$3:$N$992,2,0),"")</f>
        <v>Slévárenství</v>
      </c>
      <c r="R190">
        <f>IF(ISNUMBER(SEARCH('1Př1'!$A$33,N190)),MAX($M$2:M189)+1,0)</f>
        <v>188</v>
      </c>
      <c r="S190" s="336" t="s">
        <v>1655</v>
      </c>
      <c r="T190" t="str">
        <f>IFERROR(VLOOKUP(ROWS($T$3:T190),$R$3:$S$992,2,0),"")</f>
        <v>Slévárenství</v>
      </c>
      <c r="U190">
        <f>IF(ISNUMBER(SEARCH('1Př1'!$A$34,N190)),MAX($M$2:M189)+1,0)</f>
        <v>188</v>
      </c>
      <c r="V190" s="336" t="s">
        <v>1655</v>
      </c>
      <c r="W190" t="str">
        <f>IFERROR(VLOOKUP(ROWS($W$3:W190),$U$3:$V$992,2,0),"")</f>
        <v>Slévárenství</v>
      </c>
      <c r="X190">
        <f>IF(ISNUMBER(SEARCH('1Př1'!$A$35,N190)),MAX($M$2:M189)+1,0)</f>
        <v>188</v>
      </c>
      <c r="Y190" s="336" t="s">
        <v>1655</v>
      </c>
      <c r="Z190" t="str">
        <f>IFERROR(VLOOKUP(ROWS($Z$3:Z190),$X$3:$Y$992,2,0),"")</f>
        <v>Slévárenství</v>
      </c>
    </row>
    <row r="191" spans="1:26" ht="12.75" customHeight="1">
      <c r="A191" s="312"/>
      <c r="B191" s="312"/>
      <c r="C191" s="312"/>
      <c r="D191" s="328">
        <f>IF(ISNUMBER(SEARCH(ZAKL_DATA!$B$14,E191)),MAX($D$2:D190)+1,0)</f>
        <v>189</v>
      </c>
      <c r="E191" s="342" t="s">
        <v>1657</v>
      </c>
      <c r="F191" s="343">
        <v>3218</v>
      </c>
      <c r="G191" s="344"/>
      <c r="H191" s="345" t="str">
        <f>IFERROR(VLOOKUP(ROWS($H$3:H191),$D$3:$E$204,2,0),"")</f>
        <v>TŘINEC</v>
      </c>
      <c r="I191" s="312"/>
      <c r="J191" s="347" t="s">
        <v>1658</v>
      </c>
      <c r="K191" s="334" t="s">
        <v>1659</v>
      </c>
      <c r="M191" s="335">
        <f>IF(ISNUMBER(SEARCH(ZAKL_DATA!$B$29,N191)),MAX($M$2:M190)+1,0)</f>
        <v>189</v>
      </c>
      <c r="N191" s="336" t="s">
        <v>1660</v>
      </c>
      <c r="O191" s="353" t="s">
        <v>1661</v>
      </c>
      <c r="P191" s="338"/>
      <c r="Q191" s="339" t="str">
        <f>IFERROR(VLOOKUP(ROWS($Q$3:Q191),$M$3:$N$992,2,0),"")</f>
        <v>Výroba konstrukčních kovových výrobků</v>
      </c>
      <c r="R191">
        <f>IF(ISNUMBER(SEARCH('1Př1'!$A$33,N191)),MAX($M$2:M190)+1,0)</f>
        <v>189</v>
      </c>
      <c r="S191" s="336" t="s">
        <v>1660</v>
      </c>
      <c r="T191" t="str">
        <f>IFERROR(VLOOKUP(ROWS($T$3:T191),$R$3:$S$992,2,0),"")</f>
        <v>Výroba konstrukčních kovových výrobků</v>
      </c>
      <c r="U191">
        <f>IF(ISNUMBER(SEARCH('1Př1'!$A$34,N191)),MAX($M$2:M190)+1,0)</f>
        <v>189</v>
      </c>
      <c r="V191" s="336" t="s">
        <v>1660</v>
      </c>
      <c r="W191" t="str">
        <f>IFERROR(VLOOKUP(ROWS($W$3:W191),$U$3:$V$992,2,0),"")</f>
        <v>Výroba konstrukčních kovových výrobků</v>
      </c>
      <c r="X191">
        <f>IF(ISNUMBER(SEARCH('1Př1'!$A$35,N191)),MAX($M$2:M190)+1,0)</f>
        <v>189</v>
      </c>
      <c r="Y191" s="336" t="s">
        <v>1660</v>
      </c>
      <c r="Z191" t="str">
        <f>IFERROR(VLOOKUP(ROWS($Z$3:Z191),$X$3:$Y$992,2,0),"")</f>
        <v>Výroba konstrukčních kovových výrobků</v>
      </c>
    </row>
    <row r="192" spans="1:26" ht="12.75" customHeight="1">
      <c r="A192" s="312"/>
      <c r="B192" s="312"/>
      <c r="C192" s="312"/>
      <c r="D192" s="328">
        <f>IF(ISNUMBER(SEARCH(ZAKL_DATA!$B$14,E192)),MAX($D$2:D191)+1,0)</f>
        <v>190</v>
      </c>
      <c r="E192" s="342" t="s">
        <v>1662</v>
      </c>
      <c r="F192" s="343">
        <v>3301</v>
      </c>
      <c r="G192" s="344"/>
      <c r="H192" s="345" t="str">
        <f>IFERROR(VLOOKUP(ROWS($H$3:H192),$D$3:$E$204,2,0),"")</f>
        <v>ZLÍN</v>
      </c>
      <c r="I192" s="312"/>
      <c r="J192" s="347" t="s">
        <v>1663</v>
      </c>
      <c r="K192" s="334" t="s">
        <v>1664</v>
      </c>
      <c r="M192" s="335">
        <f>IF(ISNUMBER(SEARCH(ZAKL_DATA!$B$29,N192)),MAX($M$2:M191)+1,0)</f>
        <v>190</v>
      </c>
      <c r="N192" s="336" t="s">
        <v>1665</v>
      </c>
      <c r="O192" s="353" t="s">
        <v>1666</v>
      </c>
      <c r="P192" s="338"/>
      <c r="Q192" s="339" t="str">
        <f>IFERROR(VLOOKUP(ROWS($Q$3:Q192),$M$3:$N$992,2,0),"")</f>
        <v>Výroba radiátorů a kotlů k ústřednímu topení, kovových nádrží a zásobníků</v>
      </c>
      <c r="R192">
        <f>IF(ISNUMBER(SEARCH('1Př1'!$A$33,N192)),MAX($M$2:M191)+1,0)</f>
        <v>190</v>
      </c>
      <c r="S192" s="336" t="s">
        <v>1665</v>
      </c>
      <c r="T192" t="str">
        <f>IFERROR(VLOOKUP(ROWS($T$3:T192),$R$3:$S$992,2,0),"")</f>
        <v>Výroba radiátorů a kotlů k ústřednímu topení, kovových nádrží a zásobníků</v>
      </c>
      <c r="U192">
        <f>IF(ISNUMBER(SEARCH('1Př1'!$A$34,N192)),MAX($M$2:M191)+1,0)</f>
        <v>190</v>
      </c>
      <c r="V192" s="336" t="s">
        <v>1665</v>
      </c>
      <c r="W192" t="str">
        <f>IFERROR(VLOOKUP(ROWS($W$3:W192),$U$3:$V$992,2,0),"")</f>
        <v>Výroba radiátorů a kotlů k ústřednímu topení, kovových nádrží a zásobníků</v>
      </c>
      <c r="X192">
        <f>IF(ISNUMBER(SEARCH('1Př1'!$A$35,N192)),MAX($M$2:M191)+1,0)</f>
        <v>190</v>
      </c>
      <c r="Y192" s="336" t="s">
        <v>1665</v>
      </c>
      <c r="Z192" t="str">
        <f>IFERROR(VLOOKUP(ROWS($Z$3:Z192),$X$3:$Y$992,2,0),"")</f>
        <v>Výroba radiátorů a kotlů k ústřednímu topení, kovových nádrží a zásobníků</v>
      </c>
    </row>
    <row r="193" spans="1:26" ht="12.75" customHeight="1">
      <c r="A193" s="312"/>
      <c r="B193" s="312"/>
      <c r="C193" s="312"/>
      <c r="D193" s="328">
        <f>IF(ISNUMBER(SEARCH(ZAKL_DATA!$B$14,E193)),MAX($D$2:D192)+1,0)</f>
        <v>191</v>
      </c>
      <c r="E193" s="342" t="s">
        <v>1667</v>
      </c>
      <c r="F193" s="343">
        <v>3302</v>
      </c>
      <c r="G193" s="344"/>
      <c r="H193" s="345" t="str">
        <f>IFERROR(VLOOKUP(ROWS($H$3:H193),$D$3:$E$204,2,0),"")</f>
        <v>BYSTŘICE POD HOSTÝNEM</v>
      </c>
      <c r="I193" s="312"/>
      <c r="J193" s="347" t="s">
        <v>1668</v>
      </c>
      <c r="K193" s="334" t="s">
        <v>1669</v>
      </c>
      <c r="M193" s="335">
        <f>IF(ISNUMBER(SEARCH(ZAKL_DATA!$B$29,N193)),MAX($M$2:M192)+1,0)</f>
        <v>191</v>
      </c>
      <c r="N193" s="336" t="s">
        <v>1670</v>
      </c>
      <c r="O193" s="353" t="s">
        <v>1671</v>
      </c>
      <c r="P193" s="338"/>
      <c r="Q193" s="339" t="str">
        <f>IFERROR(VLOOKUP(ROWS($Q$3:Q193),$M$3:$N$992,2,0),"")</f>
        <v>Výroba parních kotlů, kromě kotlů pro ústřední topení</v>
      </c>
      <c r="R193">
        <f>IF(ISNUMBER(SEARCH('1Př1'!$A$33,N193)),MAX($M$2:M192)+1,0)</f>
        <v>191</v>
      </c>
      <c r="S193" s="336" t="s">
        <v>1670</v>
      </c>
      <c r="T193" t="str">
        <f>IFERROR(VLOOKUP(ROWS($T$3:T193),$R$3:$S$992,2,0),"")</f>
        <v>Výroba parních kotlů, kromě kotlů pro ústřední topení</v>
      </c>
      <c r="U193">
        <f>IF(ISNUMBER(SEARCH('1Př1'!$A$34,N193)),MAX($M$2:M192)+1,0)</f>
        <v>191</v>
      </c>
      <c r="V193" s="336" t="s">
        <v>1670</v>
      </c>
      <c r="W193" t="str">
        <f>IFERROR(VLOOKUP(ROWS($W$3:W193),$U$3:$V$992,2,0),"")</f>
        <v>Výroba parních kotlů, kromě kotlů pro ústřední topení</v>
      </c>
      <c r="X193">
        <f>IF(ISNUMBER(SEARCH('1Př1'!$A$35,N193)),MAX($M$2:M192)+1,0)</f>
        <v>191</v>
      </c>
      <c r="Y193" s="336" t="s">
        <v>1670</v>
      </c>
      <c r="Z193" t="str">
        <f>IFERROR(VLOOKUP(ROWS($Z$3:Z193),$X$3:$Y$992,2,0),"")</f>
        <v>Výroba parních kotlů, kromě kotlů pro ústřední topení</v>
      </c>
    </row>
    <row r="194" spans="1:26" ht="12.75" customHeight="1">
      <c r="A194" s="312"/>
      <c r="B194" s="312"/>
      <c r="C194" s="312"/>
      <c r="D194" s="328">
        <f>IF(ISNUMBER(SEARCH(ZAKL_DATA!$B$14,E194)),MAX($D$2:D193)+1,0)</f>
        <v>192</v>
      </c>
      <c r="E194" s="342" t="s">
        <v>1672</v>
      </c>
      <c r="F194" s="343">
        <v>3303</v>
      </c>
      <c r="G194" s="344"/>
      <c r="H194" s="345" t="str">
        <f>IFERROR(VLOOKUP(ROWS($H$3:H194),$D$3:$E$204,2,0),"")</f>
        <v>HOLEŠOV</v>
      </c>
      <c r="I194" s="312"/>
      <c r="J194" s="347" t="s">
        <v>1673</v>
      </c>
      <c r="K194" s="334" t="s">
        <v>1674</v>
      </c>
      <c r="M194" s="335">
        <f>IF(ISNUMBER(SEARCH(ZAKL_DATA!$B$29,N194)),MAX($M$2:M193)+1,0)</f>
        <v>192</v>
      </c>
      <c r="N194" s="336" t="s">
        <v>1675</v>
      </c>
      <c r="O194" s="353" t="s">
        <v>1676</v>
      </c>
      <c r="P194" s="338"/>
      <c r="Q194" s="339" t="str">
        <f>IFERROR(VLOOKUP(ROWS($Q$3:Q194),$M$3:$N$992,2,0),"")</f>
        <v>Výroba zbraní a střeliva</v>
      </c>
      <c r="R194">
        <f>IF(ISNUMBER(SEARCH('1Př1'!$A$33,N194)),MAX($M$2:M193)+1,0)</f>
        <v>192</v>
      </c>
      <c r="S194" s="336" t="s">
        <v>1675</v>
      </c>
      <c r="T194" t="str">
        <f>IFERROR(VLOOKUP(ROWS($T$3:T194),$R$3:$S$992,2,0),"")</f>
        <v>Výroba zbraní a střeliva</v>
      </c>
      <c r="U194">
        <f>IF(ISNUMBER(SEARCH('1Př1'!$A$34,N194)),MAX($M$2:M193)+1,0)</f>
        <v>192</v>
      </c>
      <c r="V194" s="336" t="s">
        <v>1675</v>
      </c>
      <c r="W194" t="str">
        <f>IFERROR(VLOOKUP(ROWS($W$3:W194),$U$3:$V$992,2,0),"")</f>
        <v>Výroba zbraní a střeliva</v>
      </c>
      <c r="X194">
        <f>IF(ISNUMBER(SEARCH('1Př1'!$A$35,N194)),MAX($M$2:M193)+1,0)</f>
        <v>192</v>
      </c>
      <c r="Y194" s="336" t="s">
        <v>1675</v>
      </c>
      <c r="Z194" t="str">
        <f>IFERROR(VLOOKUP(ROWS($Z$3:Z194),$X$3:$Y$992,2,0),"")</f>
        <v>Výroba zbraní a střeliva</v>
      </c>
    </row>
    <row r="195" spans="1:26" ht="12.75" customHeight="1">
      <c r="A195" s="312"/>
      <c r="B195" s="312"/>
      <c r="C195" s="312"/>
      <c r="D195" s="328">
        <f>IF(ISNUMBER(SEARCH(ZAKL_DATA!$B$14,E195)),MAX($D$2:D194)+1,0)</f>
        <v>193</v>
      </c>
      <c r="E195" s="342" t="s">
        <v>1677</v>
      </c>
      <c r="F195" s="343">
        <v>3304</v>
      </c>
      <c r="G195" s="344"/>
      <c r="H195" s="345" t="str">
        <f>IFERROR(VLOOKUP(ROWS($H$3:H195),$D$3:$E$204,2,0),"")</f>
        <v>KROMĚŘÍŽ</v>
      </c>
      <c r="I195" s="312"/>
      <c r="J195" s="347" t="s">
        <v>1678</v>
      </c>
      <c r="K195" s="334" t="s">
        <v>1679</v>
      </c>
      <c r="M195" s="335">
        <f>IF(ISNUMBER(SEARCH(ZAKL_DATA!$B$29,N195)),MAX($M$2:M194)+1,0)</f>
        <v>193</v>
      </c>
      <c r="N195" s="336" t="s">
        <v>1680</v>
      </c>
      <c r="O195" s="337" t="s">
        <v>1681</v>
      </c>
      <c r="P195" s="338"/>
      <c r="Q195" s="339" t="str">
        <f>IFERROR(VLOOKUP(ROWS($Q$3:Q195),$M$3:$N$992,2,0),"")</f>
        <v>Kování,lisování,ražení,válcování a protlačování kovů;prášková metalurgie</v>
      </c>
      <c r="R195">
        <f>IF(ISNUMBER(SEARCH('1Př1'!$A$33,N195)),MAX($M$2:M194)+1,0)</f>
        <v>193</v>
      </c>
      <c r="S195" s="336" t="s">
        <v>1680</v>
      </c>
      <c r="T195" t="str">
        <f>IFERROR(VLOOKUP(ROWS($T$3:T195),$R$3:$S$992,2,0),"")</f>
        <v>Kování,lisování,ražení,válcování a protlačování kovů;prášková metalurgie</v>
      </c>
      <c r="U195">
        <f>IF(ISNUMBER(SEARCH('1Př1'!$A$34,N195)),MAX($M$2:M194)+1,0)</f>
        <v>193</v>
      </c>
      <c r="V195" s="336" t="s">
        <v>1680</v>
      </c>
      <c r="W195" t="str">
        <f>IFERROR(VLOOKUP(ROWS($W$3:W195),$U$3:$V$992,2,0),"")</f>
        <v>Kování,lisování,ražení,válcování a protlačování kovů;prášková metalurgie</v>
      </c>
      <c r="X195">
        <f>IF(ISNUMBER(SEARCH('1Př1'!$A$35,N195)),MAX($M$2:M194)+1,0)</f>
        <v>193</v>
      </c>
      <c r="Y195" s="336" t="s">
        <v>1680</v>
      </c>
      <c r="Z195" t="str">
        <f>IFERROR(VLOOKUP(ROWS($Z$3:Z195),$X$3:$Y$992,2,0),"")</f>
        <v>Kování,lisování,ražení,válcování a protlačování kovů;prášková metalurgie</v>
      </c>
    </row>
    <row r="196" spans="1:26" ht="12.75" customHeight="1">
      <c r="A196" s="312"/>
      <c r="B196" s="312"/>
      <c r="C196" s="312"/>
      <c r="D196" s="328">
        <f>IF(ISNUMBER(SEARCH(ZAKL_DATA!$B$14,E196)),MAX($D$2:D195)+1,0)</f>
        <v>194</v>
      </c>
      <c r="E196" s="342" t="s">
        <v>1682</v>
      </c>
      <c r="F196" s="343">
        <v>3305</v>
      </c>
      <c r="G196" s="344"/>
      <c r="H196" s="345" t="str">
        <f>IFERROR(VLOOKUP(ROWS($H$3:H196),$D$3:$E$204,2,0),"")</f>
        <v>LUHAČOVICE</v>
      </c>
      <c r="I196" s="312"/>
      <c r="J196" s="347" t="s">
        <v>1683</v>
      </c>
      <c r="K196" s="334" t="s">
        <v>1684</v>
      </c>
      <c r="M196" s="335">
        <f>IF(ISNUMBER(SEARCH(ZAKL_DATA!$B$29,N196)),MAX($M$2:M195)+1,0)</f>
        <v>194</v>
      </c>
      <c r="N196" s="336" t="s">
        <v>1685</v>
      </c>
      <c r="O196" s="337" t="s">
        <v>1686</v>
      </c>
      <c r="P196" s="338"/>
      <c r="Q196" s="339" t="str">
        <f>IFERROR(VLOOKUP(ROWS($Q$3:Q196),$M$3:$N$992,2,0),"")</f>
        <v>Povrchová úprava a zušlechťování kovů; obrábění</v>
      </c>
      <c r="R196">
        <f>IF(ISNUMBER(SEARCH('1Př1'!$A$33,N196)),MAX($M$2:M195)+1,0)</f>
        <v>194</v>
      </c>
      <c r="S196" s="336" t="s">
        <v>1685</v>
      </c>
      <c r="T196" t="str">
        <f>IFERROR(VLOOKUP(ROWS($T$3:T196),$R$3:$S$992,2,0),"")</f>
        <v>Povrchová úprava a zušlechťování kovů; obrábění</v>
      </c>
      <c r="U196">
        <f>IF(ISNUMBER(SEARCH('1Př1'!$A$34,N196)),MAX($M$2:M195)+1,0)</f>
        <v>194</v>
      </c>
      <c r="V196" s="336" t="s">
        <v>1685</v>
      </c>
      <c r="W196" t="str">
        <f>IFERROR(VLOOKUP(ROWS($W$3:W196),$U$3:$V$992,2,0),"")</f>
        <v>Povrchová úprava a zušlechťování kovů; obrábění</v>
      </c>
      <c r="X196">
        <f>IF(ISNUMBER(SEARCH('1Př1'!$A$35,N196)),MAX($M$2:M195)+1,0)</f>
        <v>194</v>
      </c>
      <c r="Y196" s="336" t="s">
        <v>1685</v>
      </c>
      <c r="Z196" t="str">
        <f>IFERROR(VLOOKUP(ROWS($Z$3:Z196),$X$3:$Y$992,2,0),"")</f>
        <v>Povrchová úprava a zušlechťování kovů; obrábění</v>
      </c>
    </row>
    <row r="197" spans="1:26" ht="12.75" customHeight="1">
      <c r="A197" s="312"/>
      <c r="B197" s="312"/>
      <c r="C197" s="312"/>
      <c r="D197" s="328">
        <f>IF(ISNUMBER(SEARCH(ZAKL_DATA!$B$14,E197)),MAX($D$2:D196)+1,0)</f>
        <v>195</v>
      </c>
      <c r="E197" s="342" t="s">
        <v>1687</v>
      </c>
      <c r="F197" s="343">
        <v>3306</v>
      </c>
      <c r="G197" s="344"/>
      <c r="H197" s="345" t="str">
        <f>IFERROR(VLOOKUP(ROWS($H$3:H197),$D$3:$E$204,2,0),"")</f>
        <v>OTROKOVICE</v>
      </c>
      <c r="I197" s="312"/>
      <c r="J197" s="347" t="s">
        <v>1688</v>
      </c>
      <c r="K197" s="334" t="s">
        <v>1689</v>
      </c>
      <c r="M197" s="335">
        <f>IF(ISNUMBER(SEARCH(ZAKL_DATA!$B$29,N197)),MAX($M$2:M196)+1,0)</f>
        <v>195</v>
      </c>
      <c r="N197" s="336" t="s">
        <v>1690</v>
      </c>
      <c r="O197" s="337" t="s">
        <v>1691</v>
      </c>
      <c r="P197" s="338"/>
      <c r="Q197" s="339" t="str">
        <f>IFERROR(VLOOKUP(ROWS($Q$3:Q197),$M$3:$N$992,2,0),"")</f>
        <v>Výroba nožířských výrobků, nástrojů a železářských výrobků</v>
      </c>
      <c r="R197">
        <f>IF(ISNUMBER(SEARCH('1Př1'!$A$33,N197)),MAX($M$2:M196)+1,0)</f>
        <v>195</v>
      </c>
      <c r="S197" s="336" t="s">
        <v>1690</v>
      </c>
      <c r="T197" t="str">
        <f>IFERROR(VLOOKUP(ROWS($T$3:T197),$R$3:$S$992,2,0),"")</f>
        <v>Výroba nožířských výrobků, nástrojů a železářských výrobků</v>
      </c>
      <c r="U197">
        <f>IF(ISNUMBER(SEARCH('1Př1'!$A$34,N197)),MAX($M$2:M196)+1,0)</f>
        <v>195</v>
      </c>
      <c r="V197" s="336" t="s">
        <v>1690</v>
      </c>
      <c r="W197" t="str">
        <f>IFERROR(VLOOKUP(ROWS($W$3:W197),$U$3:$V$992,2,0),"")</f>
        <v>Výroba nožířských výrobků, nástrojů a železářských výrobků</v>
      </c>
      <c r="X197">
        <f>IF(ISNUMBER(SEARCH('1Př1'!$A$35,N197)),MAX($M$2:M196)+1,0)</f>
        <v>195</v>
      </c>
      <c r="Y197" s="336" t="s">
        <v>1690</v>
      </c>
      <c r="Z197" t="str">
        <f>IFERROR(VLOOKUP(ROWS($Z$3:Z197),$X$3:$Y$992,2,0),"")</f>
        <v>Výroba nožířských výrobků, nástrojů a železářských výrobků</v>
      </c>
    </row>
    <row r="198" spans="1:26" ht="12.75" customHeight="1">
      <c r="A198" s="312"/>
      <c r="B198" s="312"/>
      <c r="C198" s="312"/>
      <c r="D198" s="328">
        <f>IF(ISNUMBER(SEARCH(ZAKL_DATA!$B$14,E198)),MAX($D$2:D197)+1,0)</f>
        <v>196</v>
      </c>
      <c r="E198" s="342" t="s">
        <v>1692</v>
      </c>
      <c r="F198" s="343">
        <v>3307</v>
      </c>
      <c r="G198" s="344"/>
      <c r="H198" s="345" t="str">
        <f>IFERROR(VLOOKUP(ROWS($H$3:H198),$D$3:$E$204,2,0),"")</f>
        <v>ROŽNOV POD RADH.</v>
      </c>
      <c r="I198" s="312"/>
      <c r="J198" s="347" t="s">
        <v>1693</v>
      </c>
      <c r="K198" s="334" t="s">
        <v>1694</v>
      </c>
      <c r="M198" s="335">
        <f>IF(ISNUMBER(SEARCH(ZAKL_DATA!$B$29,N198)),MAX($M$2:M197)+1,0)</f>
        <v>196</v>
      </c>
      <c r="N198" s="336" t="s">
        <v>1695</v>
      </c>
      <c r="O198" s="337" t="s">
        <v>1696</v>
      </c>
      <c r="P198" s="338"/>
      <c r="Q198" s="339" t="str">
        <f>IFERROR(VLOOKUP(ROWS($Q$3:Q198),$M$3:$N$992,2,0),"")</f>
        <v>Výroba ostatních kovodělných výrobků</v>
      </c>
      <c r="R198">
        <f>IF(ISNUMBER(SEARCH('1Př1'!$A$33,N198)),MAX($M$2:M197)+1,0)</f>
        <v>196</v>
      </c>
      <c r="S198" s="336" t="s">
        <v>1695</v>
      </c>
      <c r="T198" t="str">
        <f>IFERROR(VLOOKUP(ROWS($T$3:T198),$R$3:$S$992,2,0),"")</f>
        <v>Výroba ostatních kovodělných výrobků</v>
      </c>
      <c r="U198">
        <f>IF(ISNUMBER(SEARCH('1Př1'!$A$34,N198)),MAX($M$2:M197)+1,0)</f>
        <v>196</v>
      </c>
      <c r="V198" s="336" t="s">
        <v>1695</v>
      </c>
      <c r="W198" t="str">
        <f>IFERROR(VLOOKUP(ROWS($W$3:W198),$U$3:$V$992,2,0),"")</f>
        <v>Výroba ostatních kovodělných výrobků</v>
      </c>
      <c r="X198">
        <f>IF(ISNUMBER(SEARCH('1Př1'!$A$35,N198)),MAX($M$2:M197)+1,0)</f>
        <v>196</v>
      </c>
      <c r="Y198" s="336" t="s">
        <v>1695</v>
      </c>
      <c r="Z198" t="str">
        <f>IFERROR(VLOOKUP(ROWS($Z$3:Z198),$X$3:$Y$992,2,0),"")</f>
        <v>Výroba ostatních kovodělných výrobků</v>
      </c>
    </row>
    <row r="199" spans="1:26" ht="12.75" customHeight="1">
      <c r="A199" s="312"/>
      <c r="B199" s="312"/>
      <c r="C199" s="312"/>
      <c r="D199" s="328">
        <f>IF(ISNUMBER(SEARCH(ZAKL_DATA!$B$14,E199)),MAX($D$2:D198)+1,0)</f>
        <v>197</v>
      </c>
      <c r="E199" s="342" t="s">
        <v>1697</v>
      </c>
      <c r="F199" s="343">
        <v>3308</v>
      </c>
      <c r="G199" s="344"/>
      <c r="H199" s="345" t="str">
        <f>IFERROR(VLOOKUP(ROWS($H$3:H199),$D$3:$E$204,2,0),"")</f>
        <v>UHERSKÝ BROD</v>
      </c>
      <c r="I199" s="312"/>
      <c r="J199" s="347" t="s">
        <v>1698</v>
      </c>
      <c r="K199" s="334" t="s">
        <v>1699</v>
      </c>
      <c r="M199" s="335">
        <f>IF(ISNUMBER(SEARCH(ZAKL_DATA!$B$29,N199)),MAX($M$2:M198)+1,0)</f>
        <v>197</v>
      </c>
      <c r="N199" s="336" t="s">
        <v>1700</v>
      </c>
      <c r="O199" s="337" t="s">
        <v>1701</v>
      </c>
      <c r="P199" s="338"/>
      <c r="Q199" s="339" t="str">
        <f>IFERROR(VLOOKUP(ROWS($Q$3:Q199),$M$3:$N$992,2,0),"")</f>
        <v>Výroba elektronických součástek a desek</v>
      </c>
      <c r="R199">
        <f>IF(ISNUMBER(SEARCH('1Př1'!$A$33,N199)),MAX($M$2:M198)+1,0)</f>
        <v>197</v>
      </c>
      <c r="S199" s="336" t="s">
        <v>1700</v>
      </c>
      <c r="T199" t="str">
        <f>IFERROR(VLOOKUP(ROWS($T$3:T199),$R$3:$S$992,2,0),"")</f>
        <v>Výroba elektronických součástek a desek</v>
      </c>
      <c r="U199">
        <f>IF(ISNUMBER(SEARCH('1Př1'!$A$34,N199)),MAX($M$2:M198)+1,0)</f>
        <v>197</v>
      </c>
      <c r="V199" s="336" t="s">
        <v>1700</v>
      </c>
      <c r="W199" t="str">
        <f>IFERROR(VLOOKUP(ROWS($W$3:W199),$U$3:$V$992,2,0),"")</f>
        <v>Výroba elektronických součástek a desek</v>
      </c>
      <c r="X199">
        <f>IF(ISNUMBER(SEARCH('1Př1'!$A$35,N199)),MAX($M$2:M198)+1,0)</f>
        <v>197</v>
      </c>
      <c r="Y199" s="336" t="s">
        <v>1700</v>
      </c>
      <c r="Z199" t="str">
        <f>IFERROR(VLOOKUP(ROWS($Z$3:Z199),$X$3:$Y$992,2,0),"")</f>
        <v>Výroba elektronických součástek a desek</v>
      </c>
    </row>
    <row r="200" spans="1:26" ht="12.75" customHeight="1">
      <c r="A200" s="312"/>
      <c r="B200" s="312"/>
      <c r="C200" s="312"/>
      <c r="D200" s="328">
        <f>IF(ISNUMBER(SEARCH(ZAKL_DATA!$B$14,E200)),MAX($D$2:D199)+1,0)</f>
        <v>198</v>
      </c>
      <c r="E200" s="342" t="s">
        <v>1702</v>
      </c>
      <c r="F200" s="343">
        <v>3309</v>
      </c>
      <c r="G200" s="344"/>
      <c r="H200" s="345" t="str">
        <f>IFERROR(VLOOKUP(ROWS($H$3:H200),$D$3:$E$204,2,0),"")</f>
        <v>UHERSKÉ HRADIŠTĚ</v>
      </c>
      <c r="I200" s="312"/>
      <c r="J200" s="347" t="s">
        <v>1703</v>
      </c>
      <c r="K200" s="334" t="s">
        <v>1704</v>
      </c>
      <c r="M200" s="335">
        <f>IF(ISNUMBER(SEARCH(ZAKL_DATA!$B$29,N200)),MAX($M$2:M199)+1,0)</f>
        <v>198</v>
      </c>
      <c r="N200" s="336" t="s">
        <v>1705</v>
      </c>
      <c r="O200" s="337" t="s">
        <v>1706</v>
      </c>
      <c r="P200" s="338"/>
      <c r="Q200" s="339" t="str">
        <f>IFERROR(VLOOKUP(ROWS($Q$3:Q200),$M$3:$N$992,2,0),"")</f>
        <v>Výroba počítačů a periferních zařízení</v>
      </c>
      <c r="R200">
        <f>IF(ISNUMBER(SEARCH('1Př1'!$A$33,N200)),MAX($M$2:M199)+1,0)</f>
        <v>198</v>
      </c>
      <c r="S200" s="336" t="s">
        <v>1705</v>
      </c>
      <c r="T200" t="str">
        <f>IFERROR(VLOOKUP(ROWS($T$3:T200),$R$3:$S$992,2,0),"")</f>
        <v>Výroba počítačů a periferních zařízení</v>
      </c>
      <c r="U200">
        <f>IF(ISNUMBER(SEARCH('1Př1'!$A$34,N200)),MAX($M$2:M199)+1,0)</f>
        <v>198</v>
      </c>
      <c r="V200" s="336" t="s">
        <v>1705</v>
      </c>
      <c r="W200" t="str">
        <f>IFERROR(VLOOKUP(ROWS($W$3:W200),$U$3:$V$992,2,0),"")</f>
        <v>Výroba počítačů a periferních zařízení</v>
      </c>
      <c r="X200">
        <f>IF(ISNUMBER(SEARCH('1Př1'!$A$35,N200)),MAX($M$2:M199)+1,0)</f>
        <v>198</v>
      </c>
      <c r="Y200" s="336" t="s">
        <v>1705</v>
      </c>
      <c r="Z200" t="str">
        <f>IFERROR(VLOOKUP(ROWS($Z$3:Z200),$X$3:$Y$992,2,0),"")</f>
        <v>Výroba počítačů a periferních zařízení</v>
      </c>
    </row>
    <row r="201" spans="1:26" ht="12.75" customHeight="1">
      <c r="A201" s="312"/>
      <c r="B201" s="312"/>
      <c r="C201" s="312"/>
      <c r="D201" s="328">
        <f>IF(ISNUMBER(SEARCH(ZAKL_DATA!$B$14,E201)),MAX($D$2:D200)+1,0)</f>
        <v>199</v>
      </c>
      <c r="E201" s="342" t="s">
        <v>1707</v>
      </c>
      <c r="F201" s="343">
        <v>3310</v>
      </c>
      <c r="G201" s="344"/>
      <c r="H201" s="345" t="str">
        <f>IFERROR(VLOOKUP(ROWS($H$3:H201),$D$3:$E$204,2,0),"")</f>
        <v>VALAŠSKÉ MEZIŘÍČÍ</v>
      </c>
      <c r="I201" s="312"/>
      <c r="J201" s="347" t="s">
        <v>1708</v>
      </c>
      <c r="K201" s="334" t="s">
        <v>1709</v>
      </c>
      <c r="M201" s="335">
        <f>IF(ISNUMBER(SEARCH(ZAKL_DATA!$B$29,N201)),MAX($M$2:M200)+1,0)</f>
        <v>199</v>
      </c>
      <c r="N201" s="336" t="s">
        <v>1710</v>
      </c>
      <c r="O201" s="353" t="s">
        <v>1711</v>
      </c>
      <c r="P201" s="338"/>
      <c r="Q201" s="339" t="str">
        <f>IFERROR(VLOOKUP(ROWS($Q$3:Q201),$M$3:$N$992,2,0),"")</f>
        <v>Výroba komunikačních zařízení</v>
      </c>
      <c r="R201">
        <f>IF(ISNUMBER(SEARCH('1Př1'!$A$33,N201)),MAX($M$2:M200)+1,0)</f>
        <v>199</v>
      </c>
      <c r="S201" s="336" t="s">
        <v>1710</v>
      </c>
      <c r="T201" t="str">
        <f>IFERROR(VLOOKUP(ROWS($T$3:T201),$R$3:$S$992,2,0),"")</f>
        <v>Výroba komunikačních zařízení</v>
      </c>
      <c r="U201">
        <f>IF(ISNUMBER(SEARCH('1Př1'!$A$34,N201)),MAX($M$2:M200)+1,0)</f>
        <v>199</v>
      </c>
      <c r="V201" s="336" t="s">
        <v>1710</v>
      </c>
      <c r="W201" t="str">
        <f>IFERROR(VLOOKUP(ROWS($W$3:W201),$U$3:$V$992,2,0),"")</f>
        <v>Výroba komunikačních zařízení</v>
      </c>
      <c r="X201">
        <f>IF(ISNUMBER(SEARCH('1Př1'!$A$35,N201)),MAX($M$2:M200)+1,0)</f>
        <v>199</v>
      </c>
      <c r="Y201" s="336" t="s">
        <v>1710</v>
      </c>
      <c r="Z201" t="str">
        <f>IFERROR(VLOOKUP(ROWS($Z$3:Z201),$X$3:$Y$992,2,0),"")</f>
        <v>Výroba komunikačních zařízení</v>
      </c>
    </row>
    <row r="202" spans="1:26" ht="12.75" customHeight="1">
      <c r="A202" s="312"/>
      <c r="B202" s="312"/>
      <c r="C202" s="312"/>
      <c r="D202" s="328">
        <f>IF(ISNUMBER(SEARCH(ZAKL_DATA!$B$14,E202)),MAX($D$2:D201)+1,0)</f>
        <v>200</v>
      </c>
      <c r="E202" s="342" t="s">
        <v>1712</v>
      </c>
      <c r="F202" s="343">
        <v>3311</v>
      </c>
      <c r="G202" s="344"/>
      <c r="H202" s="345" t="str">
        <f>IFERROR(VLOOKUP(ROWS($H$3:H202),$D$3:$E$204,2,0),"")</f>
        <v>VALAŠSKÉ KLOBOUKY</v>
      </c>
      <c r="I202" s="312"/>
      <c r="J202" s="347" t="s">
        <v>1713</v>
      </c>
      <c r="K202" s="334" t="s">
        <v>1714</v>
      </c>
      <c r="M202" s="335">
        <f>IF(ISNUMBER(SEARCH(ZAKL_DATA!$B$29,N202)),MAX($M$2:M201)+1,0)</f>
        <v>200</v>
      </c>
      <c r="N202" s="336" t="s">
        <v>1715</v>
      </c>
      <c r="O202" s="337" t="s">
        <v>1716</v>
      </c>
      <c r="P202" s="338"/>
      <c r="Q202" s="339" t="str">
        <f>IFERROR(VLOOKUP(ROWS($Q$3:Q202),$M$3:$N$992,2,0),"")</f>
        <v>Výroba spotřební elektroniky</v>
      </c>
      <c r="R202">
        <f>IF(ISNUMBER(SEARCH('1Př1'!$A$33,N202)),MAX($M$2:M201)+1,0)</f>
        <v>200</v>
      </c>
      <c r="S202" s="336" t="s">
        <v>1715</v>
      </c>
      <c r="T202" t="str">
        <f>IFERROR(VLOOKUP(ROWS($T$3:T202),$R$3:$S$992,2,0),"")</f>
        <v>Výroba spotřební elektroniky</v>
      </c>
      <c r="U202">
        <f>IF(ISNUMBER(SEARCH('1Př1'!$A$34,N202)),MAX($M$2:M201)+1,0)</f>
        <v>200</v>
      </c>
      <c r="V202" s="336" t="s">
        <v>1715</v>
      </c>
      <c r="W202" t="str">
        <f>IFERROR(VLOOKUP(ROWS($W$3:W202),$U$3:$V$992,2,0),"")</f>
        <v>Výroba spotřební elektroniky</v>
      </c>
      <c r="X202">
        <f>IF(ISNUMBER(SEARCH('1Př1'!$A$35,N202)),MAX($M$2:M201)+1,0)</f>
        <v>200</v>
      </c>
      <c r="Y202" s="336" t="s">
        <v>1715</v>
      </c>
      <c r="Z202" t="str">
        <f>IFERROR(VLOOKUP(ROWS($Z$3:Z202),$X$3:$Y$992,2,0),"")</f>
        <v>Výroba spotřební elektroniky</v>
      </c>
    </row>
    <row r="203" spans="1:26" ht="12.75" customHeight="1">
      <c r="A203" s="312"/>
      <c r="B203" s="312"/>
      <c r="C203" s="312"/>
      <c r="D203" s="328">
        <f>IF(ISNUMBER(SEARCH(ZAKL_DATA!$B$14,E203)),MAX($D$2:D202)+1,0)</f>
        <v>201</v>
      </c>
      <c r="E203" s="342" t="s">
        <v>1717</v>
      </c>
      <c r="F203" s="343">
        <v>3312</v>
      </c>
      <c r="G203" s="344"/>
      <c r="H203" s="345" t="str">
        <f>IFERROR(VLOOKUP(ROWS($H$3:H203),$D$3:$E$204,2,0),"")</f>
        <v>VSETÍN</v>
      </c>
      <c r="I203" s="312"/>
      <c r="J203" s="347" t="s">
        <v>1718</v>
      </c>
      <c r="K203" s="334" t="s">
        <v>1719</v>
      </c>
      <c r="M203" s="335">
        <f>IF(ISNUMBER(SEARCH(ZAKL_DATA!$B$29,N203)),MAX($M$2:M202)+1,0)</f>
        <v>201</v>
      </c>
      <c r="N203" s="336" t="s">
        <v>1720</v>
      </c>
      <c r="O203" s="337" t="s">
        <v>1721</v>
      </c>
      <c r="P203" s="338"/>
      <c r="Q203" s="339" t="str">
        <f>IFERROR(VLOOKUP(ROWS($Q$3:Q203),$M$3:$N$992,2,0),"")</f>
        <v>Výroba měřicích,zkušebních a navigačních přístrojů;výroba časoměr.přístrojů</v>
      </c>
      <c r="R203">
        <f>IF(ISNUMBER(SEARCH('1Př1'!$A$33,N203)),MAX($M$2:M202)+1,0)</f>
        <v>201</v>
      </c>
      <c r="S203" s="336" t="s">
        <v>1720</v>
      </c>
      <c r="T203" t="str">
        <f>IFERROR(VLOOKUP(ROWS($T$3:T203),$R$3:$S$992,2,0),"")</f>
        <v>Výroba měřicích,zkušebních a navigačních přístrojů;výroba časoměr.přístrojů</v>
      </c>
      <c r="U203">
        <f>IF(ISNUMBER(SEARCH('1Př1'!$A$34,N203)),MAX($M$2:M202)+1,0)</f>
        <v>201</v>
      </c>
      <c r="V203" s="336" t="s">
        <v>1720</v>
      </c>
      <c r="W203" t="str">
        <f>IFERROR(VLOOKUP(ROWS($W$3:W203),$U$3:$V$992,2,0),"")</f>
        <v>Výroba měřicích,zkušebních a navigačních přístrojů;výroba časoměr.přístrojů</v>
      </c>
      <c r="X203">
        <f>IF(ISNUMBER(SEARCH('1Př1'!$A$35,N203)),MAX($M$2:M202)+1,0)</f>
        <v>201</v>
      </c>
      <c r="Y203" s="336" t="s">
        <v>1720</v>
      </c>
      <c r="Z203" t="str">
        <f>IFERROR(VLOOKUP(ROWS($Z$3:Z203),$X$3:$Y$992,2,0),"")</f>
        <v>Výroba měřicích,zkušebních a navigačních přístrojů;výroba časoměr.přístrojů</v>
      </c>
    </row>
    <row r="204" spans="1:26" ht="12.75" customHeight="1" thickBot="1">
      <c r="A204" s="312"/>
      <c r="B204" s="312"/>
      <c r="C204" s="312"/>
      <c r="D204" s="328">
        <f>IF(ISNUMBER(SEARCH(ZAKL_DATA!$B$14,E204)),MAX($D$2:D203)+1,0)</f>
        <v>202</v>
      </c>
      <c r="E204" s="356" t="s">
        <v>789</v>
      </c>
      <c r="F204" s="357">
        <v>4000</v>
      </c>
      <c r="G204" s="358"/>
      <c r="H204" s="359" t="str">
        <f>IFERROR(VLOOKUP(ROWS($H$3:H204),$D$3:$E$204,2,0),"")</f>
        <v>SPECIALIZOVANÝ</v>
      </c>
      <c r="I204" s="312"/>
      <c r="J204" s="347" t="s">
        <v>1722</v>
      </c>
      <c r="K204" s="334" t="s">
        <v>1723</v>
      </c>
      <c r="M204" s="335">
        <f>IF(ISNUMBER(SEARCH(ZAKL_DATA!$B$29,N204)),MAX($M$2:M203)+1,0)</f>
        <v>202</v>
      </c>
      <c r="N204" s="336" t="s">
        <v>1724</v>
      </c>
      <c r="O204" s="337" t="s">
        <v>1725</v>
      </c>
      <c r="P204" s="338"/>
      <c r="Q204" s="339" t="str">
        <f>IFERROR(VLOOKUP(ROWS($Q$3:Q204),$M$3:$N$992,2,0),"")</f>
        <v>Výroba ozařovacích, elektroléčebných a elektroterapeutických přístrojů</v>
      </c>
      <c r="R204">
        <f>IF(ISNUMBER(SEARCH('1Př1'!$A$33,N204)),MAX($M$2:M203)+1,0)</f>
        <v>202</v>
      </c>
      <c r="S204" s="336" t="s">
        <v>1724</v>
      </c>
      <c r="T204" t="str">
        <f>IFERROR(VLOOKUP(ROWS($T$3:T204),$R$3:$S$992,2,0),"")</f>
        <v>Výroba ozařovacích, elektroléčebných a elektroterapeutických přístrojů</v>
      </c>
      <c r="U204">
        <f>IF(ISNUMBER(SEARCH('1Př1'!$A$34,N204)),MAX($M$2:M203)+1,0)</f>
        <v>202</v>
      </c>
      <c r="V204" s="336" t="s">
        <v>1724</v>
      </c>
      <c r="W204" t="str">
        <f>IFERROR(VLOOKUP(ROWS($W$3:W204),$U$3:$V$992,2,0),"")</f>
        <v>Výroba ozařovacích, elektroléčebných a elektroterapeutických přístrojů</v>
      </c>
      <c r="X204">
        <f>IF(ISNUMBER(SEARCH('1Př1'!$A$35,N204)),MAX($M$2:M203)+1,0)</f>
        <v>202</v>
      </c>
      <c r="Y204" s="336" t="s">
        <v>1724</v>
      </c>
      <c r="Z204" t="str">
        <f>IFERROR(VLOOKUP(ROWS($Z$3:Z204),$X$3:$Y$992,2,0),"")</f>
        <v>Výroba ozařovacích, elektroléčebných a elektroterapeutických přístrojů</v>
      </c>
    </row>
    <row r="205" spans="1:26" ht="12.75">
      <c r="A205" s="312"/>
      <c r="B205" s="312"/>
      <c r="C205" s="312"/>
      <c r="D205" s="313"/>
      <c r="E205" s="312"/>
      <c r="F205" s="312"/>
      <c r="G205" s="312"/>
      <c r="H205" s="312" t="str">
        <f>IFERROR(VLOOKUP(ROWS($H$3:H205),$D$2:$E$204,2,0),"")</f>
        <v/>
      </c>
      <c r="I205" s="312"/>
      <c r="J205" s="347" t="s">
        <v>1726</v>
      </c>
      <c r="K205" s="334" t="s">
        <v>1727</v>
      </c>
      <c r="M205" s="335">
        <f>IF(ISNUMBER(SEARCH(ZAKL_DATA!$B$29,N205)),MAX($M$2:M204)+1,0)</f>
        <v>203</v>
      </c>
      <c r="N205" s="336" t="s">
        <v>1728</v>
      </c>
      <c r="O205" s="337" t="s">
        <v>1729</v>
      </c>
      <c r="P205" s="338"/>
      <c r="Q205" s="339" t="str">
        <f>IFERROR(VLOOKUP(ROWS($Q$3:Q205),$M$3:$N$992,2,0),"")</f>
        <v>Výroba optických a fotografických přístrojů a zařízení</v>
      </c>
      <c r="R205">
        <f>IF(ISNUMBER(SEARCH('1Př1'!$A$33,N205)),MAX($M$2:M204)+1,0)</f>
        <v>203</v>
      </c>
      <c r="S205" s="336" t="s">
        <v>1728</v>
      </c>
      <c r="T205" t="str">
        <f>IFERROR(VLOOKUP(ROWS($T$3:T205),$R$3:$S$992,2,0),"")</f>
        <v>Výroba optických a fotografických přístrojů a zařízení</v>
      </c>
      <c r="U205">
        <f>IF(ISNUMBER(SEARCH('1Př1'!$A$34,N205)),MAX($M$2:M204)+1,0)</f>
        <v>203</v>
      </c>
      <c r="V205" s="336" t="s">
        <v>1728</v>
      </c>
      <c r="W205" t="str">
        <f>IFERROR(VLOOKUP(ROWS($W$3:W205),$U$3:$V$992,2,0),"")</f>
        <v>Výroba optických a fotografických přístrojů a zařízení</v>
      </c>
      <c r="X205">
        <f>IF(ISNUMBER(SEARCH('1Př1'!$A$35,N205)),MAX($M$2:M204)+1,0)</f>
        <v>203</v>
      </c>
      <c r="Y205" s="336" t="s">
        <v>1728</v>
      </c>
      <c r="Z205" t="str">
        <f>IFERROR(VLOOKUP(ROWS($Z$3:Z205),$X$3:$Y$992,2,0),"")</f>
        <v>Výroba optických a fotografických přístrojů a zařízení</v>
      </c>
    </row>
    <row r="206" spans="10:26" ht="12.75">
      <c r="J206" s="347" t="s">
        <v>1730</v>
      </c>
      <c r="K206" s="334" t="s">
        <v>1731</v>
      </c>
      <c r="M206" s="335">
        <f>IF(ISNUMBER(SEARCH(ZAKL_DATA!$B$29,N206)),MAX($M$2:M205)+1,0)</f>
        <v>204</v>
      </c>
      <c r="N206" s="336" t="s">
        <v>1732</v>
      </c>
      <c r="O206" s="337" t="s">
        <v>1733</v>
      </c>
      <c r="P206" s="338"/>
      <c r="Q206" s="339" t="str">
        <f>IFERROR(VLOOKUP(ROWS($Q$3:Q206),$M$3:$N$992,2,0),"")</f>
        <v>Výroba magnetických a optických médií</v>
      </c>
      <c r="R206">
        <f>IF(ISNUMBER(SEARCH('1Př1'!$A$33,N206)),MAX($M$2:M205)+1,0)</f>
        <v>204</v>
      </c>
      <c r="S206" s="336" t="s">
        <v>1732</v>
      </c>
      <c r="T206" t="str">
        <f>IFERROR(VLOOKUP(ROWS($T$3:T206),$R$3:$S$992,2,0),"")</f>
        <v>Výroba magnetických a optických médií</v>
      </c>
      <c r="U206">
        <f>IF(ISNUMBER(SEARCH('1Př1'!$A$34,N206)),MAX($M$2:M205)+1,0)</f>
        <v>204</v>
      </c>
      <c r="V206" s="336" t="s">
        <v>1732</v>
      </c>
      <c r="W206" t="str">
        <f>IFERROR(VLOOKUP(ROWS($W$3:W206),$U$3:$V$992,2,0),"")</f>
        <v>Výroba magnetických a optických médií</v>
      </c>
      <c r="X206">
        <f>IF(ISNUMBER(SEARCH('1Př1'!$A$35,N206)),MAX($M$2:M205)+1,0)</f>
        <v>204</v>
      </c>
      <c r="Y206" s="336" t="s">
        <v>1732</v>
      </c>
      <c r="Z206" t="str">
        <f>IFERROR(VLOOKUP(ROWS($Z$3:Z206),$X$3:$Y$992,2,0),"")</f>
        <v>Výroba magnetických a optických médií</v>
      </c>
    </row>
    <row r="207" spans="10:26" ht="12.75">
      <c r="J207" s="347" t="s">
        <v>1734</v>
      </c>
      <c r="K207" s="334" t="s">
        <v>1735</v>
      </c>
      <c r="M207" s="335">
        <f>IF(ISNUMBER(SEARCH(ZAKL_DATA!$B$29,N207)),MAX($M$2:M206)+1,0)</f>
        <v>205</v>
      </c>
      <c r="N207" s="336" t="s">
        <v>1736</v>
      </c>
      <c r="O207" s="337" t="s">
        <v>1737</v>
      </c>
      <c r="P207" s="338"/>
      <c r="Q207" s="339" t="str">
        <f>IFERROR(VLOOKUP(ROWS($Q$3:Q207),$M$3:$N$992,2,0),"")</f>
        <v>Výroba elektr.motorů,generátorů,transformátorů a elektr.rozvod.a kontrol.z.</v>
      </c>
      <c r="R207">
        <f>IF(ISNUMBER(SEARCH('1Př1'!$A$33,N207)),MAX($M$2:M206)+1,0)</f>
        <v>205</v>
      </c>
      <c r="S207" s="336" t="s">
        <v>1736</v>
      </c>
      <c r="T207" t="str">
        <f>IFERROR(VLOOKUP(ROWS($T$3:T207),$R$3:$S$992,2,0),"")</f>
        <v>Výroba elektr.motorů,generátorů,transformátorů a elektr.rozvod.a kontrol.z.</v>
      </c>
      <c r="U207">
        <f>IF(ISNUMBER(SEARCH('1Př1'!$A$34,N207)),MAX($M$2:M206)+1,0)</f>
        <v>205</v>
      </c>
      <c r="V207" s="336" t="s">
        <v>1736</v>
      </c>
      <c r="W207" t="str">
        <f>IFERROR(VLOOKUP(ROWS($W$3:W207),$U$3:$V$992,2,0),"")</f>
        <v>Výroba elektr.motorů,generátorů,transformátorů a elektr.rozvod.a kontrol.z.</v>
      </c>
      <c r="X207">
        <f>IF(ISNUMBER(SEARCH('1Př1'!$A$35,N207)),MAX($M$2:M206)+1,0)</f>
        <v>205</v>
      </c>
      <c r="Y207" s="336" t="s">
        <v>1736</v>
      </c>
      <c r="Z207" t="str">
        <f>IFERROR(VLOOKUP(ROWS($Z$3:Z207),$X$3:$Y$992,2,0),"")</f>
        <v>Výroba elektr.motorů,generátorů,transformátorů a elektr.rozvod.a kontrol.z.</v>
      </c>
    </row>
    <row r="208" spans="10:26" ht="12.75">
      <c r="J208" s="347" t="s">
        <v>1738</v>
      </c>
      <c r="K208" s="334" t="s">
        <v>1739</v>
      </c>
      <c r="M208" s="335">
        <f>IF(ISNUMBER(SEARCH(ZAKL_DATA!$B$29,N208)),MAX($M$2:M207)+1,0)</f>
        <v>206</v>
      </c>
      <c r="N208" s="336" t="s">
        <v>1740</v>
      </c>
      <c r="O208" s="353" t="s">
        <v>1741</v>
      </c>
      <c r="P208" s="338"/>
      <c r="Q208" s="339" t="str">
        <f>IFERROR(VLOOKUP(ROWS($Q$3:Q208),$M$3:$N$992,2,0),"")</f>
        <v>Výroba baterií a akumulátorů</v>
      </c>
      <c r="R208">
        <f>IF(ISNUMBER(SEARCH('1Př1'!$A$33,N208)),MAX($M$2:M207)+1,0)</f>
        <v>206</v>
      </c>
      <c r="S208" s="336" t="s">
        <v>1740</v>
      </c>
      <c r="T208" t="str">
        <f>IFERROR(VLOOKUP(ROWS($T$3:T208),$R$3:$S$992,2,0),"")</f>
        <v>Výroba baterií a akumulátorů</v>
      </c>
      <c r="U208">
        <f>IF(ISNUMBER(SEARCH('1Př1'!$A$34,N208)),MAX($M$2:M207)+1,0)</f>
        <v>206</v>
      </c>
      <c r="V208" s="336" t="s">
        <v>1740</v>
      </c>
      <c r="W208" t="str">
        <f>IFERROR(VLOOKUP(ROWS($W$3:W208),$U$3:$V$992,2,0),"")</f>
        <v>Výroba baterií a akumulátorů</v>
      </c>
      <c r="X208">
        <f>IF(ISNUMBER(SEARCH('1Př1'!$A$35,N208)),MAX($M$2:M207)+1,0)</f>
        <v>206</v>
      </c>
      <c r="Y208" s="336" t="s">
        <v>1740</v>
      </c>
      <c r="Z208" t="str">
        <f>IFERROR(VLOOKUP(ROWS($Z$3:Z208),$X$3:$Y$992,2,0),"")</f>
        <v>Výroba baterií a akumulátorů</v>
      </c>
    </row>
    <row r="209" spans="10:26" ht="12.75">
      <c r="J209" s="347" t="s">
        <v>1742</v>
      </c>
      <c r="K209" s="334" t="s">
        <v>1743</v>
      </c>
      <c r="M209" s="335">
        <f>IF(ISNUMBER(SEARCH(ZAKL_DATA!$B$29,N209)),MAX($M$2:M208)+1,0)</f>
        <v>207</v>
      </c>
      <c r="N209" s="336" t="s">
        <v>1744</v>
      </c>
      <c r="O209" s="337" t="s">
        <v>1745</v>
      </c>
      <c r="P209" s="338"/>
      <c r="Q209" s="339" t="str">
        <f>IFERROR(VLOOKUP(ROWS($Q$3:Q209),$M$3:$N$992,2,0),"")</f>
        <v>Výroba optických a elektr.kabelů,elektr.vodičů a elektroinstal.zařízení</v>
      </c>
      <c r="R209">
        <f>IF(ISNUMBER(SEARCH('1Př1'!$A$33,N209)),MAX($M$2:M208)+1,0)</f>
        <v>207</v>
      </c>
      <c r="S209" s="336" t="s">
        <v>1744</v>
      </c>
      <c r="T209" t="str">
        <f>IFERROR(VLOOKUP(ROWS($T$3:T209),$R$3:$S$992,2,0),"")</f>
        <v>Výroba optických a elektr.kabelů,elektr.vodičů a elektroinstal.zařízení</v>
      </c>
      <c r="U209">
        <f>IF(ISNUMBER(SEARCH('1Př1'!$A$34,N209)),MAX($M$2:M208)+1,0)</f>
        <v>207</v>
      </c>
      <c r="V209" s="336" t="s">
        <v>1744</v>
      </c>
      <c r="W209" t="str">
        <f>IFERROR(VLOOKUP(ROWS($W$3:W209),$U$3:$V$992,2,0),"")</f>
        <v>Výroba optických a elektr.kabelů,elektr.vodičů a elektroinstal.zařízení</v>
      </c>
      <c r="X209">
        <f>IF(ISNUMBER(SEARCH('1Př1'!$A$35,N209)),MAX($M$2:M208)+1,0)</f>
        <v>207</v>
      </c>
      <c r="Y209" s="336" t="s">
        <v>1744</v>
      </c>
      <c r="Z209" t="str">
        <f>IFERROR(VLOOKUP(ROWS($Z$3:Z209),$X$3:$Y$992,2,0),"")</f>
        <v>Výroba optických a elektr.kabelů,elektr.vodičů a elektroinstal.zařízení</v>
      </c>
    </row>
    <row r="210" spans="10:26" ht="12.75">
      <c r="J210" s="347" t="s">
        <v>1746</v>
      </c>
      <c r="K210" s="334" t="s">
        <v>1747</v>
      </c>
      <c r="M210" s="335">
        <f>IF(ISNUMBER(SEARCH(ZAKL_DATA!$B$29,N210)),MAX($M$2:M209)+1,0)</f>
        <v>208</v>
      </c>
      <c r="N210" s="336" t="s">
        <v>1748</v>
      </c>
      <c r="O210" s="337" t="s">
        <v>1749</v>
      </c>
      <c r="P210" s="338"/>
      <c r="Q210" s="339" t="str">
        <f>IFERROR(VLOOKUP(ROWS($Q$3:Q210),$M$3:$N$992,2,0),"")</f>
        <v>Výroba elektrických osvětlovacích zařízení</v>
      </c>
      <c r="R210">
        <f>IF(ISNUMBER(SEARCH('1Př1'!$A$33,N210)),MAX($M$2:M209)+1,0)</f>
        <v>208</v>
      </c>
      <c r="S210" s="336" t="s">
        <v>1748</v>
      </c>
      <c r="T210" t="str">
        <f>IFERROR(VLOOKUP(ROWS($T$3:T210),$R$3:$S$992,2,0),"")</f>
        <v>Výroba elektrických osvětlovacích zařízení</v>
      </c>
      <c r="U210">
        <f>IF(ISNUMBER(SEARCH('1Př1'!$A$34,N210)),MAX($M$2:M209)+1,0)</f>
        <v>208</v>
      </c>
      <c r="V210" s="336" t="s">
        <v>1748</v>
      </c>
      <c r="W210" t="str">
        <f>IFERROR(VLOOKUP(ROWS($W$3:W210),$U$3:$V$992,2,0),"")</f>
        <v>Výroba elektrických osvětlovacích zařízení</v>
      </c>
      <c r="X210">
        <f>IF(ISNUMBER(SEARCH('1Př1'!$A$35,N210)),MAX($M$2:M209)+1,0)</f>
        <v>208</v>
      </c>
      <c r="Y210" s="336" t="s">
        <v>1748</v>
      </c>
      <c r="Z210" t="str">
        <f>IFERROR(VLOOKUP(ROWS($Z$3:Z210),$X$3:$Y$992,2,0),"")</f>
        <v>Výroba elektrických osvětlovacích zařízení</v>
      </c>
    </row>
    <row r="211" spans="10:26" ht="12.75">
      <c r="J211" s="347" t="s">
        <v>1750</v>
      </c>
      <c r="K211" s="334" t="s">
        <v>1751</v>
      </c>
      <c r="M211" s="335">
        <f>IF(ISNUMBER(SEARCH(ZAKL_DATA!$B$29,N211)),MAX($M$2:M210)+1,0)</f>
        <v>209</v>
      </c>
      <c r="N211" s="336" t="s">
        <v>1752</v>
      </c>
      <c r="O211" s="353" t="s">
        <v>1753</v>
      </c>
      <c r="P211" s="338"/>
      <c r="Q211" s="339" t="str">
        <f>IFERROR(VLOOKUP(ROWS($Q$3:Q211),$M$3:$N$992,2,0),"")</f>
        <v>Výroba spotřebičů převážně pro domácnost</v>
      </c>
      <c r="R211">
        <f>IF(ISNUMBER(SEARCH('1Př1'!$A$33,N211)),MAX($M$2:M210)+1,0)</f>
        <v>209</v>
      </c>
      <c r="S211" s="336" t="s">
        <v>1752</v>
      </c>
      <c r="T211" t="str">
        <f>IFERROR(VLOOKUP(ROWS($T$3:T211),$R$3:$S$992,2,0),"")</f>
        <v>Výroba spotřebičů převážně pro domácnost</v>
      </c>
      <c r="U211">
        <f>IF(ISNUMBER(SEARCH('1Př1'!$A$34,N211)),MAX($M$2:M210)+1,0)</f>
        <v>209</v>
      </c>
      <c r="V211" s="336" t="s">
        <v>1752</v>
      </c>
      <c r="W211" t="str">
        <f>IFERROR(VLOOKUP(ROWS($W$3:W211),$U$3:$V$992,2,0),"")</f>
        <v>Výroba spotřebičů převážně pro domácnost</v>
      </c>
      <c r="X211">
        <f>IF(ISNUMBER(SEARCH('1Př1'!$A$35,N211)),MAX($M$2:M210)+1,0)</f>
        <v>209</v>
      </c>
      <c r="Y211" s="336" t="s">
        <v>1752</v>
      </c>
      <c r="Z211" t="str">
        <f>IFERROR(VLOOKUP(ROWS($Z$3:Z211),$X$3:$Y$992,2,0),"")</f>
        <v>Výroba spotřebičů převážně pro domácnost</v>
      </c>
    </row>
    <row r="212" spans="10:26" ht="12.75">
      <c r="J212" s="346" t="s">
        <v>1754</v>
      </c>
      <c r="K212" s="334" t="s">
        <v>1755</v>
      </c>
      <c r="M212" s="335">
        <f>IF(ISNUMBER(SEARCH(ZAKL_DATA!$B$29,N212)),MAX($M$2:M211)+1,0)</f>
        <v>210</v>
      </c>
      <c r="N212" s="336" t="s">
        <v>1756</v>
      </c>
      <c r="O212" s="337" t="s">
        <v>1757</v>
      </c>
      <c r="P212" s="338"/>
      <c r="Q212" s="339" t="str">
        <f>IFERROR(VLOOKUP(ROWS($Q$3:Q212),$M$3:$N$992,2,0),"")</f>
        <v>Výroba ostatních elektrických zařízení</v>
      </c>
      <c r="R212">
        <f>IF(ISNUMBER(SEARCH('1Př1'!$A$33,N212)),MAX($M$2:M211)+1,0)</f>
        <v>210</v>
      </c>
      <c r="S212" s="336" t="s">
        <v>1756</v>
      </c>
      <c r="T212" t="str">
        <f>IFERROR(VLOOKUP(ROWS($T$3:T212),$R$3:$S$992,2,0),"")</f>
        <v>Výroba ostatních elektrických zařízení</v>
      </c>
      <c r="U212">
        <f>IF(ISNUMBER(SEARCH('1Př1'!$A$34,N212)),MAX($M$2:M211)+1,0)</f>
        <v>210</v>
      </c>
      <c r="V212" s="336" t="s">
        <v>1756</v>
      </c>
      <c r="W212" t="str">
        <f>IFERROR(VLOOKUP(ROWS($W$3:W212),$U$3:$V$992,2,0),"")</f>
        <v>Výroba ostatních elektrických zařízení</v>
      </c>
      <c r="X212">
        <f>IF(ISNUMBER(SEARCH('1Př1'!$A$35,N212)),MAX($M$2:M211)+1,0)</f>
        <v>210</v>
      </c>
      <c r="Y212" s="336" t="s">
        <v>1756</v>
      </c>
      <c r="Z212" t="str">
        <f>IFERROR(VLOOKUP(ROWS($Z$3:Z212),$X$3:$Y$992,2,0),"")</f>
        <v>Výroba ostatních elektrických zařízení</v>
      </c>
    </row>
    <row r="213" spans="10:26" ht="12.75">
      <c r="J213" s="347" t="s">
        <v>1758</v>
      </c>
      <c r="K213" s="334" t="s">
        <v>1759</v>
      </c>
      <c r="M213" s="335">
        <f>IF(ISNUMBER(SEARCH(ZAKL_DATA!$B$29,N213)),MAX($M$2:M212)+1,0)</f>
        <v>211</v>
      </c>
      <c r="N213" s="336" t="s">
        <v>1760</v>
      </c>
      <c r="O213" s="337" t="s">
        <v>1761</v>
      </c>
      <c r="P213" s="338"/>
      <c r="Q213" s="339" t="str">
        <f>IFERROR(VLOOKUP(ROWS($Q$3:Q213),$M$3:$N$992,2,0),"")</f>
        <v>Výroba strojů a zařízení pro všeobecné účely</v>
      </c>
      <c r="R213">
        <f>IF(ISNUMBER(SEARCH('1Př1'!$A$33,N213)),MAX($M$2:M212)+1,0)</f>
        <v>211</v>
      </c>
      <c r="S213" s="336" t="s">
        <v>1760</v>
      </c>
      <c r="T213" t="str">
        <f>IFERROR(VLOOKUP(ROWS($T$3:T213),$R$3:$S$992,2,0),"")</f>
        <v>Výroba strojů a zařízení pro všeobecné účely</v>
      </c>
      <c r="U213">
        <f>IF(ISNUMBER(SEARCH('1Př1'!$A$34,N213)),MAX($M$2:M212)+1,0)</f>
        <v>211</v>
      </c>
      <c r="V213" s="336" t="s">
        <v>1760</v>
      </c>
      <c r="W213" t="str">
        <f>IFERROR(VLOOKUP(ROWS($W$3:W213),$U$3:$V$992,2,0),"")</f>
        <v>Výroba strojů a zařízení pro všeobecné účely</v>
      </c>
      <c r="X213">
        <f>IF(ISNUMBER(SEARCH('1Př1'!$A$35,N213)),MAX($M$2:M212)+1,0)</f>
        <v>211</v>
      </c>
      <c r="Y213" s="336" t="s">
        <v>1760</v>
      </c>
      <c r="Z213" t="str">
        <f>IFERROR(VLOOKUP(ROWS($Z$3:Z213),$X$3:$Y$992,2,0),"")</f>
        <v>Výroba strojů a zařízení pro všeobecné účely</v>
      </c>
    </row>
    <row r="214" spans="10:26" ht="12.75">
      <c r="J214" s="346" t="s">
        <v>1762</v>
      </c>
      <c r="K214" s="334" t="s">
        <v>1763</v>
      </c>
      <c r="M214" s="335">
        <f>IF(ISNUMBER(SEARCH(ZAKL_DATA!$B$29,N214)),MAX($M$2:M213)+1,0)</f>
        <v>212</v>
      </c>
      <c r="N214" s="336" t="s">
        <v>1764</v>
      </c>
      <c r="O214" s="353" t="s">
        <v>1765</v>
      </c>
      <c r="P214" s="338"/>
      <c r="Q214" s="339" t="str">
        <f>IFERROR(VLOOKUP(ROWS($Q$3:Q214),$M$3:$N$992,2,0),"")</f>
        <v>Výroba ostatních strojů a zařízení pro všeobecné účely</v>
      </c>
      <c r="R214">
        <f>IF(ISNUMBER(SEARCH('1Př1'!$A$33,N214)),MAX($M$2:M213)+1,0)</f>
        <v>212</v>
      </c>
      <c r="S214" s="336" t="s">
        <v>1764</v>
      </c>
      <c r="T214" t="str">
        <f>IFERROR(VLOOKUP(ROWS($T$3:T214),$R$3:$S$992,2,0),"")</f>
        <v>Výroba ostatních strojů a zařízení pro všeobecné účely</v>
      </c>
      <c r="U214">
        <f>IF(ISNUMBER(SEARCH('1Př1'!$A$34,N214)),MAX($M$2:M213)+1,0)</f>
        <v>212</v>
      </c>
      <c r="V214" s="336" t="s">
        <v>1764</v>
      </c>
      <c r="W214" t="str">
        <f>IFERROR(VLOOKUP(ROWS($W$3:W214),$U$3:$V$992,2,0),"")</f>
        <v>Výroba ostatních strojů a zařízení pro všeobecné účely</v>
      </c>
      <c r="X214">
        <f>IF(ISNUMBER(SEARCH('1Př1'!$A$35,N214)),MAX($M$2:M213)+1,0)</f>
        <v>212</v>
      </c>
      <c r="Y214" s="336" t="s">
        <v>1764</v>
      </c>
      <c r="Z214" t="str">
        <f>IFERROR(VLOOKUP(ROWS($Z$3:Z214),$X$3:$Y$992,2,0),"")</f>
        <v>Výroba ostatních strojů a zařízení pro všeobecné účely</v>
      </c>
    </row>
    <row r="215" spans="10:26" ht="12.75">
      <c r="J215" s="346" t="s">
        <v>1766</v>
      </c>
      <c r="K215" s="334" t="s">
        <v>1767</v>
      </c>
      <c r="M215" s="335">
        <f>IF(ISNUMBER(SEARCH(ZAKL_DATA!$B$29,N215)),MAX($M$2:M214)+1,0)</f>
        <v>213</v>
      </c>
      <c r="N215" s="336" t="s">
        <v>1768</v>
      </c>
      <c r="O215" s="337" t="s">
        <v>1769</v>
      </c>
      <c r="P215" s="338"/>
      <c r="Q215" s="339" t="str">
        <f>IFERROR(VLOOKUP(ROWS($Q$3:Q215),$M$3:$N$992,2,0),"")</f>
        <v>Výroba zemědělských a lesnických strojů</v>
      </c>
      <c r="R215">
        <f>IF(ISNUMBER(SEARCH('1Př1'!$A$33,N215)),MAX($M$2:M214)+1,0)</f>
        <v>213</v>
      </c>
      <c r="S215" s="336" t="s">
        <v>1768</v>
      </c>
      <c r="T215" t="str">
        <f>IFERROR(VLOOKUP(ROWS($T$3:T215),$R$3:$S$992,2,0),"")</f>
        <v>Výroba zemědělských a lesnických strojů</v>
      </c>
      <c r="U215">
        <f>IF(ISNUMBER(SEARCH('1Př1'!$A$34,N215)),MAX($M$2:M214)+1,0)</f>
        <v>213</v>
      </c>
      <c r="V215" s="336" t="s">
        <v>1768</v>
      </c>
      <c r="W215" t="str">
        <f>IFERROR(VLOOKUP(ROWS($W$3:W215),$U$3:$V$992,2,0),"")</f>
        <v>Výroba zemědělských a lesnických strojů</v>
      </c>
      <c r="X215">
        <f>IF(ISNUMBER(SEARCH('1Př1'!$A$35,N215)),MAX($M$2:M214)+1,0)</f>
        <v>213</v>
      </c>
      <c r="Y215" s="336" t="s">
        <v>1768</v>
      </c>
      <c r="Z215" t="str">
        <f>IFERROR(VLOOKUP(ROWS($Z$3:Z215),$X$3:$Y$992,2,0),"")</f>
        <v>Výroba zemědělských a lesnických strojů</v>
      </c>
    </row>
    <row r="216" spans="10:26" ht="12.75">
      <c r="J216" s="347" t="s">
        <v>1770</v>
      </c>
      <c r="K216" s="334" t="s">
        <v>1771</v>
      </c>
      <c r="M216" s="335">
        <f>IF(ISNUMBER(SEARCH(ZAKL_DATA!$B$29,N216)),MAX($M$2:M215)+1,0)</f>
        <v>214</v>
      </c>
      <c r="N216" s="336" t="s">
        <v>1772</v>
      </c>
      <c r="O216" s="337" t="s">
        <v>1773</v>
      </c>
      <c r="P216" s="338"/>
      <c r="Q216" s="339" t="str">
        <f>IFERROR(VLOOKUP(ROWS($Q$3:Q216),$M$3:$N$992,2,0),"")</f>
        <v>Výroba kovoobráběcích a ostatních obráběcích strojů</v>
      </c>
      <c r="R216">
        <f>IF(ISNUMBER(SEARCH('1Př1'!$A$33,N216)),MAX($M$2:M215)+1,0)</f>
        <v>214</v>
      </c>
      <c r="S216" s="336" t="s">
        <v>1772</v>
      </c>
      <c r="T216" t="str">
        <f>IFERROR(VLOOKUP(ROWS($T$3:T216),$R$3:$S$992,2,0),"")</f>
        <v>Výroba kovoobráběcích a ostatních obráběcích strojů</v>
      </c>
      <c r="U216">
        <f>IF(ISNUMBER(SEARCH('1Př1'!$A$34,N216)),MAX($M$2:M215)+1,0)</f>
        <v>214</v>
      </c>
      <c r="V216" s="336" t="s">
        <v>1772</v>
      </c>
      <c r="W216" t="str">
        <f>IFERROR(VLOOKUP(ROWS($W$3:W216),$U$3:$V$992,2,0),"")</f>
        <v>Výroba kovoobráběcích a ostatních obráběcích strojů</v>
      </c>
      <c r="X216">
        <f>IF(ISNUMBER(SEARCH('1Př1'!$A$35,N216)),MAX($M$2:M215)+1,0)</f>
        <v>214</v>
      </c>
      <c r="Y216" s="336" t="s">
        <v>1772</v>
      </c>
      <c r="Z216" t="str">
        <f>IFERROR(VLOOKUP(ROWS($Z$3:Z216),$X$3:$Y$992,2,0),"")</f>
        <v>Výroba kovoobráběcích a ostatních obráběcích strojů</v>
      </c>
    </row>
    <row r="217" spans="10:26" ht="12.75">
      <c r="J217" s="347" t="s">
        <v>1774</v>
      </c>
      <c r="K217" s="334" t="s">
        <v>1775</v>
      </c>
      <c r="M217" s="335">
        <f>IF(ISNUMBER(SEARCH(ZAKL_DATA!$B$29,N217)),MAX($M$2:M216)+1,0)</f>
        <v>215</v>
      </c>
      <c r="N217" s="336" t="s">
        <v>1776</v>
      </c>
      <c r="O217" s="337" t="s">
        <v>1777</v>
      </c>
      <c r="P217" s="338"/>
      <c r="Q217" s="339" t="str">
        <f>IFERROR(VLOOKUP(ROWS($Q$3:Q217),$M$3:$N$992,2,0),"")</f>
        <v>Výroba ostatních strojů pro speciální účely</v>
      </c>
      <c r="R217">
        <f>IF(ISNUMBER(SEARCH('1Př1'!$A$33,N217)),MAX($M$2:M216)+1,0)</f>
        <v>215</v>
      </c>
      <c r="S217" s="336" t="s">
        <v>1776</v>
      </c>
      <c r="T217" t="str">
        <f>IFERROR(VLOOKUP(ROWS($T$3:T217),$R$3:$S$992,2,0),"")</f>
        <v>Výroba ostatních strojů pro speciální účely</v>
      </c>
      <c r="U217">
        <f>IF(ISNUMBER(SEARCH('1Př1'!$A$34,N217)),MAX($M$2:M216)+1,0)</f>
        <v>215</v>
      </c>
      <c r="V217" s="336" t="s">
        <v>1776</v>
      </c>
      <c r="W217" t="str">
        <f>IFERROR(VLOOKUP(ROWS($W$3:W217),$U$3:$V$992,2,0),"")</f>
        <v>Výroba ostatních strojů pro speciální účely</v>
      </c>
      <c r="X217">
        <f>IF(ISNUMBER(SEARCH('1Př1'!$A$35,N217)),MAX($M$2:M216)+1,0)</f>
        <v>215</v>
      </c>
      <c r="Y217" s="336" t="s">
        <v>1776</v>
      </c>
      <c r="Z217" t="str">
        <f>IFERROR(VLOOKUP(ROWS($Z$3:Z217),$X$3:$Y$992,2,0),"")</f>
        <v>Výroba ostatních strojů pro speciální účely</v>
      </c>
    </row>
    <row r="218" spans="10:26" ht="12.75">
      <c r="J218" s="347" t="s">
        <v>1778</v>
      </c>
      <c r="K218" s="334" t="s">
        <v>1779</v>
      </c>
      <c r="M218" s="335">
        <f>IF(ISNUMBER(SEARCH(ZAKL_DATA!$B$29,N218)),MAX($M$2:M217)+1,0)</f>
        <v>216</v>
      </c>
      <c r="N218" s="336" t="s">
        <v>1780</v>
      </c>
      <c r="O218" s="337" t="s">
        <v>1781</v>
      </c>
      <c r="P218" s="338"/>
      <c r="Q218" s="339" t="str">
        <f>IFERROR(VLOOKUP(ROWS($Q$3:Q218),$M$3:$N$992,2,0),"")</f>
        <v>Výroba motorových vozidel a jejich motorů</v>
      </c>
      <c r="R218">
        <f>IF(ISNUMBER(SEARCH('1Př1'!$A$33,N218)),MAX($M$2:M217)+1,0)</f>
        <v>216</v>
      </c>
      <c r="S218" s="336" t="s">
        <v>1780</v>
      </c>
      <c r="T218" t="str">
        <f>IFERROR(VLOOKUP(ROWS($T$3:T218),$R$3:$S$992,2,0),"")</f>
        <v>Výroba motorových vozidel a jejich motorů</v>
      </c>
      <c r="U218">
        <f>IF(ISNUMBER(SEARCH('1Př1'!$A$34,N218)),MAX($M$2:M217)+1,0)</f>
        <v>216</v>
      </c>
      <c r="V218" s="336" t="s">
        <v>1780</v>
      </c>
      <c r="W218" t="str">
        <f>IFERROR(VLOOKUP(ROWS($W$3:W218),$U$3:$V$992,2,0),"")</f>
        <v>Výroba motorových vozidel a jejich motorů</v>
      </c>
      <c r="X218">
        <f>IF(ISNUMBER(SEARCH('1Př1'!$A$35,N218)),MAX($M$2:M217)+1,0)</f>
        <v>216</v>
      </c>
      <c r="Y218" s="336" t="s">
        <v>1780</v>
      </c>
      <c r="Z218" t="str">
        <f>IFERROR(VLOOKUP(ROWS($Z$3:Z218),$X$3:$Y$992,2,0),"")</f>
        <v>Výroba motorových vozidel a jejich motorů</v>
      </c>
    </row>
    <row r="219" spans="10:26" ht="12.75">
      <c r="J219" s="347" t="s">
        <v>1782</v>
      </c>
      <c r="K219" s="334" t="s">
        <v>1783</v>
      </c>
      <c r="M219" s="335">
        <f>IF(ISNUMBER(SEARCH(ZAKL_DATA!$B$29,N219)),MAX($M$2:M218)+1,0)</f>
        <v>217</v>
      </c>
      <c r="N219" s="336" t="s">
        <v>1784</v>
      </c>
      <c r="O219" s="337" t="s">
        <v>1785</v>
      </c>
      <c r="P219" s="338"/>
      <c r="Q219" s="339" t="str">
        <f>IFERROR(VLOOKUP(ROWS($Q$3:Q219),$M$3:$N$992,2,0),"")</f>
        <v>Výroba karoserií motorových vozidel; výroba přívěsů a návěsů</v>
      </c>
      <c r="R219">
        <f>IF(ISNUMBER(SEARCH('1Př1'!$A$33,N219)),MAX($M$2:M218)+1,0)</f>
        <v>217</v>
      </c>
      <c r="S219" s="336" t="s">
        <v>1784</v>
      </c>
      <c r="T219" t="str">
        <f>IFERROR(VLOOKUP(ROWS($T$3:T219),$R$3:$S$992,2,0),"")</f>
        <v>Výroba karoserií motorových vozidel; výroba přívěsů a návěsů</v>
      </c>
      <c r="U219">
        <f>IF(ISNUMBER(SEARCH('1Př1'!$A$34,N219)),MAX($M$2:M218)+1,0)</f>
        <v>217</v>
      </c>
      <c r="V219" s="336" t="s">
        <v>1784</v>
      </c>
      <c r="W219" t="str">
        <f>IFERROR(VLOOKUP(ROWS($W$3:W219),$U$3:$V$992,2,0),"")</f>
        <v>Výroba karoserií motorových vozidel; výroba přívěsů a návěsů</v>
      </c>
      <c r="X219">
        <f>IF(ISNUMBER(SEARCH('1Př1'!$A$35,N219)),MAX($M$2:M218)+1,0)</f>
        <v>217</v>
      </c>
      <c r="Y219" s="336" t="s">
        <v>1784</v>
      </c>
      <c r="Z219" t="str">
        <f>IFERROR(VLOOKUP(ROWS($Z$3:Z219),$X$3:$Y$992,2,0),"")</f>
        <v>Výroba karoserií motorových vozidel; výroba přívěsů a návěsů</v>
      </c>
    </row>
    <row r="220" spans="10:26" ht="12.75">
      <c r="J220" s="347" t="s">
        <v>1786</v>
      </c>
      <c r="K220" s="334" t="s">
        <v>1787</v>
      </c>
      <c r="M220" s="335">
        <f>IF(ISNUMBER(SEARCH(ZAKL_DATA!$B$29,N220)),MAX($M$2:M219)+1,0)</f>
        <v>218</v>
      </c>
      <c r="N220" s="336" t="s">
        <v>1788</v>
      </c>
      <c r="O220" s="337" t="s">
        <v>1789</v>
      </c>
      <c r="P220" s="338"/>
      <c r="Q220" s="339" t="str">
        <f>IFERROR(VLOOKUP(ROWS($Q$3:Q220),$M$3:$N$992,2,0),"")</f>
        <v>Výroba dílů a příslušenství pro motorová vozidla a jejich motory</v>
      </c>
      <c r="R220">
        <f>IF(ISNUMBER(SEARCH('1Př1'!$A$33,N220)),MAX($M$2:M219)+1,0)</f>
        <v>218</v>
      </c>
      <c r="S220" s="336" t="s">
        <v>1788</v>
      </c>
      <c r="T220" t="str">
        <f>IFERROR(VLOOKUP(ROWS($T$3:T220),$R$3:$S$992,2,0),"")</f>
        <v>Výroba dílů a příslušenství pro motorová vozidla a jejich motory</v>
      </c>
      <c r="U220">
        <f>IF(ISNUMBER(SEARCH('1Př1'!$A$34,N220)),MAX($M$2:M219)+1,0)</f>
        <v>218</v>
      </c>
      <c r="V220" s="336" t="s">
        <v>1788</v>
      </c>
      <c r="W220" t="str">
        <f>IFERROR(VLOOKUP(ROWS($W$3:W220),$U$3:$V$992,2,0),"")</f>
        <v>Výroba dílů a příslušenství pro motorová vozidla a jejich motory</v>
      </c>
      <c r="X220">
        <f>IF(ISNUMBER(SEARCH('1Př1'!$A$35,N220)),MAX($M$2:M219)+1,0)</f>
        <v>218</v>
      </c>
      <c r="Y220" s="336" t="s">
        <v>1788</v>
      </c>
      <c r="Z220" t="str">
        <f>IFERROR(VLOOKUP(ROWS($Z$3:Z220),$X$3:$Y$992,2,0),"")</f>
        <v>Výroba dílů a příslušenství pro motorová vozidla a jejich motory</v>
      </c>
    </row>
    <row r="221" spans="10:26" ht="12.75">
      <c r="J221" s="347" t="s">
        <v>1790</v>
      </c>
      <c r="K221" s="334" t="s">
        <v>1791</v>
      </c>
      <c r="M221" s="335">
        <f>IF(ISNUMBER(SEARCH(ZAKL_DATA!$B$29,N221)),MAX($M$2:M220)+1,0)</f>
        <v>219</v>
      </c>
      <c r="N221" s="336" t="s">
        <v>1792</v>
      </c>
      <c r="O221" s="337" t="s">
        <v>1793</v>
      </c>
      <c r="P221" s="338"/>
      <c r="Q221" s="339" t="str">
        <f>IFERROR(VLOOKUP(ROWS($Q$3:Q221),$M$3:$N$992,2,0),"")</f>
        <v>Stavba lodí a člunů</v>
      </c>
      <c r="R221">
        <f>IF(ISNUMBER(SEARCH('1Př1'!$A$33,N221)),MAX($M$2:M220)+1,0)</f>
        <v>219</v>
      </c>
      <c r="S221" s="336" t="s">
        <v>1792</v>
      </c>
      <c r="T221" t="str">
        <f>IFERROR(VLOOKUP(ROWS($T$3:T221),$R$3:$S$992,2,0),"")</f>
        <v>Stavba lodí a člunů</v>
      </c>
      <c r="U221">
        <f>IF(ISNUMBER(SEARCH('1Př1'!$A$34,N221)),MAX($M$2:M220)+1,0)</f>
        <v>219</v>
      </c>
      <c r="V221" s="336" t="s">
        <v>1792</v>
      </c>
      <c r="W221" t="str">
        <f>IFERROR(VLOOKUP(ROWS($W$3:W221),$U$3:$V$992,2,0),"")</f>
        <v>Stavba lodí a člunů</v>
      </c>
      <c r="X221">
        <f>IF(ISNUMBER(SEARCH('1Př1'!$A$35,N221)),MAX($M$2:M220)+1,0)</f>
        <v>219</v>
      </c>
      <c r="Y221" s="336" t="s">
        <v>1792</v>
      </c>
      <c r="Z221" t="str">
        <f>IFERROR(VLOOKUP(ROWS($Z$3:Z221),$X$3:$Y$992,2,0),"")</f>
        <v>Stavba lodí a člunů</v>
      </c>
    </row>
    <row r="222" spans="10:26" ht="12.75">
      <c r="J222" s="346" t="s">
        <v>1794</v>
      </c>
      <c r="K222" s="334" t="s">
        <v>1795</v>
      </c>
      <c r="M222" s="335">
        <f>IF(ISNUMBER(SEARCH(ZAKL_DATA!$B$29,N222)),MAX($M$2:M221)+1,0)</f>
        <v>220</v>
      </c>
      <c r="N222" s="336" t="s">
        <v>1796</v>
      </c>
      <c r="O222" s="353" t="s">
        <v>1797</v>
      </c>
      <c r="P222" s="338"/>
      <c r="Q222" s="339" t="str">
        <f>IFERROR(VLOOKUP(ROWS($Q$3:Q222),$M$3:$N$992,2,0),"")</f>
        <v>Výroba železničních lokomotiv a vozového parku</v>
      </c>
      <c r="R222">
        <f>IF(ISNUMBER(SEARCH('1Př1'!$A$33,N222)),MAX($M$2:M221)+1,0)</f>
        <v>220</v>
      </c>
      <c r="S222" s="336" t="s">
        <v>1796</v>
      </c>
      <c r="T222" t="str">
        <f>IFERROR(VLOOKUP(ROWS($T$3:T222),$R$3:$S$992,2,0),"")</f>
        <v>Výroba železničních lokomotiv a vozového parku</v>
      </c>
      <c r="U222">
        <f>IF(ISNUMBER(SEARCH('1Př1'!$A$34,N222)),MAX($M$2:M221)+1,0)</f>
        <v>220</v>
      </c>
      <c r="V222" s="336" t="s">
        <v>1796</v>
      </c>
      <c r="W222" t="str">
        <f>IFERROR(VLOOKUP(ROWS($W$3:W222),$U$3:$V$992,2,0),"")</f>
        <v>Výroba železničních lokomotiv a vozového parku</v>
      </c>
      <c r="X222">
        <f>IF(ISNUMBER(SEARCH('1Př1'!$A$35,N222)),MAX($M$2:M221)+1,0)</f>
        <v>220</v>
      </c>
      <c r="Y222" s="336" t="s">
        <v>1796</v>
      </c>
      <c r="Z222" t="str">
        <f>IFERROR(VLOOKUP(ROWS($Z$3:Z222),$X$3:$Y$992,2,0),"")</f>
        <v>Výroba železničních lokomotiv a vozového parku</v>
      </c>
    </row>
    <row r="223" spans="10:26" ht="12.75">
      <c r="J223" s="347" t="s">
        <v>1798</v>
      </c>
      <c r="K223" s="334" t="s">
        <v>1799</v>
      </c>
      <c r="M223" s="335">
        <f>IF(ISNUMBER(SEARCH(ZAKL_DATA!$B$29,N223)),MAX($M$2:M222)+1,0)</f>
        <v>221</v>
      </c>
      <c r="N223" s="336" t="s">
        <v>1800</v>
      </c>
      <c r="O223" s="353" t="s">
        <v>1801</v>
      </c>
      <c r="P223" s="338"/>
      <c r="Q223" s="339" t="str">
        <f>IFERROR(VLOOKUP(ROWS($Q$3:Q223),$M$3:$N$992,2,0),"")</f>
        <v>Výroba letadel a jejich motorů,kosmických lodí a souvisejících zařízení</v>
      </c>
      <c r="R223">
        <f>IF(ISNUMBER(SEARCH('1Př1'!$A$33,N223)),MAX($M$2:M222)+1,0)</f>
        <v>221</v>
      </c>
      <c r="S223" s="336" t="s">
        <v>1800</v>
      </c>
      <c r="T223" t="str">
        <f>IFERROR(VLOOKUP(ROWS($T$3:T223),$R$3:$S$992,2,0),"")</f>
        <v>Výroba letadel a jejich motorů,kosmických lodí a souvisejících zařízení</v>
      </c>
      <c r="U223">
        <f>IF(ISNUMBER(SEARCH('1Př1'!$A$34,N223)),MAX($M$2:M222)+1,0)</f>
        <v>221</v>
      </c>
      <c r="V223" s="336" t="s">
        <v>1800</v>
      </c>
      <c r="W223" t="str">
        <f>IFERROR(VLOOKUP(ROWS($W$3:W223),$U$3:$V$992,2,0),"")</f>
        <v>Výroba letadel a jejich motorů,kosmických lodí a souvisejících zařízení</v>
      </c>
      <c r="X223">
        <f>IF(ISNUMBER(SEARCH('1Př1'!$A$35,N223)),MAX($M$2:M222)+1,0)</f>
        <v>221</v>
      </c>
      <c r="Y223" s="336" t="s">
        <v>1800</v>
      </c>
      <c r="Z223" t="str">
        <f>IFERROR(VLOOKUP(ROWS($Z$3:Z223),$X$3:$Y$992,2,0),"")</f>
        <v>Výroba letadel a jejich motorů,kosmických lodí a souvisejících zařízení</v>
      </c>
    </row>
    <row r="224" spans="10:26" ht="12.75">
      <c r="J224" s="347" t="s">
        <v>1802</v>
      </c>
      <c r="K224" s="334" t="s">
        <v>1803</v>
      </c>
      <c r="M224" s="335">
        <f>IF(ISNUMBER(SEARCH(ZAKL_DATA!$B$29,N224)),MAX($M$2:M223)+1,0)</f>
        <v>222</v>
      </c>
      <c r="N224" s="336" t="s">
        <v>1804</v>
      </c>
      <c r="O224" s="353" t="s">
        <v>1805</v>
      </c>
      <c r="P224" s="338"/>
      <c r="Q224" s="339" t="str">
        <f>IFERROR(VLOOKUP(ROWS($Q$3:Q224),$M$3:$N$992,2,0),"")</f>
        <v>Výroba vojenských bojových vozidel</v>
      </c>
      <c r="R224">
        <f>IF(ISNUMBER(SEARCH('1Př1'!$A$33,N224)),MAX($M$2:M223)+1,0)</f>
        <v>222</v>
      </c>
      <c r="S224" s="336" t="s">
        <v>1804</v>
      </c>
      <c r="T224" t="str">
        <f>IFERROR(VLOOKUP(ROWS($T$3:T224),$R$3:$S$992,2,0),"")</f>
        <v>Výroba vojenských bojových vozidel</v>
      </c>
      <c r="U224">
        <f>IF(ISNUMBER(SEARCH('1Př1'!$A$34,N224)),MAX($M$2:M223)+1,0)</f>
        <v>222</v>
      </c>
      <c r="V224" s="336" t="s">
        <v>1804</v>
      </c>
      <c r="W224" t="str">
        <f>IFERROR(VLOOKUP(ROWS($W$3:W224),$U$3:$V$992,2,0),"")</f>
        <v>Výroba vojenských bojových vozidel</v>
      </c>
      <c r="X224">
        <f>IF(ISNUMBER(SEARCH('1Př1'!$A$35,N224)),MAX($M$2:M223)+1,0)</f>
        <v>222</v>
      </c>
      <c r="Y224" s="336" t="s">
        <v>1804</v>
      </c>
      <c r="Z224" t="str">
        <f>IFERROR(VLOOKUP(ROWS($Z$3:Z224),$X$3:$Y$992,2,0),"")</f>
        <v>Výroba vojenských bojových vozidel</v>
      </c>
    </row>
    <row r="225" spans="10:26" ht="12.75">
      <c r="J225" s="347" t="s">
        <v>1806</v>
      </c>
      <c r="K225" s="334" t="s">
        <v>1807</v>
      </c>
      <c r="M225" s="335">
        <f>IF(ISNUMBER(SEARCH(ZAKL_DATA!$B$29,N225)),MAX($M$2:M224)+1,0)</f>
        <v>223</v>
      </c>
      <c r="N225" s="336" t="s">
        <v>1808</v>
      </c>
      <c r="O225" s="353" t="s">
        <v>1809</v>
      </c>
      <c r="P225" s="338"/>
      <c r="Q225" s="339" t="str">
        <f>IFERROR(VLOOKUP(ROWS($Q$3:Q225),$M$3:$N$992,2,0),"")</f>
        <v>Výroba dopravních prostředků a zařízení j. n.</v>
      </c>
      <c r="R225">
        <f>IF(ISNUMBER(SEARCH('1Př1'!$A$33,N225)),MAX($M$2:M224)+1,0)</f>
        <v>223</v>
      </c>
      <c r="S225" s="336" t="s">
        <v>1808</v>
      </c>
      <c r="T225" t="str">
        <f>IFERROR(VLOOKUP(ROWS($T$3:T225),$R$3:$S$992,2,0),"")</f>
        <v>Výroba dopravních prostředků a zařízení j. n.</v>
      </c>
      <c r="U225">
        <f>IF(ISNUMBER(SEARCH('1Př1'!$A$34,N225)),MAX($M$2:M224)+1,0)</f>
        <v>223</v>
      </c>
      <c r="V225" s="336" t="s">
        <v>1808</v>
      </c>
      <c r="W225" t="str">
        <f>IFERROR(VLOOKUP(ROWS($W$3:W225),$U$3:$V$992,2,0),"")</f>
        <v>Výroba dopravních prostředků a zařízení j. n.</v>
      </c>
      <c r="X225">
        <f>IF(ISNUMBER(SEARCH('1Př1'!$A$35,N225)),MAX($M$2:M224)+1,0)</f>
        <v>223</v>
      </c>
      <c r="Y225" s="336" t="s">
        <v>1808</v>
      </c>
      <c r="Z225" t="str">
        <f>IFERROR(VLOOKUP(ROWS($Z$3:Z225),$X$3:$Y$992,2,0),"")</f>
        <v>Výroba dopravních prostředků a zařízení j. n.</v>
      </c>
    </row>
    <row r="226" spans="10:26" ht="12.75">
      <c r="J226" s="347" t="s">
        <v>1810</v>
      </c>
      <c r="K226" s="334" t="s">
        <v>1811</v>
      </c>
      <c r="M226" s="335">
        <f>IF(ISNUMBER(SEARCH(ZAKL_DATA!$B$29,N226)),MAX($M$2:M225)+1,0)</f>
        <v>224</v>
      </c>
      <c r="N226" s="336" t="s">
        <v>1812</v>
      </c>
      <c r="O226" s="353" t="s">
        <v>1813</v>
      </c>
      <c r="P226" s="338"/>
      <c r="Q226" s="339" t="str">
        <f>IFERROR(VLOOKUP(ROWS($Q$3:Q226),$M$3:$N$992,2,0),"")</f>
        <v>Mořský rybolov</v>
      </c>
      <c r="R226">
        <f>IF(ISNUMBER(SEARCH('1Př1'!$A$33,N226)),MAX($M$2:M225)+1,0)</f>
        <v>224</v>
      </c>
      <c r="S226" s="336" t="s">
        <v>1812</v>
      </c>
      <c r="T226" t="str">
        <f>IFERROR(VLOOKUP(ROWS($T$3:T226),$R$3:$S$992,2,0),"")</f>
        <v>Mořský rybolov</v>
      </c>
      <c r="U226">
        <f>IF(ISNUMBER(SEARCH('1Př1'!$A$34,N226)),MAX($M$2:M225)+1,0)</f>
        <v>224</v>
      </c>
      <c r="V226" s="336" t="s">
        <v>1812</v>
      </c>
      <c r="W226" t="str">
        <f>IFERROR(VLOOKUP(ROWS($W$3:W226),$U$3:$V$992,2,0),"")</f>
        <v>Mořský rybolov</v>
      </c>
      <c r="X226">
        <f>IF(ISNUMBER(SEARCH('1Př1'!$A$35,N226)),MAX($M$2:M225)+1,0)</f>
        <v>224</v>
      </c>
      <c r="Y226" s="336" t="s">
        <v>1812</v>
      </c>
      <c r="Z226" t="str">
        <f>IFERROR(VLOOKUP(ROWS($Z$3:Z226),$X$3:$Y$992,2,0),"")</f>
        <v>Mořský rybolov</v>
      </c>
    </row>
    <row r="227" spans="10:26" ht="12.75">
      <c r="J227" s="347" t="s">
        <v>1814</v>
      </c>
      <c r="K227" s="334" t="s">
        <v>1815</v>
      </c>
      <c r="M227" s="335">
        <f>IF(ISNUMBER(SEARCH(ZAKL_DATA!$B$29,N227)),MAX($M$2:M226)+1,0)</f>
        <v>225</v>
      </c>
      <c r="N227" s="336" t="s">
        <v>1816</v>
      </c>
      <c r="O227" s="353" t="s">
        <v>1817</v>
      </c>
      <c r="P227" s="338"/>
      <c r="Q227" s="339" t="str">
        <f>IFERROR(VLOOKUP(ROWS($Q$3:Q227),$M$3:$N$992,2,0),"")</f>
        <v>Sladkovodní rybolov</v>
      </c>
      <c r="R227">
        <f>IF(ISNUMBER(SEARCH('1Př1'!$A$33,N227)),MAX($M$2:M226)+1,0)</f>
        <v>225</v>
      </c>
      <c r="S227" s="336" t="s">
        <v>1816</v>
      </c>
      <c r="T227" t="str">
        <f>IFERROR(VLOOKUP(ROWS($T$3:T227),$R$3:$S$992,2,0),"")</f>
        <v>Sladkovodní rybolov</v>
      </c>
      <c r="U227">
        <f>IF(ISNUMBER(SEARCH('1Př1'!$A$34,N227)),MAX($M$2:M226)+1,0)</f>
        <v>225</v>
      </c>
      <c r="V227" s="336" t="s">
        <v>1816</v>
      </c>
      <c r="W227" t="str">
        <f>IFERROR(VLOOKUP(ROWS($W$3:W227),$U$3:$V$992,2,0),"")</f>
        <v>Sladkovodní rybolov</v>
      </c>
      <c r="X227">
        <f>IF(ISNUMBER(SEARCH('1Př1'!$A$35,N227)),MAX($M$2:M226)+1,0)</f>
        <v>225</v>
      </c>
      <c r="Y227" s="336" t="s">
        <v>1816</v>
      </c>
      <c r="Z227" t="str">
        <f>IFERROR(VLOOKUP(ROWS($Z$3:Z227),$X$3:$Y$992,2,0),"")</f>
        <v>Sladkovodní rybolov</v>
      </c>
    </row>
    <row r="228" spans="10:26" ht="12.75">
      <c r="J228" s="347" t="s">
        <v>1818</v>
      </c>
      <c r="K228" s="334" t="s">
        <v>1819</v>
      </c>
      <c r="M228" s="335">
        <f>IF(ISNUMBER(SEARCH(ZAKL_DATA!$B$29,N228)),MAX($M$2:M227)+1,0)</f>
        <v>226</v>
      </c>
      <c r="N228" s="336" t="s">
        <v>1820</v>
      </c>
      <c r="O228" s="353" t="s">
        <v>1821</v>
      </c>
      <c r="P228" s="338"/>
      <c r="Q228" s="339" t="str">
        <f>IFERROR(VLOOKUP(ROWS($Q$3:Q228),$M$3:$N$992,2,0),"")</f>
        <v>Výroba klenotů, bižuterie a příbuzných výrobků</v>
      </c>
      <c r="R228">
        <f>IF(ISNUMBER(SEARCH('1Př1'!$A$33,N228)),MAX($M$2:M227)+1,0)</f>
        <v>226</v>
      </c>
      <c r="S228" s="336" t="s">
        <v>1820</v>
      </c>
      <c r="T228" t="str">
        <f>IFERROR(VLOOKUP(ROWS($T$3:T228),$R$3:$S$992,2,0),"")</f>
        <v>Výroba klenotů, bižuterie a příbuzných výrobků</v>
      </c>
      <c r="U228">
        <f>IF(ISNUMBER(SEARCH('1Př1'!$A$34,N228)),MAX($M$2:M227)+1,0)</f>
        <v>226</v>
      </c>
      <c r="V228" s="336" t="s">
        <v>1820</v>
      </c>
      <c r="W228" t="str">
        <f>IFERROR(VLOOKUP(ROWS($W$3:W228),$U$3:$V$992,2,0),"")</f>
        <v>Výroba klenotů, bižuterie a příbuzných výrobků</v>
      </c>
      <c r="X228">
        <f>IF(ISNUMBER(SEARCH('1Př1'!$A$35,N228)),MAX($M$2:M227)+1,0)</f>
        <v>226</v>
      </c>
      <c r="Y228" s="336" t="s">
        <v>1820</v>
      </c>
      <c r="Z228" t="str">
        <f>IFERROR(VLOOKUP(ROWS($Z$3:Z228),$X$3:$Y$992,2,0),"")</f>
        <v>Výroba klenotů, bižuterie a příbuzných výrobků</v>
      </c>
    </row>
    <row r="229" spans="10:26" ht="12.75">
      <c r="J229" s="347" t="s">
        <v>1822</v>
      </c>
      <c r="K229" s="334" t="s">
        <v>1823</v>
      </c>
      <c r="M229" s="335">
        <f>IF(ISNUMBER(SEARCH(ZAKL_DATA!$B$29,N229)),MAX($M$2:M228)+1,0)</f>
        <v>227</v>
      </c>
      <c r="N229" s="336" t="s">
        <v>1824</v>
      </c>
      <c r="O229" s="353" t="s">
        <v>1825</v>
      </c>
      <c r="P229" s="338"/>
      <c r="Q229" s="339" t="str">
        <f>IFERROR(VLOOKUP(ROWS($Q$3:Q229),$M$3:$N$992,2,0),"")</f>
        <v>Mořská akvakultura</v>
      </c>
      <c r="R229">
        <f>IF(ISNUMBER(SEARCH('1Př1'!$A$33,N229)),MAX($M$2:M228)+1,0)</f>
        <v>227</v>
      </c>
      <c r="S229" s="336" t="s">
        <v>1824</v>
      </c>
      <c r="T229" t="str">
        <f>IFERROR(VLOOKUP(ROWS($T$3:T229),$R$3:$S$992,2,0),"")</f>
        <v>Mořská akvakultura</v>
      </c>
      <c r="U229">
        <f>IF(ISNUMBER(SEARCH('1Př1'!$A$34,N229)),MAX($M$2:M228)+1,0)</f>
        <v>227</v>
      </c>
      <c r="V229" s="336" t="s">
        <v>1824</v>
      </c>
      <c r="W229" t="str">
        <f>IFERROR(VLOOKUP(ROWS($W$3:W229),$U$3:$V$992,2,0),"")</f>
        <v>Mořská akvakultura</v>
      </c>
      <c r="X229">
        <f>IF(ISNUMBER(SEARCH('1Př1'!$A$35,N229)),MAX($M$2:M228)+1,0)</f>
        <v>227</v>
      </c>
      <c r="Y229" s="336" t="s">
        <v>1824</v>
      </c>
      <c r="Z229" t="str">
        <f>IFERROR(VLOOKUP(ROWS($Z$3:Z229),$X$3:$Y$992,2,0),"")</f>
        <v>Mořská akvakultura</v>
      </c>
    </row>
    <row r="230" spans="10:26" ht="12.75">
      <c r="J230" s="347" t="s">
        <v>1826</v>
      </c>
      <c r="K230" s="334" t="s">
        <v>1827</v>
      </c>
      <c r="M230" s="335">
        <f>IF(ISNUMBER(SEARCH(ZAKL_DATA!$B$29,N230)),MAX($M$2:M229)+1,0)</f>
        <v>228</v>
      </c>
      <c r="N230" s="336" t="s">
        <v>1828</v>
      </c>
      <c r="O230" s="353" t="s">
        <v>1829</v>
      </c>
      <c r="P230" s="338"/>
      <c r="Q230" s="339" t="str">
        <f>IFERROR(VLOOKUP(ROWS($Q$3:Q230),$M$3:$N$992,2,0),"")</f>
        <v>Výroba hudebních nástrojů</v>
      </c>
      <c r="R230">
        <f>IF(ISNUMBER(SEARCH('1Př1'!$A$33,N230)),MAX($M$2:M229)+1,0)</f>
        <v>228</v>
      </c>
      <c r="S230" s="336" t="s">
        <v>1828</v>
      </c>
      <c r="T230" t="str">
        <f>IFERROR(VLOOKUP(ROWS($T$3:T230),$R$3:$S$992,2,0),"")</f>
        <v>Výroba hudebních nástrojů</v>
      </c>
      <c r="U230">
        <f>IF(ISNUMBER(SEARCH('1Př1'!$A$34,N230)),MAX($M$2:M229)+1,0)</f>
        <v>228</v>
      </c>
      <c r="V230" s="336" t="s">
        <v>1828</v>
      </c>
      <c r="W230" t="str">
        <f>IFERROR(VLOOKUP(ROWS($W$3:W230),$U$3:$V$992,2,0),"")</f>
        <v>Výroba hudebních nástrojů</v>
      </c>
      <c r="X230">
        <f>IF(ISNUMBER(SEARCH('1Př1'!$A$35,N230)),MAX($M$2:M229)+1,0)</f>
        <v>228</v>
      </c>
      <c r="Y230" s="336" t="s">
        <v>1828</v>
      </c>
      <c r="Z230" t="str">
        <f>IFERROR(VLOOKUP(ROWS($Z$3:Z230),$X$3:$Y$992,2,0),"")</f>
        <v>Výroba hudebních nástrojů</v>
      </c>
    </row>
    <row r="231" spans="10:26" ht="12.75">
      <c r="J231" s="347" t="s">
        <v>1830</v>
      </c>
      <c r="K231" s="334" t="s">
        <v>1831</v>
      </c>
      <c r="M231" s="335">
        <f>IF(ISNUMBER(SEARCH(ZAKL_DATA!$B$29,N231)),MAX($M$2:M230)+1,0)</f>
        <v>229</v>
      </c>
      <c r="N231" s="336" t="s">
        <v>1832</v>
      </c>
      <c r="O231" s="353" t="s">
        <v>1833</v>
      </c>
      <c r="P231" s="338"/>
      <c r="Q231" s="339" t="str">
        <f>IFERROR(VLOOKUP(ROWS($Q$3:Q231),$M$3:$N$992,2,0),"")</f>
        <v>Sladkovodní akvakultura</v>
      </c>
      <c r="R231">
        <f>IF(ISNUMBER(SEARCH('1Př1'!$A$33,N231)),MAX($M$2:M230)+1,0)</f>
        <v>229</v>
      </c>
      <c r="S231" s="336" t="s">
        <v>1832</v>
      </c>
      <c r="T231" t="str">
        <f>IFERROR(VLOOKUP(ROWS($T$3:T231),$R$3:$S$992,2,0),"")</f>
        <v>Sladkovodní akvakultura</v>
      </c>
      <c r="U231">
        <f>IF(ISNUMBER(SEARCH('1Př1'!$A$34,N231)),MAX($M$2:M230)+1,0)</f>
        <v>229</v>
      </c>
      <c r="V231" s="336" t="s">
        <v>1832</v>
      </c>
      <c r="W231" t="str">
        <f>IFERROR(VLOOKUP(ROWS($W$3:W231),$U$3:$V$992,2,0),"")</f>
        <v>Sladkovodní akvakultura</v>
      </c>
      <c r="X231">
        <f>IF(ISNUMBER(SEARCH('1Př1'!$A$35,N231)),MAX($M$2:M230)+1,0)</f>
        <v>229</v>
      </c>
      <c r="Y231" s="336" t="s">
        <v>1832</v>
      </c>
      <c r="Z231" t="str">
        <f>IFERROR(VLOOKUP(ROWS($Z$3:Z231),$X$3:$Y$992,2,0),"")</f>
        <v>Sladkovodní akvakultura</v>
      </c>
    </row>
    <row r="232" spans="10:26" ht="12.75">
      <c r="J232" s="347" t="s">
        <v>1834</v>
      </c>
      <c r="K232" s="334" t="s">
        <v>1835</v>
      </c>
      <c r="M232" s="335">
        <f>IF(ISNUMBER(SEARCH(ZAKL_DATA!$B$29,N232)),MAX($M$2:M231)+1,0)</f>
        <v>230</v>
      </c>
      <c r="N232" s="336" t="s">
        <v>1836</v>
      </c>
      <c r="O232" s="353" t="s">
        <v>1837</v>
      </c>
      <c r="P232" s="338"/>
      <c r="Q232" s="339" t="str">
        <f>IFERROR(VLOOKUP(ROWS($Q$3:Q232),$M$3:$N$992,2,0),"")</f>
        <v>Výroba sportovních potřeb</v>
      </c>
      <c r="R232">
        <f>IF(ISNUMBER(SEARCH('1Př1'!$A$33,N232)),MAX($M$2:M231)+1,0)</f>
        <v>230</v>
      </c>
      <c r="S232" s="336" t="s">
        <v>1836</v>
      </c>
      <c r="T232" t="str">
        <f>IFERROR(VLOOKUP(ROWS($T$3:T232),$R$3:$S$992,2,0),"")</f>
        <v>Výroba sportovních potřeb</v>
      </c>
      <c r="U232">
        <f>IF(ISNUMBER(SEARCH('1Př1'!$A$34,N232)),MAX($M$2:M231)+1,0)</f>
        <v>230</v>
      </c>
      <c r="V232" s="336" t="s">
        <v>1836</v>
      </c>
      <c r="W232" t="str">
        <f>IFERROR(VLOOKUP(ROWS($W$3:W232),$U$3:$V$992,2,0),"")</f>
        <v>Výroba sportovních potřeb</v>
      </c>
      <c r="X232">
        <f>IF(ISNUMBER(SEARCH('1Př1'!$A$35,N232)),MAX($M$2:M231)+1,0)</f>
        <v>230</v>
      </c>
      <c r="Y232" s="336" t="s">
        <v>1836</v>
      </c>
      <c r="Z232" t="str">
        <f>IFERROR(VLOOKUP(ROWS($Z$3:Z232),$X$3:$Y$992,2,0),"")</f>
        <v>Výroba sportovních potřeb</v>
      </c>
    </row>
    <row r="233" spans="10:26" ht="12.75">
      <c r="J233" s="347" t="s">
        <v>1838</v>
      </c>
      <c r="K233" s="334" t="s">
        <v>1839</v>
      </c>
      <c r="M233" s="335">
        <f>IF(ISNUMBER(SEARCH(ZAKL_DATA!$B$29,N233)),MAX($M$2:M232)+1,0)</f>
        <v>231</v>
      </c>
      <c r="N233" s="336" t="s">
        <v>1840</v>
      </c>
      <c r="O233" s="353" t="s">
        <v>1841</v>
      </c>
      <c r="P233" s="338"/>
      <c r="Q233" s="339" t="str">
        <f>IFERROR(VLOOKUP(ROWS($Q$3:Q233),$M$3:$N$992,2,0),"")</f>
        <v>Výroba her a hraček</v>
      </c>
      <c r="R233">
        <f>IF(ISNUMBER(SEARCH('1Př1'!$A$33,N233)),MAX($M$2:M232)+1,0)</f>
        <v>231</v>
      </c>
      <c r="S233" s="336" t="s">
        <v>1840</v>
      </c>
      <c r="T233" t="str">
        <f>IFERROR(VLOOKUP(ROWS($T$3:T233),$R$3:$S$992,2,0),"")</f>
        <v>Výroba her a hraček</v>
      </c>
      <c r="U233">
        <f>IF(ISNUMBER(SEARCH('1Př1'!$A$34,N233)),MAX($M$2:M232)+1,0)</f>
        <v>231</v>
      </c>
      <c r="V233" s="336" t="s">
        <v>1840</v>
      </c>
      <c r="W233" t="str">
        <f>IFERROR(VLOOKUP(ROWS($W$3:W233),$U$3:$V$992,2,0),"")</f>
        <v>Výroba her a hraček</v>
      </c>
      <c r="X233">
        <f>IF(ISNUMBER(SEARCH('1Př1'!$A$35,N233)),MAX($M$2:M232)+1,0)</f>
        <v>231</v>
      </c>
      <c r="Y233" s="336" t="s">
        <v>1840</v>
      </c>
      <c r="Z233" t="str">
        <f>IFERROR(VLOOKUP(ROWS($Z$3:Z233),$X$3:$Y$992,2,0),"")</f>
        <v>Výroba her a hraček</v>
      </c>
    </row>
    <row r="234" spans="10:26" ht="12.75">
      <c r="J234" s="347" t="s">
        <v>1842</v>
      </c>
      <c r="K234" s="334" t="s">
        <v>1843</v>
      </c>
      <c r="M234" s="335">
        <f>IF(ISNUMBER(SEARCH(ZAKL_DATA!$B$29,N234)),MAX($M$2:M233)+1,0)</f>
        <v>232</v>
      </c>
      <c r="N234" s="336" t="s">
        <v>1844</v>
      </c>
      <c r="O234" s="353" t="s">
        <v>1845</v>
      </c>
      <c r="P234" s="338"/>
      <c r="Q234" s="339" t="str">
        <f>IFERROR(VLOOKUP(ROWS($Q$3:Q234),$M$3:$N$992,2,0),"")</f>
        <v>Výroba lékařských a dentálních nástrojů a potřeb</v>
      </c>
      <c r="R234">
        <f>IF(ISNUMBER(SEARCH('1Př1'!$A$33,N234)),MAX($M$2:M233)+1,0)</f>
        <v>232</v>
      </c>
      <c r="S234" s="336" t="s">
        <v>1844</v>
      </c>
      <c r="T234" t="str">
        <f>IFERROR(VLOOKUP(ROWS($T$3:T234),$R$3:$S$992,2,0),"")</f>
        <v>Výroba lékařských a dentálních nástrojů a potřeb</v>
      </c>
      <c r="U234">
        <f>IF(ISNUMBER(SEARCH('1Př1'!$A$34,N234)),MAX($M$2:M233)+1,0)</f>
        <v>232</v>
      </c>
      <c r="V234" s="336" t="s">
        <v>1844</v>
      </c>
      <c r="W234" t="str">
        <f>IFERROR(VLOOKUP(ROWS($W$3:W234),$U$3:$V$992,2,0),"")</f>
        <v>Výroba lékařských a dentálních nástrojů a potřeb</v>
      </c>
      <c r="X234">
        <f>IF(ISNUMBER(SEARCH('1Př1'!$A$35,N234)),MAX($M$2:M233)+1,0)</f>
        <v>232</v>
      </c>
      <c r="Y234" s="336" t="s">
        <v>1844</v>
      </c>
      <c r="Z234" t="str">
        <f>IFERROR(VLOOKUP(ROWS($Z$3:Z234),$X$3:$Y$992,2,0),"")</f>
        <v>Výroba lékařských a dentálních nástrojů a potřeb</v>
      </c>
    </row>
    <row r="235" spans="10:26" ht="12.75">
      <c r="J235" s="347" t="s">
        <v>1846</v>
      </c>
      <c r="K235" s="334" t="s">
        <v>1847</v>
      </c>
      <c r="M235" s="335">
        <f>IF(ISNUMBER(SEARCH(ZAKL_DATA!$B$29,N235)),MAX($M$2:M234)+1,0)</f>
        <v>233</v>
      </c>
      <c r="N235" s="336" t="s">
        <v>1848</v>
      </c>
      <c r="O235" s="353" t="s">
        <v>1849</v>
      </c>
      <c r="P235" s="338"/>
      <c r="Q235" s="339" t="str">
        <f>IFERROR(VLOOKUP(ROWS($Q$3:Q235),$M$3:$N$992,2,0),"")</f>
        <v>Zpracovatelský průmysl j. n.</v>
      </c>
      <c r="R235">
        <f>IF(ISNUMBER(SEARCH('1Př1'!$A$33,N235)),MAX($M$2:M234)+1,0)</f>
        <v>233</v>
      </c>
      <c r="S235" s="336" t="s">
        <v>1848</v>
      </c>
      <c r="T235" t="str">
        <f>IFERROR(VLOOKUP(ROWS($T$3:T235),$R$3:$S$992,2,0),"")</f>
        <v>Zpracovatelský průmysl j. n.</v>
      </c>
      <c r="U235">
        <f>IF(ISNUMBER(SEARCH('1Př1'!$A$34,N235)),MAX($M$2:M234)+1,0)</f>
        <v>233</v>
      </c>
      <c r="V235" s="336" t="s">
        <v>1848</v>
      </c>
      <c r="W235" t="str">
        <f>IFERROR(VLOOKUP(ROWS($W$3:W235),$U$3:$V$992,2,0),"")</f>
        <v>Zpracovatelský průmysl j. n.</v>
      </c>
      <c r="X235">
        <f>IF(ISNUMBER(SEARCH('1Př1'!$A$35,N235)),MAX($M$2:M234)+1,0)</f>
        <v>233</v>
      </c>
      <c r="Y235" s="336" t="s">
        <v>1848</v>
      </c>
      <c r="Z235" t="str">
        <f>IFERROR(VLOOKUP(ROWS($Z$3:Z235),$X$3:$Y$992,2,0),"")</f>
        <v>Zpracovatelský průmysl j. n.</v>
      </c>
    </row>
    <row r="236" spans="10:26" ht="12.75">
      <c r="J236" s="347" t="s">
        <v>1850</v>
      </c>
      <c r="K236" s="334" t="s">
        <v>1851</v>
      </c>
      <c r="M236" s="335">
        <f>IF(ISNUMBER(SEARCH(ZAKL_DATA!$B$29,N236)),MAX($M$2:M235)+1,0)</f>
        <v>234</v>
      </c>
      <c r="N236" s="336" t="s">
        <v>1852</v>
      </c>
      <c r="O236" s="353" t="s">
        <v>1853</v>
      </c>
      <c r="P236" s="338"/>
      <c r="Q236" s="339" t="str">
        <f>IFERROR(VLOOKUP(ROWS($Q$3:Q236),$M$3:$N$992,2,0),"")</f>
        <v>Opravy kovodělných výrobků, strojů a zařízení</v>
      </c>
      <c r="R236">
        <f>IF(ISNUMBER(SEARCH('1Př1'!$A$33,N236)),MAX($M$2:M235)+1,0)</f>
        <v>234</v>
      </c>
      <c r="S236" s="336" t="s">
        <v>1852</v>
      </c>
      <c r="T236" t="str">
        <f>IFERROR(VLOOKUP(ROWS($T$3:T236),$R$3:$S$992,2,0),"")</f>
        <v>Opravy kovodělných výrobků, strojů a zařízení</v>
      </c>
      <c r="U236">
        <f>IF(ISNUMBER(SEARCH('1Př1'!$A$34,N236)),MAX($M$2:M235)+1,0)</f>
        <v>234</v>
      </c>
      <c r="V236" s="336" t="s">
        <v>1852</v>
      </c>
      <c r="W236" t="str">
        <f>IFERROR(VLOOKUP(ROWS($W$3:W236),$U$3:$V$992,2,0),"")</f>
        <v>Opravy kovodělných výrobků, strojů a zařízení</v>
      </c>
      <c r="X236">
        <f>IF(ISNUMBER(SEARCH('1Př1'!$A$35,N236)),MAX($M$2:M235)+1,0)</f>
        <v>234</v>
      </c>
      <c r="Y236" s="336" t="s">
        <v>1852</v>
      </c>
      <c r="Z236" t="str">
        <f>IFERROR(VLOOKUP(ROWS($Z$3:Z236),$X$3:$Y$992,2,0),"")</f>
        <v>Opravy kovodělných výrobků, strojů a zařízení</v>
      </c>
    </row>
    <row r="237" spans="10:26" ht="12.75">
      <c r="J237" s="346" t="s">
        <v>1854</v>
      </c>
      <c r="K237" s="334" t="s">
        <v>1855</v>
      </c>
      <c r="M237" s="335">
        <f>IF(ISNUMBER(SEARCH(ZAKL_DATA!$B$29,N237)),MAX($M$2:M236)+1,0)</f>
        <v>235</v>
      </c>
      <c r="N237" s="336" t="s">
        <v>1856</v>
      </c>
      <c r="O237" s="353" t="s">
        <v>1857</v>
      </c>
      <c r="P237" s="338"/>
      <c r="Q237" s="339" t="str">
        <f>IFERROR(VLOOKUP(ROWS($Q$3:Q237),$M$3:$N$992,2,0),"")</f>
        <v>Instalace průmyslových strojů a zařízení</v>
      </c>
      <c r="R237">
        <f>IF(ISNUMBER(SEARCH('1Př1'!$A$33,N237)),MAX($M$2:M236)+1,0)</f>
        <v>235</v>
      </c>
      <c r="S237" s="336" t="s">
        <v>1856</v>
      </c>
      <c r="T237" t="str">
        <f>IFERROR(VLOOKUP(ROWS($T$3:T237),$R$3:$S$992,2,0),"")</f>
        <v>Instalace průmyslových strojů a zařízení</v>
      </c>
      <c r="U237">
        <f>IF(ISNUMBER(SEARCH('1Př1'!$A$34,N237)),MAX($M$2:M236)+1,0)</f>
        <v>235</v>
      </c>
      <c r="V237" s="336" t="s">
        <v>1856</v>
      </c>
      <c r="W237" t="str">
        <f>IFERROR(VLOOKUP(ROWS($W$3:W237),$U$3:$V$992,2,0),"")</f>
        <v>Instalace průmyslových strojů a zařízení</v>
      </c>
      <c r="X237">
        <f>IF(ISNUMBER(SEARCH('1Př1'!$A$35,N237)),MAX($M$2:M236)+1,0)</f>
        <v>235</v>
      </c>
      <c r="Y237" s="336" t="s">
        <v>1856</v>
      </c>
      <c r="Z237" t="str">
        <f>IFERROR(VLOOKUP(ROWS($Z$3:Z237),$X$3:$Y$992,2,0),"")</f>
        <v>Instalace průmyslových strojů a zařízení</v>
      </c>
    </row>
    <row r="238" spans="10:26" ht="12.75">
      <c r="J238" s="347" t="s">
        <v>1858</v>
      </c>
      <c r="K238" s="334" t="s">
        <v>1859</v>
      </c>
      <c r="M238" s="335">
        <f>IF(ISNUMBER(SEARCH(ZAKL_DATA!$B$29,N238)),MAX($M$2:M237)+1,0)</f>
        <v>236</v>
      </c>
      <c r="N238" s="336" t="s">
        <v>1860</v>
      </c>
      <c r="O238" s="353" t="s">
        <v>1861</v>
      </c>
      <c r="P238" s="338"/>
      <c r="Q238" s="339" t="str">
        <f>IFERROR(VLOOKUP(ROWS($Q$3:Q238),$M$3:$N$992,2,0),"")</f>
        <v>Výroba, přenos a rozvod elektřiny</v>
      </c>
      <c r="R238">
        <f>IF(ISNUMBER(SEARCH('1Př1'!$A$33,N238)),MAX($M$2:M237)+1,0)</f>
        <v>236</v>
      </c>
      <c r="S238" s="336" t="s">
        <v>1860</v>
      </c>
      <c r="T238" t="str">
        <f>IFERROR(VLOOKUP(ROWS($T$3:T238),$R$3:$S$992,2,0),"")</f>
        <v>Výroba, přenos a rozvod elektřiny</v>
      </c>
      <c r="U238">
        <f>IF(ISNUMBER(SEARCH('1Př1'!$A$34,N238)),MAX($M$2:M237)+1,0)</f>
        <v>236</v>
      </c>
      <c r="V238" s="336" t="s">
        <v>1860</v>
      </c>
      <c r="W238" t="str">
        <f>IFERROR(VLOOKUP(ROWS($W$3:W238),$U$3:$V$992,2,0),"")</f>
        <v>Výroba, přenos a rozvod elektřiny</v>
      </c>
      <c r="X238">
        <f>IF(ISNUMBER(SEARCH('1Př1'!$A$35,N238)),MAX($M$2:M237)+1,0)</f>
        <v>236</v>
      </c>
      <c r="Y238" s="336" t="s">
        <v>1860</v>
      </c>
      <c r="Z238" t="str">
        <f>IFERROR(VLOOKUP(ROWS($Z$3:Z238),$X$3:$Y$992,2,0),"")</f>
        <v>Výroba, přenos a rozvod elektřiny</v>
      </c>
    </row>
    <row r="239" spans="10:26" ht="12.75">
      <c r="J239" s="347" t="s">
        <v>1862</v>
      </c>
      <c r="K239" s="334" t="s">
        <v>1863</v>
      </c>
      <c r="M239" s="335">
        <f>IF(ISNUMBER(SEARCH(ZAKL_DATA!$B$29,N239)),MAX($M$2:M238)+1,0)</f>
        <v>237</v>
      </c>
      <c r="N239" s="336" t="s">
        <v>1864</v>
      </c>
      <c r="O239" s="353" t="s">
        <v>1865</v>
      </c>
      <c r="P239" s="338"/>
      <c r="Q239" s="339" t="str">
        <f>IFERROR(VLOOKUP(ROWS($Q$3:Q239),$M$3:$N$992,2,0),"")</f>
        <v>Výroba plynu; rozvod plynných paliv prostřednictvím sítí</v>
      </c>
      <c r="R239">
        <f>IF(ISNUMBER(SEARCH('1Př1'!$A$33,N239)),MAX($M$2:M238)+1,0)</f>
        <v>237</v>
      </c>
      <c r="S239" s="336" t="s">
        <v>1864</v>
      </c>
      <c r="T239" t="str">
        <f>IFERROR(VLOOKUP(ROWS($T$3:T239),$R$3:$S$992,2,0),"")</f>
        <v>Výroba plynu; rozvod plynných paliv prostřednictvím sítí</v>
      </c>
      <c r="U239">
        <f>IF(ISNUMBER(SEARCH('1Př1'!$A$34,N239)),MAX($M$2:M238)+1,0)</f>
        <v>237</v>
      </c>
      <c r="V239" s="336" t="s">
        <v>1864</v>
      </c>
      <c r="W239" t="str">
        <f>IFERROR(VLOOKUP(ROWS($W$3:W239),$U$3:$V$992,2,0),"")</f>
        <v>Výroba plynu; rozvod plynných paliv prostřednictvím sítí</v>
      </c>
      <c r="X239">
        <f>IF(ISNUMBER(SEARCH('1Př1'!$A$35,N239)),MAX($M$2:M238)+1,0)</f>
        <v>237</v>
      </c>
      <c r="Y239" s="336" t="s">
        <v>1864</v>
      </c>
      <c r="Z239" t="str">
        <f>IFERROR(VLOOKUP(ROWS($Z$3:Z239),$X$3:$Y$992,2,0),"")</f>
        <v>Výroba plynu; rozvod plynných paliv prostřednictvím sítí</v>
      </c>
    </row>
    <row r="240" spans="10:26" ht="12.75">
      <c r="J240" s="347" t="s">
        <v>1866</v>
      </c>
      <c r="K240" s="334" t="s">
        <v>1867</v>
      </c>
      <c r="M240" s="335">
        <f>IF(ISNUMBER(SEARCH(ZAKL_DATA!$B$29,N240)),MAX($M$2:M239)+1,0)</f>
        <v>238</v>
      </c>
      <c r="N240" s="336" t="s">
        <v>1868</v>
      </c>
      <c r="O240" s="353" t="s">
        <v>1869</v>
      </c>
      <c r="P240" s="338"/>
      <c r="Q240" s="339" t="str">
        <f>IFERROR(VLOOKUP(ROWS($Q$3:Q240),$M$3:$N$992,2,0),"")</f>
        <v>Výroba a rozvod tepla a klimatizovaného vzduchu, výroba ledu</v>
      </c>
      <c r="R240">
        <f>IF(ISNUMBER(SEARCH('1Př1'!$A$33,N240)),MAX($M$2:M239)+1,0)</f>
        <v>238</v>
      </c>
      <c r="S240" s="336" t="s">
        <v>1868</v>
      </c>
      <c r="T240" t="str">
        <f>IFERROR(VLOOKUP(ROWS($T$3:T240),$R$3:$S$992,2,0),"")</f>
        <v>Výroba a rozvod tepla a klimatizovaného vzduchu, výroba ledu</v>
      </c>
      <c r="U240">
        <f>IF(ISNUMBER(SEARCH('1Př1'!$A$34,N240)),MAX($M$2:M239)+1,0)</f>
        <v>238</v>
      </c>
      <c r="V240" s="336" t="s">
        <v>1868</v>
      </c>
      <c r="W240" t="str">
        <f>IFERROR(VLOOKUP(ROWS($W$3:W240),$U$3:$V$992,2,0),"")</f>
        <v>Výroba a rozvod tepla a klimatizovaného vzduchu, výroba ledu</v>
      </c>
      <c r="X240">
        <f>IF(ISNUMBER(SEARCH('1Př1'!$A$35,N240)),MAX($M$2:M239)+1,0)</f>
        <v>238</v>
      </c>
      <c r="Y240" s="336" t="s">
        <v>1868</v>
      </c>
      <c r="Z240" t="str">
        <f>IFERROR(VLOOKUP(ROWS($Z$3:Z240),$X$3:$Y$992,2,0),"")</f>
        <v>Výroba a rozvod tepla a klimatizovaného vzduchu, výroba ledu</v>
      </c>
    </row>
    <row r="241" spans="10:26" ht="12.75">
      <c r="J241" s="347" t="s">
        <v>1870</v>
      </c>
      <c r="K241" s="334" t="s">
        <v>1871</v>
      </c>
      <c r="M241" s="335">
        <f>IF(ISNUMBER(SEARCH(ZAKL_DATA!$B$29,N241)),MAX($M$2:M240)+1,0)</f>
        <v>239</v>
      </c>
      <c r="N241" s="336" t="s">
        <v>1872</v>
      </c>
      <c r="O241" s="353" t="s">
        <v>1873</v>
      </c>
      <c r="P241" s="338"/>
      <c r="Q241" s="339" t="str">
        <f>IFERROR(VLOOKUP(ROWS($Q$3:Q241),$M$3:$N$992,2,0),"")</f>
        <v>Shromažďování a sběr odpadů</v>
      </c>
      <c r="R241">
        <f>IF(ISNUMBER(SEARCH('1Př1'!$A$33,N241)),MAX($M$2:M240)+1,0)</f>
        <v>239</v>
      </c>
      <c r="S241" s="336" t="s">
        <v>1872</v>
      </c>
      <c r="T241" t="str">
        <f>IFERROR(VLOOKUP(ROWS($T$3:T241),$R$3:$S$992,2,0),"")</f>
        <v>Shromažďování a sběr odpadů</v>
      </c>
      <c r="U241">
        <f>IF(ISNUMBER(SEARCH('1Př1'!$A$34,N241)),MAX($M$2:M240)+1,0)</f>
        <v>239</v>
      </c>
      <c r="V241" s="336" t="s">
        <v>1872</v>
      </c>
      <c r="W241" t="str">
        <f>IFERROR(VLOOKUP(ROWS($W$3:W241),$U$3:$V$992,2,0),"")</f>
        <v>Shromažďování a sběr odpadů</v>
      </c>
      <c r="X241">
        <f>IF(ISNUMBER(SEARCH('1Př1'!$A$35,N241)),MAX($M$2:M240)+1,0)</f>
        <v>239</v>
      </c>
      <c r="Y241" s="336" t="s">
        <v>1872</v>
      </c>
      <c r="Z241" t="str">
        <f>IFERROR(VLOOKUP(ROWS($Z$3:Z241),$X$3:$Y$992,2,0),"")</f>
        <v>Shromažďování a sběr odpadů</v>
      </c>
    </row>
    <row r="242" spans="10:26" ht="12.75">
      <c r="J242" s="347" t="s">
        <v>1874</v>
      </c>
      <c r="K242" s="334" t="s">
        <v>1875</v>
      </c>
      <c r="M242" s="335">
        <f>IF(ISNUMBER(SEARCH(ZAKL_DATA!$B$29,N242)),MAX($M$2:M241)+1,0)</f>
        <v>240</v>
      </c>
      <c r="N242" s="336" t="s">
        <v>1876</v>
      </c>
      <c r="O242" s="353" t="s">
        <v>1877</v>
      </c>
      <c r="P242" s="338"/>
      <c r="Q242" s="339" t="str">
        <f>IFERROR(VLOOKUP(ROWS($Q$3:Q242),$M$3:$N$992,2,0),"")</f>
        <v>Odstraňování odpadů</v>
      </c>
      <c r="R242">
        <f>IF(ISNUMBER(SEARCH('1Př1'!$A$33,N242)),MAX($M$2:M241)+1,0)</f>
        <v>240</v>
      </c>
      <c r="S242" s="336" t="s">
        <v>1876</v>
      </c>
      <c r="T242" t="str">
        <f>IFERROR(VLOOKUP(ROWS($T$3:T242),$R$3:$S$992,2,0),"")</f>
        <v>Odstraňování odpadů</v>
      </c>
      <c r="U242">
        <f>IF(ISNUMBER(SEARCH('1Př1'!$A$34,N242)),MAX($M$2:M241)+1,0)</f>
        <v>240</v>
      </c>
      <c r="V242" s="336" t="s">
        <v>1876</v>
      </c>
      <c r="W242" t="str">
        <f>IFERROR(VLOOKUP(ROWS($W$3:W242),$U$3:$V$992,2,0),"")</f>
        <v>Odstraňování odpadů</v>
      </c>
      <c r="X242">
        <f>IF(ISNUMBER(SEARCH('1Př1'!$A$35,N242)),MAX($M$2:M241)+1,0)</f>
        <v>240</v>
      </c>
      <c r="Y242" s="336" t="s">
        <v>1876</v>
      </c>
      <c r="Z242" t="str">
        <f>IFERROR(VLOOKUP(ROWS($Z$3:Z242),$X$3:$Y$992,2,0),"")</f>
        <v>Odstraňování odpadů</v>
      </c>
    </row>
    <row r="243" spans="10:26" ht="12.75">
      <c r="J243" s="347" t="s">
        <v>1878</v>
      </c>
      <c r="K243" s="334" t="s">
        <v>1879</v>
      </c>
      <c r="M243" s="335">
        <f>IF(ISNUMBER(SEARCH(ZAKL_DATA!$B$29,N243)),MAX($M$2:M242)+1,0)</f>
        <v>241</v>
      </c>
      <c r="N243" s="336" t="s">
        <v>1880</v>
      </c>
      <c r="O243" s="353" t="s">
        <v>1881</v>
      </c>
      <c r="P243" s="338"/>
      <c r="Q243" s="339" t="str">
        <f>IFERROR(VLOOKUP(ROWS($Q$3:Q243),$M$3:$N$992,2,0),"")</f>
        <v>Úprava odpadů k dalšímu využití</v>
      </c>
      <c r="R243">
        <f>IF(ISNUMBER(SEARCH('1Př1'!$A$33,N243)),MAX($M$2:M242)+1,0)</f>
        <v>241</v>
      </c>
      <c r="S243" s="336" t="s">
        <v>1880</v>
      </c>
      <c r="T243" t="str">
        <f>IFERROR(VLOOKUP(ROWS($T$3:T243),$R$3:$S$992,2,0),"")</f>
        <v>Úprava odpadů k dalšímu využití</v>
      </c>
      <c r="U243">
        <f>IF(ISNUMBER(SEARCH('1Př1'!$A$34,N243)),MAX($M$2:M242)+1,0)</f>
        <v>241</v>
      </c>
      <c r="V243" s="336" t="s">
        <v>1880</v>
      </c>
      <c r="W243" t="str">
        <f>IFERROR(VLOOKUP(ROWS($W$3:W243),$U$3:$V$992,2,0),"")</f>
        <v>Úprava odpadů k dalšímu využití</v>
      </c>
      <c r="X243">
        <f>IF(ISNUMBER(SEARCH('1Př1'!$A$35,N243)),MAX($M$2:M242)+1,0)</f>
        <v>241</v>
      </c>
      <c r="Y243" s="336" t="s">
        <v>1880</v>
      </c>
      <c r="Z243" t="str">
        <f>IFERROR(VLOOKUP(ROWS($Z$3:Z243),$X$3:$Y$992,2,0),"")</f>
        <v>Úprava odpadů k dalšímu využití</v>
      </c>
    </row>
    <row r="244" spans="10:26" ht="12.75">
      <c r="J244" s="347" t="s">
        <v>1882</v>
      </c>
      <c r="K244" s="334" t="s">
        <v>1883</v>
      </c>
      <c r="M244" s="335">
        <f>IF(ISNUMBER(SEARCH(ZAKL_DATA!$B$29,N244)),MAX($M$2:M243)+1,0)</f>
        <v>242</v>
      </c>
      <c r="N244" s="336" t="s">
        <v>1884</v>
      </c>
      <c r="O244" s="353" t="s">
        <v>1885</v>
      </c>
      <c r="P244" s="338"/>
      <c r="Q244" s="339" t="str">
        <f>IFERROR(VLOOKUP(ROWS($Q$3:Q244),$M$3:$N$992,2,0),"")</f>
        <v>Developerská činnost</v>
      </c>
      <c r="R244">
        <f>IF(ISNUMBER(SEARCH('1Př1'!$A$33,N244)),MAX($M$2:M243)+1,0)</f>
        <v>242</v>
      </c>
      <c r="S244" s="336" t="s">
        <v>1884</v>
      </c>
      <c r="T244" t="str">
        <f>IFERROR(VLOOKUP(ROWS($T$3:T244),$R$3:$S$992,2,0),"")</f>
        <v>Developerská činnost</v>
      </c>
      <c r="U244">
        <f>IF(ISNUMBER(SEARCH('1Př1'!$A$34,N244)),MAX($M$2:M243)+1,0)</f>
        <v>242</v>
      </c>
      <c r="V244" s="336" t="s">
        <v>1884</v>
      </c>
      <c r="W244" t="str">
        <f>IFERROR(VLOOKUP(ROWS($W$3:W244),$U$3:$V$992,2,0),"")</f>
        <v>Developerská činnost</v>
      </c>
      <c r="X244">
        <f>IF(ISNUMBER(SEARCH('1Př1'!$A$35,N244)),MAX($M$2:M243)+1,0)</f>
        <v>242</v>
      </c>
      <c r="Y244" s="336" t="s">
        <v>1884</v>
      </c>
      <c r="Z244" t="str">
        <f>IFERROR(VLOOKUP(ROWS($Z$3:Z244),$X$3:$Y$992,2,0),"")</f>
        <v>Developerská činnost</v>
      </c>
    </row>
    <row r="245" spans="10:26" ht="12.75">
      <c r="J245" s="347" t="s">
        <v>1886</v>
      </c>
      <c r="K245" s="334" t="s">
        <v>1887</v>
      </c>
      <c r="M245" s="335">
        <f>IF(ISNUMBER(SEARCH(ZAKL_DATA!$B$29,N245)),MAX($M$2:M244)+1,0)</f>
        <v>243</v>
      </c>
      <c r="N245" s="336" t="s">
        <v>1888</v>
      </c>
      <c r="O245" s="353" t="s">
        <v>1889</v>
      </c>
      <c r="P245" s="338"/>
      <c r="Q245" s="339" t="str">
        <f>IFERROR(VLOOKUP(ROWS($Q$3:Q245),$M$3:$N$992,2,0),"")</f>
        <v>Výstavba bytových a nebytových budov</v>
      </c>
      <c r="R245">
        <f>IF(ISNUMBER(SEARCH('1Př1'!$A$33,N245)),MAX($M$2:M244)+1,0)</f>
        <v>243</v>
      </c>
      <c r="S245" s="336" t="s">
        <v>1888</v>
      </c>
      <c r="T245" t="str">
        <f>IFERROR(VLOOKUP(ROWS($T$3:T245),$R$3:$S$992,2,0),"")</f>
        <v>Výstavba bytových a nebytových budov</v>
      </c>
      <c r="U245">
        <f>IF(ISNUMBER(SEARCH('1Př1'!$A$34,N245)),MAX($M$2:M244)+1,0)</f>
        <v>243</v>
      </c>
      <c r="V245" s="336" t="s">
        <v>1888</v>
      </c>
      <c r="W245" t="str">
        <f>IFERROR(VLOOKUP(ROWS($W$3:W245),$U$3:$V$992,2,0),"")</f>
        <v>Výstavba bytových a nebytových budov</v>
      </c>
      <c r="X245">
        <f>IF(ISNUMBER(SEARCH('1Př1'!$A$35,N245)),MAX($M$2:M244)+1,0)</f>
        <v>243</v>
      </c>
      <c r="Y245" s="336" t="s">
        <v>1888</v>
      </c>
      <c r="Z245" t="str">
        <f>IFERROR(VLOOKUP(ROWS($Z$3:Z245),$X$3:$Y$992,2,0),"")</f>
        <v>Výstavba bytových a nebytových budov</v>
      </c>
    </row>
    <row r="246" spans="10:26" ht="12.75">
      <c r="J246" s="347" t="s">
        <v>1890</v>
      </c>
      <c r="K246" s="334" t="s">
        <v>1891</v>
      </c>
      <c r="M246" s="335">
        <f>IF(ISNUMBER(SEARCH(ZAKL_DATA!$B$29,N246)),MAX($M$2:M245)+1,0)</f>
        <v>244</v>
      </c>
      <c r="N246" s="336" t="s">
        <v>1892</v>
      </c>
      <c r="O246" s="353" t="s">
        <v>1893</v>
      </c>
      <c r="P246" s="338"/>
      <c r="Q246" s="339" t="str">
        <f>IFERROR(VLOOKUP(ROWS($Q$3:Q246),$M$3:$N$992,2,0),"")</f>
        <v>Výstavba silnic a železnic</v>
      </c>
      <c r="R246">
        <f>IF(ISNUMBER(SEARCH('1Př1'!$A$33,N246)),MAX($M$2:M245)+1,0)</f>
        <v>244</v>
      </c>
      <c r="S246" s="336" t="s">
        <v>1892</v>
      </c>
      <c r="T246" t="str">
        <f>IFERROR(VLOOKUP(ROWS($T$3:T246),$R$3:$S$992,2,0),"")</f>
        <v>Výstavba silnic a železnic</v>
      </c>
      <c r="U246">
        <f>IF(ISNUMBER(SEARCH('1Př1'!$A$34,N246)),MAX($M$2:M245)+1,0)</f>
        <v>244</v>
      </c>
      <c r="V246" s="336" t="s">
        <v>1892</v>
      </c>
      <c r="W246" t="str">
        <f>IFERROR(VLOOKUP(ROWS($W$3:W246),$U$3:$V$992,2,0),"")</f>
        <v>Výstavba silnic a železnic</v>
      </c>
      <c r="X246">
        <f>IF(ISNUMBER(SEARCH('1Př1'!$A$35,N246)),MAX($M$2:M245)+1,0)</f>
        <v>244</v>
      </c>
      <c r="Y246" s="336" t="s">
        <v>1892</v>
      </c>
      <c r="Z246" t="str">
        <f>IFERROR(VLOOKUP(ROWS($Z$3:Z246),$X$3:$Y$992,2,0),"")</f>
        <v>Výstavba silnic a železnic</v>
      </c>
    </row>
    <row r="247" spans="10:26" ht="12.75">
      <c r="J247" s="347" t="s">
        <v>1894</v>
      </c>
      <c r="K247" s="334" t="s">
        <v>1895</v>
      </c>
      <c r="M247" s="335">
        <f>IF(ISNUMBER(SEARCH(ZAKL_DATA!$B$29,N247)),MAX($M$2:M246)+1,0)</f>
        <v>245</v>
      </c>
      <c r="N247" s="336" t="s">
        <v>1896</v>
      </c>
      <c r="O247" s="353" t="s">
        <v>1897</v>
      </c>
      <c r="P247" s="338"/>
      <c r="Q247" s="339" t="str">
        <f>IFERROR(VLOOKUP(ROWS($Q$3:Q247),$M$3:$N$992,2,0),"")</f>
        <v>Výstavba inženýrských sítí</v>
      </c>
      <c r="R247">
        <f>IF(ISNUMBER(SEARCH('1Př1'!$A$33,N247)),MAX($M$2:M246)+1,0)</f>
        <v>245</v>
      </c>
      <c r="S247" s="336" t="s">
        <v>1896</v>
      </c>
      <c r="T247" t="str">
        <f>IFERROR(VLOOKUP(ROWS($T$3:T247),$R$3:$S$992,2,0),"")</f>
        <v>Výstavba inženýrských sítí</v>
      </c>
      <c r="U247">
        <f>IF(ISNUMBER(SEARCH('1Př1'!$A$34,N247)),MAX($M$2:M246)+1,0)</f>
        <v>245</v>
      </c>
      <c r="V247" s="336" t="s">
        <v>1896</v>
      </c>
      <c r="W247" t="str">
        <f>IFERROR(VLOOKUP(ROWS($W$3:W247),$U$3:$V$992,2,0),"")</f>
        <v>Výstavba inženýrských sítí</v>
      </c>
      <c r="X247">
        <f>IF(ISNUMBER(SEARCH('1Př1'!$A$35,N247)),MAX($M$2:M246)+1,0)</f>
        <v>245</v>
      </c>
      <c r="Y247" s="336" t="s">
        <v>1896</v>
      </c>
      <c r="Z247" t="str">
        <f>IFERROR(VLOOKUP(ROWS($Z$3:Z247),$X$3:$Y$992,2,0),"")</f>
        <v>Výstavba inženýrských sítí</v>
      </c>
    </row>
    <row r="248" spans="10:26" ht="12.75">
      <c r="J248" s="347" t="s">
        <v>1898</v>
      </c>
      <c r="K248" s="334" t="s">
        <v>1899</v>
      </c>
      <c r="M248" s="335">
        <f>IF(ISNUMBER(SEARCH(ZAKL_DATA!$B$29,N248)),MAX($M$2:M247)+1,0)</f>
        <v>246</v>
      </c>
      <c r="N248" s="336" t="s">
        <v>1900</v>
      </c>
      <c r="O248" s="353" t="s">
        <v>1901</v>
      </c>
      <c r="P248" s="338"/>
      <c r="Q248" s="339" t="str">
        <f>IFERROR(VLOOKUP(ROWS($Q$3:Q248),$M$3:$N$992,2,0),"")</f>
        <v>Výstavba ostatních staveb</v>
      </c>
      <c r="R248">
        <f>IF(ISNUMBER(SEARCH('1Př1'!$A$33,N248)),MAX($M$2:M247)+1,0)</f>
        <v>246</v>
      </c>
      <c r="S248" s="336" t="s">
        <v>1900</v>
      </c>
      <c r="T248" t="str">
        <f>IFERROR(VLOOKUP(ROWS($T$3:T248),$R$3:$S$992,2,0),"")</f>
        <v>Výstavba ostatních staveb</v>
      </c>
      <c r="U248">
        <f>IF(ISNUMBER(SEARCH('1Př1'!$A$34,N248)),MAX($M$2:M247)+1,0)</f>
        <v>246</v>
      </c>
      <c r="V248" s="336" t="s">
        <v>1900</v>
      </c>
      <c r="W248" t="str">
        <f>IFERROR(VLOOKUP(ROWS($W$3:W248),$U$3:$V$992,2,0),"")</f>
        <v>Výstavba ostatních staveb</v>
      </c>
      <c r="X248">
        <f>IF(ISNUMBER(SEARCH('1Př1'!$A$35,N248)),MAX($M$2:M247)+1,0)</f>
        <v>246</v>
      </c>
      <c r="Y248" s="336" t="s">
        <v>1900</v>
      </c>
      <c r="Z248" t="str">
        <f>IFERROR(VLOOKUP(ROWS($Z$3:Z248),$X$3:$Y$992,2,0),"")</f>
        <v>Výstavba ostatních staveb</v>
      </c>
    </row>
    <row r="249" spans="10:26" ht="12.75">
      <c r="J249" s="347" t="s">
        <v>1902</v>
      </c>
      <c r="K249" s="334" t="s">
        <v>1903</v>
      </c>
      <c r="M249" s="335">
        <f>IF(ISNUMBER(SEARCH(ZAKL_DATA!$B$29,N249)),MAX($M$2:M248)+1,0)</f>
        <v>247</v>
      </c>
      <c r="N249" s="336" t="s">
        <v>1904</v>
      </c>
      <c r="O249" s="353" t="s">
        <v>1905</v>
      </c>
      <c r="P249" s="338"/>
      <c r="Q249" s="339" t="str">
        <f>IFERROR(VLOOKUP(ROWS($Q$3:Q249),$M$3:$N$992,2,0),"")</f>
        <v>Demolice a příprava staveniště</v>
      </c>
      <c r="R249">
        <f>IF(ISNUMBER(SEARCH('1Př1'!$A$33,N249)),MAX($M$2:M248)+1,0)</f>
        <v>247</v>
      </c>
      <c r="S249" s="336" t="s">
        <v>1904</v>
      </c>
      <c r="T249" t="str">
        <f>IFERROR(VLOOKUP(ROWS($T$3:T249),$R$3:$S$992,2,0),"")</f>
        <v>Demolice a příprava staveniště</v>
      </c>
      <c r="U249">
        <f>IF(ISNUMBER(SEARCH('1Př1'!$A$34,N249)),MAX($M$2:M248)+1,0)</f>
        <v>247</v>
      </c>
      <c r="V249" s="336" t="s">
        <v>1904</v>
      </c>
      <c r="W249" t="str">
        <f>IFERROR(VLOOKUP(ROWS($W$3:W249),$U$3:$V$992,2,0),"")</f>
        <v>Demolice a příprava staveniště</v>
      </c>
      <c r="X249">
        <f>IF(ISNUMBER(SEARCH('1Př1'!$A$35,N249)),MAX($M$2:M248)+1,0)</f>
        <v>247</v>
      </c>
      <c r="Y249" s="336" t="s">
        <v>1904</v>
      </c>
      <c r="Z249" t="str">
        <f>IFERROR(VLOOKUP(ROWS($Z$3:Z249),$X$3:$Y$992,2,0),"")</f>
        <v>Demolice a příprava staveniště</v>
      </c>
    </row>
    <row r="250" spans="10:26" ht="12.75">
      <c r="J250" s="347" t="s">
        <v>1906</v>
      </c>
      <c r="K250" s="334" t="s">
        <v>1907</v>
      </c>
      <c r="M250" s="335">
        <f>IF(ISNUMBER(SEARCH(ZAKL_DATA!$B$29,N250)),MAX($M$2:M249)+1,0)</f>
        <v>248</v>
      </c>
      <c r="N250" s="336" t="s">
        <v>1908</v>
      </c>
      <c r="O250" s="353" t="s">
        <v>1909</v>
      </c>
      <c r="P250" s="338"/>
      <c r="Q250" s="339" t="str">
        <f>IFERROR(VLOOKUP(ROWS($Q$3:Q250),$M$3:$N$992,2,0),"")</f>
        <v>Elektroinstalační, instalatérské a ostatní stavebně instalační práce</v>
      </c>
      <c r="R250">
        <f>IF(ISNUMBER(SEARCH('1Př1'!$A$33,N250)),MAX($M$2:M249)+1,0)</f>
        <v>248</v>
      </c>
      <c r="S250" s="336" t="s">
        <v>1908</v>
      </c>
      <c r="T250" t="str">
        <f>IFERROR(VLOOKUP(ROWS($T$3:T250),$R$3:$S$992,2,0),"")</f>
        <v>Elektroinstalační, instalatérské a ostatní stavebně instalační práce</v>
      </c>
      <c r="U250">
        <f>IF(ISNUMBER(SEARCH('1Př1'!$A$34,N250)),MAX($M$2:M249)+1,0)</f>
        <v>248</v>
      </c>
      <c r="V250" s="336" t="s">
        <v>1908</v>
      </c>
      <c r="W250" t="str">
        <f>IFERROR(VLOOKUP(ROWS($W$3:W250),$U$3:$V$992,2,0),"")</f>
        <v>Elektroinstalační, instalatérské a ostatní stavebně instalační práce</v>
      </c>
      <c r="X250">
        <f>IF(ISNUMBER(SEARCH('1Př1'!$A$35,N250)),MAX($M$2:M249)+1,0)</f>
        <v>248</v>
      </c>
      <c r="Y250" s="336" t="s">
        <v>1908</v>
      </c>
      <c r="Z250" t="str">
        <f>IFERROR(VLOOKUP(ROWS($Z$3:Z250),$X$3:$Y$992,2,0),"")</f>
        <v>Elektroinstalační, instalatérské a ostatní stavebně instalační práce</v>
      </c>
    </row>
    <row r="251" spans="10:26" ht="12.75">
      <c r="J251" s="347" t="s">
        <v>1910</v>
      </c>
      <c r="K251" s="334" t="s">
        <v>1911</v>
      </c>
      <c r="M251" s="335">
        <f>IF(ISNUMBER(SEARCH(ZAKL_DATA!$B$29,N251)),MAX($M$2:M250)+1,0)</f>
        <v>249</v>
      </c>
      <c r="N251" s="336" t="s">
        <v>1912</v>
      </c>
      <c r="O251" s="353" t="s">
        <v>1913</v>
      </c>
      <c r="P251" s="338"/>
      <c r="Q251" s="339" t="str">
        <f>IFERROR(VLOOKUP(ROWS($Q$3:Q251),$M$3:$N$992,2,0),"")</f>
        <v>Kompletační a dokončovací práce</v>
      </c>
      <c r="R251">
        <f>IF(ISNUMBER(SEARCH('1Př1'!$A$33,N251)),MAX($M$2:M250)+1,0)</f>
        <v>249</v>
      </c>
      <c r="S251" s="336" t="s">
        <v>1912</v>
      </c>
      <c r="T251" t="str">
        <f>IFERROR(VLOOKUP(ROWS($T$3:T251),$R$3:$S$992,2,0),"")</f>
        <v>Kompletační a dokončovací práce</v>
      </c>
      <c r="U251">
        <f>IF(ISNUMBER(SEARCH('1Př1'!$A$34,N251)),MAX($M$2:M250)+1,0)</f>
        <v>249</v>
      </c>
      <c r="V251" s="336" t="s">
        <v>1912</v>
      </c>
      <c r="W251" t="str">
        <f>IFERROR(VLOOKUP(ROWS($W$3:W251),$U$3:$V$992,2,0),"")</f>
        <v>Kompletační a dokončovací práce</v>
      </c>
      <c r="X251">
        <f>IF(ISNUMBER(SEARCH('1Př1'!$A$35,N251)),MAX($M$2:M250)+1,0)</f>
        <v>249</v>
      </c>
      <c r="Y251" s="336" t="s">
        <v>1912</v>
      </c>
      <c r="Z251" t="str">
        <f>IFERROR(VLOOKUP(ROWS($Z$3:Z251),$X$3:$Y$992,2,0),"")</f>
        <v>Kompletační a dokončovací práce</v>
      </c>
    </row>
    <row r="252" spans="10:26" ht="12.75">
      <c r="J252" s="347" t="s">
        <v>1914</v>
      </c>
      <c r="K252" s="334" t="s">
        <v>1915</v>
      </c>
      <c r="M252" s="335">
        <f>IF(ISNUMBER(SEARCH(ZAKL_DATA!$B$29,N252)),MAX($M$2:M251)+1,0)</f>
        <v>250</v>
      </c>
      <c r="N252" s="336" t="s">
        <v>1916</v>
      </c>
      <c r="O252" s="353" t="s">
        <v>1917</v>
      </c>
      <c r="P252" s="338"/>
      <c r="Q252" s="339" t="str">
        <f>IFERROR(VLOOKUP(ROWS($Q$3:Q252),$M$3:$N$992,2,0),"")</f>
        <v>Ostatní specializované stavební činnosti</v>
      </c>
      <c r="R252">
        <f>IF(ISNUMBER(SEARCH('1Př1'!$A$33,N252)),MAX($M$2:M251)+1,0)</f>
        <v>250</v>
      </c>
      <c r="S252" s="336" t="s">
        <v>1916</v>
      </c>
      <c r="T252" t="str">
        <f>IFERROR(VLOOKUP(ROWS($T$3:T252),$R$3:$S$992,2,0),"")</f>
        <v>Ostatní specializované stavební činnosti</v>
      </c>
      <c r="U252">
        <f>IF(ISNUMBER(SEARCH('1Př1'!$A$34,N252)),MAX($M$2:M251)+1,0)</f>
        <v>250</v>
      </c>
      <c r="V252" s="336" t="s">
        <v>1916</v>
      </c>
      <c r="W252" t="str">
        <f>IFERROR(VLOOKUP(ROWS($W$3:W252),$U$3:$V$992,2,0),"")</f>
        <v>Ostatní specializované stavební činnosti</v>
      </c>
      <c r="X252">
        <f>IF(ISNUMBER(SEARCH('1Př1'!$A$35,N252)),MAX($M$2:M251)+1,0)</f>
        <v>250</v>
      </c>
      <c r="Y252" s="336" t="s">
        <v>1916</v>
      </c>
      <c r="Z252" t="str">
        <f>IFERROR(VLOOKUP(ROWS($Z$3:Z252),$X$3:$Y$992,2,0),"")</f>
        <v>Ostatní specializované stavební činnosti</v>
      </c>
    </row>
    <row r="253" spans="10:26" ht="13.5" thickBot="1">
      <c r="J253" s="360" t="s">
        <v>1918</v>
      </c>
      <c r="K253" s="334" t="s">
        <v>1919</v>
      </c>
      <c r="M253" s="335">
        <f>IF(ISNUMBER(SEARCH(ZAKL_DATA!$B$29,N253)),MAX($M$2:M252)+1,0)</f>
        <v>251</v>
      </c>
      <c r="N253" s="336" t="s">
        <v>1920</v>
      </c>
      <c r="O253" s="353" t="s">
        <v>1921</v>
      </c>
      <c r="P253" s="338"/>
      <c r="Q253" s="339" t="str">
        <f>IFERROR(VLOOKUP(ROWS($Q$3:Q253),$M$3:$N$992,2,0),"")</f>
        <v>Obchod s motorovými vozidly, kromě motocyklů</v>
      </c>
      <c r="R253">
        <f>IF(ISNUMBER(SEARCH('1Př1'!$A$33,N253)),MAX($M$2:M252)+1,0)</f>
        <v>251</v>
      </c>
      <c r="S253" s="336" t="s">
        <v>1920</v>
      </c>
      <c r="T253" t="str">
        <f>IFERROR(VLOOKUP(ROWS($T$3:T253),$R$3:$S$992,2,0),"")</f>
        <v>Obchod s motorovými vozidly, kromě motocyklů</v>
      </c>
      <c r="U253">
        <f>IF(ISNUMBER(SEARCH('1Př1'!$A$34,N253)),MAX($M$2:M252)+1,0)</f>
        <v>251</v>
      </c>
      <c r="V253" s="336" t="s">
        <v>1920</v>
      </c>
      <c r="W253" t="str">
        <f>IFERROR(VLOOKUP(ROWS($W$3:W253),$U$3:$V$992,2,0),"")</f>
        <v>Obchod s motorovými vozidly, kromě motocyklů</v>
      </c>
      <c r="X253">
        <f>IF(ISNUMBER(SEARCH('1Př1'!$A$35,N253)),MAX($M$2:M252)+1,0)</f>
        <v>251</v>
      </c>
      <c r="Y253" s="336" t="s">
        <v>1920</v>
      </c>
      <c r="Z253" t="str">
        <f>IFERROR(VLOOKUP(ROWS($Z$3:Z253),$X$3:$Y$992,2,0),"")</f>
        <v>Obchod s motorovými vozidly, kromě motocyklů</v>
      </c>
    </row>
    <row r="254" spans="13:26" ht="12.75">
      <c r="M254" s="335">
        <f>IF(ISNUMBER(SEARCH(ZAKL_DATA!$B$29,N254)),MAX($M$2:M253)+1,0)</f>
        <v>252</v>
      </c>
      <c r="N254" s="336" t="s">
        <v>1922</v>
      </c>
      <c r="O254" s="353" t="s">
        <v>1923</v>
      </c>
      <c r="P254" s="338"/>
      <c r="Q254" s="339" t="str">
        <f>IFERROR(VLOOKUP(ROWS($Q$3:Q254),$M$3:$N$992,2,0),"")</f>
        <v>Opravy a údržba motorových vozidel, kromě motocyklů</v>
      </c>
      <c r="R254">
        <f>IF(ISNUMBER(SEARCH('1Př1'!$A$33,N254)),MAX($M$2:M253)+1,0)</f>
        <v>252</v>
      </c>
      <c r="S254" s="336" t="s">
        <v>1922</v>
      </c>
      <c r="T254" t="str">
        <f>IFERROR(VLOOKUP(ROWS($T$3:T254),$R$3:$S$992,2,0),"")</f>
        <v>Opravy a údržba motorových vozidel, kromě motocyklů</v>
      </c>
      <c r="U254">
        <f>IF(ISNUMBER(SEARCH('1Př1'!$A$34,N254)),MAX($M$2:M253)+1,0)</f>
        <v>252</v>
      </c>
      <c r="V254" s="336" t="s">
        <v>1922</v>
      </c>
      <c r="W254" t="str">
        <f>IFERROR(VLOOKUP(ROWS($W$3:W254),$U$3:$V$992,2,0),"")</f>
        <v>Opravy a údržba motorových vozidel, kromě motocyklů</v>
      </c>
      <c r="X254">
        <f>IF(ISNUMBER(SEARCH('1Př1'!$A$35,N254)),MAX($M$2:M253)+1,0)</f>
        <v>252</v>
      </c>
      <c r="Y254" s="336" t="s">
        <v>1922</v>
      </c>
      <c r="Z254" t="str">
        <f>IFERROR(VLOOKUP(ROWS($Z$3:Z254),$X$3:$Y$992,2,0),"")</f>
        <v>Opravy a údržba motorových vozidel, kromě motocyklů</v>
      </c>
    </row>
    <row r="255" spans="13:26" ht="12.75">
      <c r="M255" s="335">
        <f>IF(ISNUMBER(SEARCH(ZAKL_DATA!$B$29,N255)),MAX($M$2:M254)+1,0)</f>
        <v>253</v>
      </c>
      <c r="N255" s="336" t="s">
        <v>1924</v>
      </c>
      <c r="O255" s="353" t="s">
        <v>1925</v>
      </c>
      <c r="P255" s="338"/>
      <c r="Q255" s="339" t="str">
        <f>IFERROR(VLOOKUP(ROWS($Q$3:Q255),$M$3:$N$992,2,0),"")</f>
        <v>Obchod s díly a příslušenstvím pro motorová vozidla, kromě motocyklů</v>
      </c>
      <c r="R255">
        <f>IF(ISNUMBER(SEARCH('1Př1'!$A$33,N255)),MAX($M$2:M254)+1,0)</f>
        <v>253</v>
      </c>
      <c r="S255" s="336" t="s">
        <v>1924</v>
      </c>
      <c r="T255" t="str">
        <f>IFERROR(VLOOKUP(ROWS($T$3:T255),$R$3:$S$992,2,0),"")</f>
        <v>Obchod s díly a příslušenstvím pro motorová vozidla, kromě motocyklů</v>
      </c>
      <c r="U255">
        <f>IF(ISNUMBER(SEARCH('1Př1'!$A$34,N255)),MAX($M$2:M254)+1,0)</f>
        <v>253</v>
      </c>
      <c r="V255" s="336" t="s">
        <v>1924</v>
      </c>
      <c r="W255" t="str">
        <f>IFERROR(VLOOKUP(ROWS($W$3:W255),$U$3:$V$992,2,0),"")</f>
        <v>Obchod s díly a příslušenstvím pro motorová vozidla, kromě motocyklů</v>
      </c>
      <c r="X255">
        <f>IF(ISNUMBER(SEARCH('1Př1'!$A$35,N255)),MAX($M$2:M254)+1,0)</f>
        <v>253</v>
      </c>
      <c r="Y255" s="336" t="s">
        <v>1924</v>
      </c>
      <c r="Z255" t="str">
        <f>IFERROR(VLOOKUP(ROWS($Z$3:Z255),$X$3:$Y$992,2,0),"")</f>
        <v>Obchod s díly a příslušenstvím pro motorová vozidla, kromě motocyklů</v>
      </c>
    </row>
    <row r="256" spans="13:26" ht="12.75">
      <c r="M256" s="335">
        <f>IF(ISNUMBER(SEARCH(ZAKL_DATA!$B$29,N256)),MAX($M$2:M255)+1,0)</f>
        <v>254</v>
      </c>
      <c r="N256" s="336" t="s">
        <v>1926</v>
      </c>
      <c r="O256" s="353" t="s">
        <v>1927</v>
      </c>
      <c r="P256" s="338"/>
      <c r="Q256" s="339" t="str">
        <f>IFERROR(VLOOKUP(ROWS($Q$3:Q256),$M$3:$N$992,2,0),"")</f>
        <v>Obchod, opravy a údržba motocyklů, jejich dílů a příslušenství</v>
      </c>
      <c r="R256">
        <f>IF(ISNUMBER(SEARCH('1Př1'!$A$33,N256)),MAX($M$2:M255)+1,0)</f>
        <v>254</v>
      </c>
      <c r="S256" s="336" t="s">
        <v>1926</v>
      </c>
      <c r="T256" t="str">
        <f>IFERROR(VLOOKUP(ROWS($T$3:T256),$R$3:$S$992,2,0),"")</f>
        <v>Obchod, opravy a údržba motocyklů, jejich dílů a příslušenství</v>
      </c>
      <c r="U256">
        <f>IF(ISNUMBER(SEARCH('1Př1'!$A$34,N256)),MAX($M$2:M255)+1,0)</f>
        <v>254</v>
      </c>
      <c r="V256" s="336" t="s">
        <v>1926</v>
      </c>
      <c r="W256" t="str">
        <f>IFERROR(VLOOKUP(ROWS($W$3:W256),$U$3:$V$992,2,0),"")</f>
        <v>Obchod, opravy a údržba motocyklů, jejich dílů a příslušenství</v>
      </c>
      <c r="X256">
        <f>IF(ISNUMBER(SEARCH('1Př1'!$A$35,N256)),MAX($M$2:M255)+1,0)</f>
        <v>254</v>
      </c>
      <c r="Y256" s="336" t="s">
        <v>1926</v>
      </c>
      <c r="Z256" t="str">
        <f>IFERROR(VLOOKUP(ROWS($Z$3:Z256),$X$3:$Y$992,2,0),"")</f>
        <v>Obchod, opravy a údržba motocyklů, jejich dílů a příslušenství</v>
      </c>
    </row>
    <row r="257" spans="13:26" ht="12.75">
      <c r="M257" s="335">
        <f>IF(ISNUMBER(SEARCH(ZAKL_DATA!$B$29,N257)),MAX($M$2:M256)+1,0)</f>
        <v>255</v>
      </c>
      <c r="N257" s="336" t="s">
        <v>1928</v>
      </c>
      <c r="O257" s="353" t="s">
        <v>1929</v>
      </c>
      <c r="P257" s="338"/>
      <c r="Q257" s="339" t="str">
        <f>IFERROR(VLOOKUP(ROWS($Q$3:Q257),$M$3:$N$992,2,0),"")</f>
        <v>Zprostředkování velkoobchodu a velkoobchod v zastoupení</v>
      </c>
      <c r="R257">
        <f>IF(ISNUMBER(SEARCH('1Př1'!$A$33,N257)),MAX($M$2:M256)+1,0)</f>
        <v>255</v>
      </c>
      <c r="S257" s="336" t="s">
        <v>1928</v>
      </c>
      <c r="T257" t="str">
        <f>IFERROR(VLOOKUP(ROWS($T$3:T257),$R$3:$S$992,2,0),"")</f>
        <v>Zprostředkování velkoobchodu a velkoobchod v zastoupení</v>
      </c>
      <c r="U257">
        <f>IF(ISNUMBER(SEARCH('1Př1'!$A$34,N257)),MAX($M$2:M256)+1,0)</f>
        <v>255</v>
      </c>
      <c r="V257" s="336" t="s">
        <v>1928</v>
      </c>
      <c r="W257" t="str">
        <f>IFERROR(VLOOKUP(ROWS($W$3:W257),$U$3:$V$992,2,0),"")</f>
        <v>Zprostředkování velkoobchodu a velkoobchod v zastoupení</v>
      </c>
      <c r="X257">
        <f>IF(ISNUMBER(SEARCH('1Př1'!$A$35,N257)),MAX($M$2:M256)+1,0)</f>
        <v>255</v>
      </c>
      <c r="Y257" s="336" t="s">
        <v>1928</v>
      </c>
      <c r="Z257" t="str">
        <f>IFERROR(VLOOKUP(ROWS($Z$3:Z257),$X$3:$Y$992,2,0),"")</f>
        <v>Zprostředkování velkoobchodu a velkoobchod v zastoupení</v>
      </c>
    </row>
    <row r="258" spans="13:26" ht="12.75">
      <c r="M258" s="335">
        <f>IF(ISNUMBER(SEARCH(ZAKL_DATA!$B$29,N258)),MAX($M$2:M257)+1,0)</f>
        <v>256</v>
      </c>
      <c r="N258" s="336" t="s">
        <v>1930</v>
      </c>
      <c r="O258" s="353" t="s">
        <v>1931</v>
      </c>
      <c r="P258" s="338"/>
      <c r="Q258" s="339" t="str">
        <f>IFERROR(VLOOKUP(ROWS($Q$3:Q258),$M$3:$N$992,2,0),"")</f>
        <v>Velkoobchod se základními zemědělskými produkty a živými zvířaty</v>
      </c>
      <c r="R258">
        <f>IF(ISNUMBER(SEARCH('1Př1'!$A$33,N258)),MAX($M$2:M257)+1,0)</f>
        <v>256</v>
      </c>
      <c r="S258" s="336" t="s">
        <v>1930</v>
      </c>
      <c r="T258" t="str">
        <f>IFERROR(VLOOKUP(ROWS($T$3:T258),$R$3:$S$992,2,0),"")</f>
        <v>Velkoobchod se základními zemědělskými produkty a živými zvířaty</v>
      </c>
      <c r="U258">
        <f>IF(ISNUMBER(SEARCH('1Př1'!$A$34,N258)),MAX($M$2:M257)+1,0)</f>
        <v>256</v>
      </c>
      <c r="V258" s="336" t="s">
        <v>1930</v>
      </c>
      <c r="W258" t="str">
        <f>IFERROR(VLOOKUP(ROWS($W$3:W258),$U$3:$V$992,2,0),"")</f>
        <v>Velkoobchod se základními zemědělskými produkty a živými zvířaty</v>
      </c>
      <c r="X258">
        <f>IF(ISNUMBER(SEARCH('1Př1'!$A$35,N258)),MAX($M$2:M257)+1,0)</f>
        <v>256</v>
      </c>
      <c r="Y258" s="336" t="s">
        <v>1930</v>
      </c>
      <c r="Z258" t="str">
        <f>IFERROR(VLOOKUP(ROWS($Z$3:Z258),$X$3:$Y$992,2,0),"")</f>
        <v>Velkoobchod se základními zemědělskými produkty a živými zvířaty</v>
      </c>
    </row>
    <row r="259" spans="13:26" ht="12.75">
      <c r="M259" s="335">
        <f>IF(ISNUMBER(SEARCH(ZAKL_DATA!$B$29,N259)),MAX($M$2:M258)+1,0)</f>
        <v>257</v>
      </c>
      <c r="N259" s="336" t="s">
        <v>1932</v>
      </c>
      <c r="O259" s="353" t="s">
        <v>1933</v>
      </c>
      <c r="P259" s="338"/>
      <c r="Q259" s="339" t="str">
        <f>IFERROR(VLOOKUP(ROWS($Q$3:Q259),$M$3:$N$992,2,0),"")</f>
        <v>Velkoobchod s potravinami, nápoji a tabákovými výrobky</v>
      </c>
      <c r="R259">
        <f>IF(ISNUMBER(SEARCH('1Př1'!$A$33,N259)),MAX($M$2:M258)+1,0)</f>
        <v>257</v>
      </c>
      <c r="S259" s="336" t="s">
        <v>1932</v>
      </c>
      <c r="T259" t="str">
        <f>IFERROR(VLOOKUP(ROWS($T$3:T259),$R$3:$S$992,2,0),"")</f>
        <v>Velkoobchod s potravinami, nápoji a tabákovými výrobky</v>
      </c>
      <c r="U259">
        <f>IF(ISNUMBER(SEARCH('1Př1'!$A$34,N259)),MAX($M$2:M258)+1,0)</f>
        <v>257</v>
      </c>
      <c r="V259" s="336" t="s">
        <v>1932</v>
      </c>
      <c r="W259" t="str">
        <f>IFERROR(VLOOKUP(ROWS($W$3:W259),$U$3:$V$992,2,0),"")</f>
        <v>Velkoobchod s potravinami, nápoji a tabákovými výrobky</v>
      </c>
      <c r="X259">
        <f>IF(ISNUMBER(SEARCH('1Př1'!$A$35,N259)),MAX($M$2:M258)+1,0)</f>
        <v>257</v>
      </c>
      <c r="Y259" s="336" t="s">
        <v>1932</v>
      </c>
      <c r="Z259" t="str">
        <f>IFERROR(VLOOKUP(ROWS($Z$3:Z259),$X$3:$Y$992,2,0),"")</f>
        <v>Velkoobchod s potravinami, nápoji a tabákovými výrobky</v>
      </c>
    </row>
    <row r="260" spans="13:26" ht="12.75">
      <c r="M260" s="335">
        <f>IF(ISNUMBER(SEARCH(ZAKL_DATA!$B$29,N260)),MAX($M$2:M259)+1,0)</f>
        <v>258</v>
      </c>
      <c r="N260" s="336" t="s">
        <v>1934</v>
      </c>
      <c r="O260" s="353" t="s">
        <v>1935</v>
      </c>
      <c r="P260" s="338"/>
      <c r="Q260" s="339" t="str">
        <f>IFERROR(VLOOKUP(ROWS($Q$3:Q260),$M$3:$N$992,2,0),"")</f>
        <v>Velkoobchod s výrobky převážně pro domácnost</v>
      </c>
      <c r="R260">
        <f>IF(ISNUMBER(SEARCH('1Př1'!$A$33,N260)),MAX($M$2:M259)+1,0)</f>
        <v>258</v>
      </c>
      <c r="S260" s="336" t="s">
        <v>1934</v>
      </c>
      <c r="T260" t="str">
        <f>IFERROR(VLOOKUP(ROWS($T$3:T260),$R$3:$S$992,2,0),"")</f>
        <v>Velkoobchod s výrobky převážně pro domácnost</v>
      </c>
      <c r="U260">
        <f>IF(ISNUMBER(SEARCH('1Př1'!$A$34,N260)),MAX($M$2:M259)+1,0)</f>
        <v>258</v>
      </c>
      <c r="V260" s="336" t="s">
        <v>1934</v>
      </c>
      <c r="W260" t="str">
        <f>IFERROR(VLOOKUP(ROWS($W$3:W260),$U$3:$V$992,2,0),"")</f>
        <v>Velkoobchod s výrobky převážně pro domácnost</v>
      </c>
      <c r="X260">
        <f>IF(ISNUMBER(SEARCH('1Př1'!$A$35,N260)),MAX($M$2:M259)+1,0)</f>
        <v>258</v>
      </c>
      <c r="Y260" s="336" t="s">
        <v>1934</v>
      </c>
      <c r="Z260" t="str">
        <f>IFERROR(VLOOKUP(ROWS($Z$3:Z260),$X$3:$Y$992,2,0),"")</f>
        <v>Velkoobchod s výrobky převážně pro domácnost</v>
      </c>
    </row>
    <row r="261" spans="13:26" ht="12.75">
      <c r="M261" s="335">
        <f>IF(ISNUMBER(SEARCH(ZAKL_DATA!$B$29,N261)),MAX($M$2:M260)+1,0)</f>
        <v>259</v>
      </c>
      <c r="N261" s="336" t="s">
        <v>1936</v>
      </c>
      <c r="O261" s="353" t="s">
        <v>1937</v>
      </c>
      <c r="P261" s="338"/>
      <c r="Q261" s="339" t="str">
        <f>IFERROR(VLOOKUP(ROWS($Q$3:Q261),$M$3:$N$992,2,0),"")</f>
        <v>Velkoobchod s počítačovým a komunikačním zařízením</v>
      </c>
      <c r="R261">
        <f>IF(ISNUMBER(SEARCH('1Př1'!$A$33,N261)),MAX($M$2:M260)+1,0)</f>
        <v>259</v>
      </c>
      <c r="S261" s="336" t="s">
        <v>1936</v>
      </c>
      <c r="T261" t="str">
        <f>IFERROR(VLOOKUP(ROWS($T$3:T261),$R$3:$S$992,2,0),"")</f>
        <v>Velkoobchod s počítačovým a komunikačním zařízením</v>
      </c>
      <c r="U261">
        <f>IF(ISNUMBER(SEARCH('1Př1'!$A$34,N261)),MAX($M$2:M260)+1,0)</f>
        <v>259</v>
      </c>
      <c r="V261" s="336" t="s">
        <v>1936</v>
      </c>
      <c r="W261" t="str">
        <f>IFERROR(VLOOKUP(ROWS($W$3:W261),$U$3:$V$992,2,0),"")</f>
        <v>Velkoobchod s počítačovým a komunikačním zařízením</v>
      </c>
      <c r="X261">
        <f>IF(ISNUMBER(SEARCH('1Př1'!$A$35,N261)),MAX($M$2:M260)+1,0)</f>
        <v>259</v>
      </c>
      <c r="Y261" s="336" t="s">
        <v>1936</v>
      </c>
      <c r="Z261" t="str">
        <f>IFERROR(VLOOKUP(ROWS($Z$3:Z261),$X$3:$Y$992,2,0),"")</f>
        <v>Velkoobchod s počítačovým a komunikačním zařízením</v>
      </c>
    </row>
    <row r="262" spans="13:26" ht="12.75">
      <c r="M262" s="335">
        <f>IF(ISNUMBER(SEARCH(ZAKL_DATA!$B$29,N262)),MAX($M$2:M261)+1,0)</f>
        <v>260</v>
      </c>
      <c r="N262" s="336" t="s">
        <v>1938</v>
      </c>
      <c r="O262" s="353" t="s">
        <v>1939</v>
      </c>
      <c r="P262" s="338"/>
      <c r="Q262" s="339" t="str">
        <f>IFERROR(VLOOKUP(ROWS($Q$3:Q262),$M$3:$N$992,2,0),"")</f>
        <v>Velkoobchod s ostatními stroji, strojním zařízením a příslušenstvím</v>
      </c>
      <c r="R262">
        <f>IF(ISNUMBER(SEARCH('1Př1'!$A$33,N262)),MAX($M$2:M261)+1,0)</f>
        <v>260</v>
      </c>
      <c r="S262" s="336" t="s">
        <v>1938</v>
      </c>
      <c r="T262" t="str">
        <f>IFERROR(VLOOKUP(ROWS($T$3:T262),$R$3:$S$992,2,0),"")</f>
        <v>Velkoobchod s ostatními stroji, strojním zařízením a příslušenstvím</v>
      </c>
      <c r="U262">
        <f>IF(ISNUMBER(SEARCH('1Př1'!$A$34,N262)),MAX($M$2:M261)+1,0)</f>
        <v>260</v>
      </c>
      <c r="V262" s="336" t="s">
        <v>1938</v>
      </c>
      <c r="W262" t="str">
        <f>IFERROR(VLOOKUP(ROWS($W$3:W262),$U$3:$V$992,2,0),"")</f>
        <v>Velkoobchod s ostatními stroji, strojním zařízením a příslušenstvím</v>
      </c>
      <c r="X262">
        <f>IF(ISNUMBER(SEARCH('1Př1'!$A$35,N262)),MAX($M$2:M261)+1,0)</f>
        <v>260</v>
      </c>
      <c r="Y262" s="336" t="s">
        <v>1938</v>
      </c>
      <c r="Z262" t="str">
        <f>IFERROR(VLOOKUP(ROWS($Z$3:Z262),$X$3:$Y$992,2,0),"")</f>
        <v>Velkoobchod s ostatními stroji, strojním zařízením a příslušenstvím</v>
      </c>
    </row>
    <row r="263" spans="13:26" ht="12.75">
      <c r="M263" s="335">
        <f>IF(ISNUMBER(SEARCH(ZAKL_DATA!$B$29,N263)),MAX($M$2:M262)+1,0)</f>
        <v>261</v>
      </c>
      <c r="N263" s="336" t="s">
        <v>1940</v>
      </c>
      <c r="O263" s="353" t="s">
        <v>1941</v>
      </c>
      <c r="P263" s="338"/>
      <c r="Q263" s="339" t="str">
        <f>IFERROR(VLOOKUP(ROWS($Q$3:Q263),$M$3:$N$992,2,0),"")</f>
        <v>Ostatní specializovaný velkoobchod</v>
      </c>
      <c r="R263">
        <f>IF(ISNUMBER(SEARCH('1Př1'!$A$33,N263)),MAX($M$2:M262)+1,0)</f>
        <v>261</v>
      </c>
      <c r="S263" s="336" t="s">
        <v>1940</v>
      </c>
      <c r="T263" t="str">
        <f>IFERROR(VLOOKUP(ROWS($T$3:T263),$R$3:$S$992,2,0),"")</f>
        <v>Ostatní specializovaný velkoobchod</v>
      </c>
      <c r="U263">
        <f>IF(ISNUMBER(SEARCH('1Př1'!$A$34,N263)),MAX($M$2:M262)+1,0)</f>
        <v>261</v>
      </c>
      <c r="V263" s="336" t="s">
        <v>1940</v>
      </c>
      <c r="W263" t="str">
        <f>IFERROR(VLOOKUP(ROWS($W$3:W263),$U$3:$V$992,2,0),"")</f>
        <v>Ostatní specializovaný velkoobchod</v>
      </c>
      <c r="X263">
        <f>IF(ISNUMBER(SEARCH('1Př1'!$A$35,N263)),MAX($M$2:M262)+1,0)</f>
        <v>261</v>
      </c>
      <c r="Y263" s="336" t="s">
        <v>1940</v>
      </c>
      <c r="Z263" t="str">
        <f>IFERROR(VLOOKUP(ROWS($Z$3:Z263),$X$3:$Y$992,2,0),"")</f>
        <v>Ostatní specializovaný velkoobchod</v>
      </c>
    </row>
    <row r="264" spans="13:26" ht="12.75">
      <c r="M264" s="335">
        <f>IF(ISNUMBER(SEARCH(ZAKL_DATA!$B$29,N264)),MAX($M$2:M263)+1,0)</f>
        <v>262</v>
      </c>
      <c r="N264" s="336" t="s">
        <v>1942</v>
      </c>
      <c r="O264" s="353" t="s">
        <v>1943</v>
      </c>
      <c r="P264" s="338"/>
      <c r="Q264" s="339" t="str">
        <f>IFERROR(VLOOKUP(ROWS($Q$3:Q264),$M$3:$N$992,2,0),"")</f>
        <v>Nespecializovaný velkoobchod</v>
      </c>
      <c r="R264">
        <f>IF(ISNUMBER(SEARCH('1Př1'!$A$33,N264)),MAX($M$2:M263)+1,0)</f>
        <v>262</v>
      </c>
      <c r="S264" s="336" t="s">
        <v>1942</v>
      </c>
      <c r="T264" t="str">
        <f>IFERROR(VLOOKUP(ROWS($T$3:T264),$R$3:$S$992,2,0),"")</f>
        <v>Nespecializovaný velkoobchod</v>
      </c>
      <c r="U264">
        <f>IF(ISNUMBER(SEARCH('1Př1'!$A$34,N264)),MAX($M$2:M263)+1,0)</f>
        <v>262</v>
      </c>
      <c r="V264" s="336" t="s">
        <v>1942</v>
      </c>
      <c r="W264" t="str">
        <f>IFERROR(VLOOKUP(ROWS($W$3:W264),$U$3:$V$992,2,0),"")</f>
        <v>Nespecializovaný velkoobchod</v>
      </c>
      <c r="X264">
        <f>IF(ISNUMBER(SEARCH('1Př1'!$A$35,N264)),MAX($M$2:M263)+1,0)</f>
        <v>262</v>
      </c>
      <c r="Y264" s="336" t="s">
        <v>1942</v>
      </c>
      <c r="Z264" t="str">
        <f>IFERROR(VLOOKUP(ROWS($Z$3:Z264),$X$3:$Y$992,2,0),"")</f>
        <v>Nespecializovaný velkoobchod</v>
      </c>
    </row>
    <row r="265" spans="13:26" ht="12.75">
      <c r="M265" s="335">
        <f>IF(ISNUMBER(SEARCH(ZAKL_DATA!$B$29,N265)),MAX($M$2:M264)+1,0)</f>
        <v>263</v>
      </c>
      <c r="N265" s="336" t="s">
        <v>1944</v>
      </c>
      <c r="O265" s="353" t="s">
        <v>1945</v>
      </c>
      <c r="P265" s="338"/>
      <c r="Q265" s="339" t="str">
        <f>IFERROR(VLOOKUP(ROWS($Q$3:Q265),$M$3:$N$992,2,0),"")</f>
        <v>Maloobchod v nespecializovaných prodejnách</v>
      </c>
      <c r="R265">
        <f>IF(ISNUMBER(SEARCH('1Př1'!$A$33,N265)),MAX($M$2:M264)+1,0)</f>
        <v>263</v>
      </c>
      <c r="S265" s="336" t="s">
        <v>1944</v>
      </c>
      <c r="T265" t="str">
        <f>IFERROR(VLOOKUP(ROWS($T$3:T265),$R$3:$S$992,2,0),"")</f>
        <v>Maloobchod v nespecializovaných prodejnách</v>
      </c>
      <c r="U265">
        <f>IF(ISNUMBER(SEARCH('1Př1'!$A$34,N265)),MAX($M$2:M264)+1,0)</f>
        <v>263</v>
      </c>
      <c r="V265" s="336" t="s">
        <v>1944</v>
      </c>
      <c r="W265" t="str">
        <f>IFERROR(VLOOKUP(ROWS($W$3:W265),$U$3:$V$992,2,0),"")</f>
        <v>Maloobchod v nespecializovaných prodejnách</v>
      </c>
      <c r="X265">
        <f>IF(ISNUMBER(SEARCH('1Př1'!$A$35,N265)),MAX($M$2:M264)+1,0)</f>
        <v>263</v>
      </c>
      <c r="Y265" s="336" t="s">
        <v>1944</v>
      </c>
      <c r="Z265" t="str">
        <f>IFERROR(VLOOKUP(ROWS($Z$3:Z265),$X$3:$Y$992,2,0),"")</f>
        <v>Maloobchod v nespecializovaných prodejnách</v>
      </c>
    </row>
    <row r="266" spans="13:26" ht="12.75">
      <c r="M266" s="335">
        <f>IF(ISNUMBER(SEARCH(ZAKL_DATA!$B$29,N266)),MAX($M$2:M265)+1,0)</f>
        <v>264</v>
      </c>
      <c r="N266" s="336" t="s">
        <v>1946</v>
      </c>
      <c r="O266" s="353" t="s">
        <v>1947</v>
      </c>
      <c r="P266" s="338"/>
      <c r="Q266" s="339" t="str">
        <f>IFERROR(VLOOKUP(ROWS($Q$3:Q266),$M$3:$N$992,2,0),"")</f>
        <v>Maloobchod s potravinami,nápoji a tabák.výrobky ve specializ.prodejnách</v>
      </c>
      <c r="R266">
        <f>IF(ISNUMBER(SEARCH('1Př1'!$A$33,N266)),MAX($M$2:M265)+1,0)</f>
        <v>264</v>
      </c>
      <c r="S266" s="336" t="s">
        <v>1946</v>
      </c>
      <c r="T266" t="str">
        <f>IFERROR(VLOOKUP(ROWS($T$3:T266),$R$3:$S$992,2,0),"")</f>
        <v>Maloobchod s potravinami,nápoji a tabák.výrobky ve specializ.prodejnách</v>
      </c>
      <c r="U266">
        <f>IF(ISNUMBER(SEARCH('1Př1'!$A$34,N266)),MAX($M$2:M265)+1,0)</f>
        <v>264</v>
      </c>
      <c r="V266" s="336" t="s">
        <v>1946</v>
      </c>
      <c r="W266" t="str">
        <f>IFERROR(VLOOKUP(ROWS($W$3:W266),$U$3:$V$992,2,0),"")</f>
        <v>Maloobchod s potravinami,nápoji a tabák.výrobky ve specializ.prodejnách</v>
      </c>
      <c r="X266">
        <f>IF(ISNUMBER(SEARCH('1Př1'!$A$35,N266)),MAX($M$2:M265)+1,0)</f>
        <v>264</v>
      </c>
      <c r="Y266" s="336" t="s">
        <v>1946</v>
      </c>
      <c r="Z266" t="str">
        <f>IFERROR(VLOOKUP(ROWS($Z$3:Z266),$X$3:$Y$992,2,0),"")</f>
        <v>Maloobchod s potravinami,nápoji a tabák.výrobky ve specializ.prodejnách</v>
      </c>
    </row>
    <row r="267" spans="13:26" ht="12.75">
      <c r="M267" s="335">
        <f>IF(ISNUMBER(SEARCH(ZAKL_DATA!$B$29,N267)),MAX($M$2:M266)+1,0)</f>
        <v>265</v>
      </c>
      <c r="N267" s="336" t="s">
        <v>1948</v>
      </c>
      <c r="O267" s="353" t="s">
        <v>1949</v>
      </c>
      <c r="P267" s="338"/>
      <c r="Q267" s="339" t="str">
        <f>IFERROR(VLOOKUP(ROWS($Q$3:Q267),$M$3:$N$992,2,0),"")</f>
        <v>Maloobchod s pohonnými hmotami ve specializovaných prodejnách</v>
      </c>
      <c r="R267">
        <f>IF(ISNUMBER(SEARCH('1Př1'!$A$33,N267)),MAX($M$2:M266)+1,0)</f>
        <v>265</v>
      </c>
      <c r="S267" s="336" t="s">
        <v>1948</v>
      </c>
      <c r="T267" t="str">
        <f>IFERROR(VLOOKUP(ROWS($T$3:T267),$R$3:$S$992,2,0),"")</f>
        <v>Maloobchod s pohonnými hmotami ve specializovaných prodejnách</v>
      </c>
      <c r="U267">
        <f>IF(ISNUMBER(SEARCH('1Př1'!$A$34,N267)),MAX($M$2:M266)+1,0)</f>
        <v>265</v>
      </c>
      <c r="V267" s="336" t="s">
        <v>1948</v>
      </c>
      <c r="W267" t="str">
        <f>IFERROR(VLOOKUP(ROWS($W$3:W267),$U$3:$V$992,2,0),"")</f>
        <v>Maloobchod s pohonnými hmotami ve specializovaných prodejnách</v>
      </c>
      <c r="X267">
        <f>IF(ISNUMBER(SEARCH('1Př1'!$A$35,N267)),MAX($M$2:M266)+1,0)</f>
        <v>265</v>
      </c>
      <c r="Y267" s="336" t="s">
        <v>1948</v>
      </c>
      <c r="Z267" t="str">
        <f>IFERROR(VLOOKUP(ROWS($Z$3:Z267),$X$3:$Y$992,2,0),"")</f>
        <v>Maloobchod s pohonnými hmotami ve specializovaných prodejnách</v>
      </c>
    </row>
    <row r="268" spans="13:26" ht="12.75">
      <c r="M268" s="335">
        <f>IF(ISNUMBER(SEARCH(ZAKL_DATA!$B$29,N268)),MAX($M$2:M267)+1,0)</f>
        <v>266</v>
      </c>
      <c r="N268" s="336" t="s">
        <v>1950</v>
      </c>
      <c r="O268" s="353" t="s">
        <v>1951</v>
      </c>
      <c r="P268" s="338"/>
      <c r="Q268" s="339" t="str">
        <f>IFERROR(VLOOKUP(ROWS($Q$3:Q268),$M$3:$N$992,2,0),"")</f>
        <v>Maloobchod s počítačovým a komunikačním zařízením ve specializ.prodejnách</v>
      </c>
      <c r="R268">
        <f>IF(ISNUMBER(SEARCH('1Př1'!$A$33,N268)),MAX($M$2:M267)+1,0)</f>
        <v>266</v>
      </c>
      <c r="S268" s="336" t="s">
        <v>1950</v>
      </c>
      <c r="T268" t="str">
        <f>IFERROR(VLOOKUP(ROWS($T$3:T268),$R$3:$S$992,2,0),"")</f>
        <v>Maloobchod s počítačovým a komunikačním zařízením ve specializ.prodejnách</v>
      </c>
      <c r="U268">
        <f>IF(ISNUMBER(SEARCH('1Př1'!$A$34,N268)),MAX($M$2:M267)+1,0)</f>
        <v>266</v>
      </c>
      <c r="V268" s="336" t="s">
        <v>1950</v>
      </c>
      <c r="W268" t="str">
        <f>IFERROR(VLOOKUP(ROWS($W$3:W268),$U$3:$V$992,2,0),"")</f>
        <v>Maloobchod s počítačovým a komunikačním zařízením ve specializ.prodejnách</v>
      </c>
      <c r="X268">
        <f>IF(ISNUMBER(SEARCH('1Př1'!$A$35,N268)),MAX($M$2:M267)+1,0)</f>
        <v>266</v>
      </c>
      <c r="Y268" s="336" t="s">
        <v>1950</v>
      </c>
      <c r="Z268" t="str">
        <f>IFERROR(VLOOKUP(ROWS($Z$3:Z268),$X$3:$Y$992,2,0),"")</f>
        <v>Maloobchod s počítačovým a komunikačním zařízením ve specializ.prodejnách</v>
      </c>
    </row>
    <row r="269" spans="13:26" ht="12.75">
      <c r="M269" s="335">
        <f>IF(ISNUMBER(SEARCH(ZAKL_DATA!$B$29,N269)),MAX($M$2:M268)+1,0)</f>
        <v>267</v>
      </c>
      <c r="N269" s="336" t="s">
        <v>1952</v>
      </c>
      <c r="O269" s="353" t="s">
        <v>1953</v>
      </c>
      <c r="P269" s="338"/>
      <c r="Q269" s="339" t="str">
        <f>IFERROR(VLOOKUP(ROWS($Q$3:Q269),$M$3:$N$992,2,0),"")</f>
        <v>Maloobchod s ost.výrobky převážně pro domácnost ve specializ.prodejnách</v>
      </c>
      <c r="R269">
        <f>IF(ISNUMBER(SEARCH('1Př1'!$A$33,N269)),MAX($M$2:M268)+1,0)</f>
        <v>267</v>
      </c>
      <c r="S269" s="336" t="s">
        <v>1952</v>
      </c>
      <c r="T269" t="str">
        <f>IFERROR(VLOOKUP(ROWS($T$3:T269),$R$3:$S$992,2,0),"")</f>
        <v>Maloobchod s ost.výrobky převážně pro domácnost ve specializ.prodejnách</v>
      </c>
      <c r="U269">
        <f>IF(ISNUMBER(SEARCH('1Př1'!$A$34,N269)),MAX($M$2:M268)+1,0)</f>
        <v>267</v>
      </c>
      <c r="V269" s="336" t="s">
        <v>1952</v>
      </c>
      <c r="W269" t="str">
        <f>IFERROR(VLOOKUP(ROWS($W$3:W269),$U$3:$V$992,2,0),"")</f>
        <v>Maloobchod s ost.výrobky převážně pro domácnost ve specializ.prodejnách</v>
      </c>
      <c r="X269">
        <f>IF(ISNUMBER(SEARCH('1Př1'!$A$35,N269)),MAX($M$2:M268)+1,0)</f>
        <v>267</v>
      </c>
      <c r="Y269" s="336" t="s">
        <v>1952</v>
      </c>
      <c r="Z269" t="str">
        <f>IFERROR(VLOOKUP(ROWS($Z$3:Z269),$X$3:$Y$992,2,0),"")</f>
        <v>Maloobchod s ost.výrobky převážně pro domácnost ve specializ.prodejnách</v>
      </c>
    </row>
    <row r="270" spans="13:26" ht="12.75">
      <c r="M270" s="335">
        <f>IF(ISNUMBER(SEARCH(ZAKL_DATA!$B$29,N270)),MAX($M$2:M269)+1,0)</f>
        <v>268</v>
      </c>
      <c r="N270" s="336" t="s">
        <v>1954</v>
      </c>
      <c r="O270" s="353" t="s">
        <v>1955</v>
      </c>
      <c r="P270" s="338"/>
      <c r="Q270" s="339" t="str">
        <f>IFERROR(VLOOKUP(ROWS($Q$3:Q270),$M$3:$N$992,2,0),"")</f>
        <v>Maloobchod s výrobky pro kulturní rozhled a rekreaci ve specializ.prod.</v>
      </c>
      <c r="R270">
        <f>IF(ISNUMBER(SEARCH('1Př1'!$A$33,N270)),MAX($M$2:M269)+1,0)</f>
        <v>268</v>
      </c>
      <c r="S270" s="336" t="s">
        <v>1954</v>
      </c>
      <c r="T270" t="str">
        <f>IFERROR(VLOOKUP(ROWS($T$3:T270),$R$3:$S$992,2,0),"")</f>
        <v>Maloobchod s výrobky pro kulturní rozhled a rekreaci ve specializ.prod.</v>
      </c>
      <c r="U270">
        <f>IF(ISNUMBER(SEARCH('1Př1'!$A$34,N270)),MAX($M$2:M269)+1,0)</f>
        <v>268</v>
      </c>
      <c r="V270" s="336" t="s">
        <v>1954</v>
      </c>
      <c r="W270" t="str">
        <f>IFERROR(VLOOKUP(ROWS($W$3:W270),$U$3:$V$992,2,0),"")</f>
        <v>Maloobchod s výrobky pro kulturní rozhled a rekreaci ve specializ.prod.</v>
      </c>
      <c r="X270">
        <f>IF(ISNUMBER(SEARCH('1Př1'!$A$35,N270)),MAX($M$2:M269)+1,0)</f>
        <v>268</v>
      </c>
      <c r="Y270" s="336" t="s">
        <v>1954</v>
      </c>
      <c r="Z270" t="str">
        <f>IFERROR(VLOOKUP(ROWS($Z$3:Z270),$X$3:$Y$992,2,0),"")</f>
        <v>Maloobchod s výrobky pro kulturní rozhled a rekreaci ve specializ.prod.</v>
      </c>
    </row>
    <row r="271" spans="13:26" ht="12.75">
      <c r="M271" s="335">
        <f>IF(ISNUMBER(SEARCH(ZAKL_DATA!$B$29,N271)),MAX($M$2:M270)+1,0)</f>
        <v>269</v>
      </c>
      <c r="N271" s="336" t="s">
        <v>1956</v>
      </c>
      <c r="O271" s="353" t="s">
        <v>1957</v>
      </c>
      <c r="P271" s="338"/>
      <c r="Q271" s="339" t="str">
        <f>IFERROR(VLOOKUP(ROWS($Q$3:Q271),$M$3:$N$992,2,0),"")</f>
        <v>Maloobchod s ostatním zbožím ve specializovaných prodejnách</v>
      </c>
      <c r="R271">
        <f>IF(ISNUMBER(SEARCH('1Př1'!$A$33,N271)),MAX($M$2:M270)+1,0)</f>
        <v>269</v>
      </c>
      <c r="S271" s="336" t="s">
        <v>1956</v>
      </c>
      <c r="T271" t="str">
        <f>IFERROR(VLOOKUP(ROWS($T$3:T271),$R$3:$S$992,2,0),"")</f>
        <v>Maloobchod s ostatním zbožím ve specializovaných prodejnách</v>
      </c>
      <c r="U271">
        <f>IF(ISNUMBER(SEARCH('1Př1'!$A$34,N271)),MAX($M$2:M270)+1,0)</f>
        <v>269</v>
      </c>
      <c r="V271" s="336" t="s">
        <v>1956</v>
      </c>
      <c r="W271" t="str">
        <f>IFERROR(VLOOKUP(ROWS($W$3:W271),$U$3:$V$992,2,0),"")</f>
        <v>Maloobchod s ostatním zbožím ve specializovaných prodejnách</v>
      </c>
      <c r="X271">
        <f>IF(ISNUMBER(SEARCH('1Př1'!$A$35,N271)),MAX($M$2:M270)+1,0)</f>
        <v>269</v>
      </c>
      <c r="Y271" s="336" t="s">
        <v>1956</v>
      </c>
      <c r="Z271" t="str">
        <f>IFERROR(VLOOKUP(ROWS($Z$3:Z271),$X$3:$Y$992,2,0),"")</f>
        <v>Maloobchod s ostatním zbožím ve specializovaných prodejnách</v>
      </c>
    </row>
    <row r="272" spans="13:26" ht="12.75">
      <c r="M272" s="335">
        <f>IF(ISNUMBER(SEARCH(ZAKL_DATA!$B$29,N272)),MAX($M$2:M271)+1,0)</f>
        <v>270</v>
      </c>
      <c r="N272" s="336" t="s">
        <v>1958</v>
      </c>
      <c r="O272" s="353" t="s">
        <v>1959</v>
      </c>
      <c r="P272" s="338"/>
      <c r="Q272" s="339" t="str">
        <f>IFERROR(VLOOKUP(ROWS($Q$3:Q272),$M$3:$N$992,2,0),"")</f>
        <v>Maloobchod ve stáncích a na trzích</v>
      </c>
      <c r="R272">
        <f>IF(ISNUMBER(SEARCH('1Př1'!$A$33,N272)),MAX($M$2:M271)+1,0)</f>
        <v>270</v>
      </c>
      <c r="S272" s="336" t="s">
        <v>1958</v>
      </c>
      <c r="T272" t="str">
        <f>IFERROR(VLOOKUP(ROWS($T$3:T272),$R$3:$S$992,2,0),"")</f>
        <v>Maloobchod ve stáncích a na trzích</v>
      </c>
      <c r="U272">
        <f>IF(ISNUMBER(SEARCH('1Př1'!$A$34,N272)),MAX($M$2:M271)+1,0)</f>
        <v>270</v>
      </c>
      <c r="V272" s="336" t="s">
        <v>1958</v>
      </c>
      <c r="W272" t="str">
        <f>IFERROR(VLOOKUP(ROWS($W$3:W272),$U$3:$V$992,2,0),"")</f>
        <v>Maloobchod ve stáncích a na trzích</v>
      </c>
      <c r="X272">
        <f>IF(ISNUMBER(SEARCH('1Př1'!$A$35,N272)),MAX($M$2:M271)+1,0)</f>
        <v>270</v>
      </c>
      <c r="Y272" s="336" t="s">
        <v>1958</v>
      </c>
      <c r="Z272" t="str">
        <f>IFERROR(VLOOKUP(ROWS($Z$3:Z272),$X$3:$Y$992,2,0),"")</f>
        <v>Maloobchod ve stáncích a na trzích</v>
      </c>
    </row>
    <row r="273" spans="13:26" ht="12.75">
      <c r="M273" s="335">
        <f>IF(ISNUMBER(SEARCH(ZAKL_DATA!$B$29,N273)),MAX($M$2:M272)+1,0)</f>
        <v>271</v>
      </c>
      <c r="N273" s="336" t="s">
        <v>1960</v>
      </c>
      <c r="O273" s="353" t="s">
        <v>1961</v>
      </c>
      <c r="P273" s="338"/>
      <c r="Q273" s="339" t="str">
        <f>IFERROR(VLOOKUP(ROWS($Q$3:Q273),$M$3:$N$992,2,0),"")</f>
        <v>Maloobchod mimo prodejny, stánky a trhy</v>
      </c>
      <c r="R273">
        <f>IF(ISNUMBER(SEARCH('1Př1'!$A$33,N273)),MAX($M$2:M272)+1,0)</f>
        <v>271</v>
      </c>
      <c r="S273" s="336" t="s">
        <v>1960</v>
      </c>
      <c r="T273" t="str">
        <f>IFERROR(VLOOKUP(ROWS($T$3:T273),$R$3:$S$992,2,0),"")</f>
        <v>Maloobchod mimo prodejny, stánky a trhy</v>
      </c>
      <c r="U273">
        <f>IF(ISNUMBER(SEARCH('1Př1'!$A$34,N273)),MAX($M$2:M272)+1,0)</f>
        <v>271</v>
      </c>
      <c r="V273" s="336" t="s">
        <v>1960</v>
      </c>
      <c r="W273" t="str">
        <f>IFERROR(VLOOKUP(ROWS($W$3:W273),$U$3:$V$992,2,0),"")</f>
        <v>Maloobchod mimo prodejny, stánky a trhy</v>
      </c>
      <c r="X273">
        <f>IF(ISNUMBER(SEARCH('1Př1'!$A$35,N273)),MAX($M$2:M272)+1,0)</f>
        <v>271</v>
      </c>
      <c r="Y273" s="336" t="s">
        <v>1960</v>
      </c>
      <c r="Z273" t="str">
        <f>IFERROR(VLOOKUP(ROWS($Z$3:Z273),$X$3:$Y$992,2,0),"")</f>
        <v>Maloobchod mimo prodejny, stánky a trhy</v>
      </c>
    </row>
    <row r="274" spans="13:26" ht="12.75">
      <c r="M274" s="335">
        <f>IF(ISNUMBER(SEARCH(ZAKL_DATA!$B$29,N274)),MAX($M$2:M273)+1,0)</f>
        <v>272</v>
      </c>
      <c r="N274" s="336" t="s">
        <v>1962</v>
      </c>
      <c r="O274" s="353" t="s">
        <v>1963</v>
      </c>
      <c r="P274" s="338"/>
      <c r="Q274" s="339" t="str">
        <f>IFERROR(VLOOKUP(ROWS($Q$3:Q274),$M$3:$N$992,2,0),"")</f>
        <v>železniční osobní doprava meziměstská</v>
      </c>
      <c r="R274">
        <f>IF(ISNUMBER(SEARCH('1Př1'!$A$33,N274)),MAX($M$2:M273)+1,0)</f>
        <v>272</v>
      </c>
      <c r="S274" s="336" t="s">
        <v>1962</v>
      </c>
      <c r="T274" t="str">
        <f>IFERROR(VLOOKUP(ROWS($T$3:T274),$R$3:$S$992,2,0),"")</f>
        <v>železniční osobní doprava meziměstská</v>
      </c>
      <c r="U274">
        <f>IF(ISNUMBER(SEARCH('1Př1'!$A$34,N274)),MAX($M$2:M273)+1,0)</f>
        <v>272</v>
      </c>
      <c r="V274" s="336" t="s">
        <v>1962</v>
      </c>
      <c r="W274" t="str">
        <f>IFERROR(VLOOKUP(ROWS($W$3:W274),$U$3:$V$992,2,0),"")</f>
        <v>železniční osobní doprava meziměstská</v>
      </c>
      <c r="X274">
        <f>IF(ISNUMBER(SEARCH('1Př1'!$A$35,N274)),MAX($M$2:M273)+1,0)</f>
        <v>272</v>
      </c>
      <c r="Y274" s="336" t="s">
        <v>1962</v>
      </c>
      <c r="Z274" t="str">
        <f>IFERROR(VLOOKUP(ROWS($Z$3:Z274),$X$3:$Y$992,2,0),"")</f>
        <v>železniční osobní doprava meziměstská</v>
      </c>
    </row>
    <row r="275" spans="13:26" ht="12.75">
      <c r="M275" s="335">
        <f>IF(ISNUMBER(SEARCH(ZAKL_DATA!$B$29,N275)),MAX($M$2:M274)+1,0)</f>
        <v>273</v>
      </c>
      <c r="N275" s="336" t="s">
        <v>1964</v>
      </c>
      <c r="O275" s="353" t="s">
        <v>1965</v>
      </c>
      <c r="P275" s="338"/>
      <c r="Q275" s="339" t="str">
        <f>IFERROR(VLOOKUP(ROWS($Q$3:Q275),$M$3:$N$992,2,0),"")</f>
        <v>železniční nákladní doprava</v>
      </c>
      <c r="R275">
        <f>IF(ISNUMBER(SEARCH('1Př1'!$A$33,N275)),MAX($M$2:M274)+1,0)</f>
        <v>273</v>
      </c>
      <c r="S275" s="336" t="s">
        <v>1964</v>
      </c>
      <c r="T275" t="str">
        <f>IFERROR(VLOOKUP(ROWS($T$3:T275),$R$3:$S$992,2,0),"")</f>
        <v>železniční nákladní doprava</v>
      </c>
      <c r="U275">
        <f>IF(ISNUMBER(SEARCH('1Př1'!$A$34,N275)),MAX($M$2:M274)+1,0)</f>
        <v>273</v>
      </c>
      <c r="V275" s="336" t="s">
        <v>1964</v>
      </c>
      <c r="W275" t="str">
        <f>IFERROR(VLOOKUP(ROWS($W$3:W275),$U$3:$V$992,2,0),"")</f>
        <v>železniční nákladní doprava</v>
      </c>
      <c r="X275">
        <f>IF(ISNUMBER(SEARCH('1Př1'!$A$35,N275)),MAX($M$2:M274)+1,0)</f>
        <v>273</v>
      </c>
      <c r="Y275" s="336" t="s">
        <v>1964</v>
      </c>
      <c r="Z275" t="str">
        <f>IFERROR(VLOOKUP(ROWS($Z$3:Z275),$X$3:$Y$992,2,0),"")</f>
        <v>železniční nákladní doprava</v>
      </c>
    </row>
    <row r="276" spans="13:26" ht="12.75">
      <c r="M276" s="335">
        <f>IF(ISNUMBER(SEARCH(ZAKL_DATA!$B$29,N276)),MAX($M$2:M275)+1,0)</f>
        <v>274</v>
      </c>
      <c r="N276" s="336" t="s">
        <v>1966</v>
      </c>
      <c r="O276" s="353" t="s">
        <v>1967</v>
      </c>
      <c r="P276" s="338"/>
      <c r="Q276" s="339" t="str">
        <f>IFERROR(VLOOKUP(ROWS($Q$3:Q276),$M$3:$N$992,2,0),"")</f>
        <v>Ostatní pozemní osobní doprava</v>
      </c>
      <c r="R276">
        <f>IF(ISNUMBER(SEARCH('1Př1'!$A$33,N276)),MAX($M$2:M275)+1,0)</f>
        <v>274</v>
      </c>
      <c r="S276" s="336" t="s">
        <v>1966</v>
      </c>
      <c r="T276" t="str">
        <f>IFERROR(VLOOKUP(ROWS($T$3:T276),$R$3:$S$992,2,0),"")</f>
        <v>Ostatní pozemní osobní doprava</v>
      </c>
      <c r="U276">
        <f>IF(ISNUMBER(SEARCH('1Př1'!$A$34,N276)),MAX($M$2:M275)+1,0)</f>
        <v>274</v>
      </c>
      <c r="V276" s="336" t="s">
        <v>1966</v>
      </c>
      <c r="W276" t="str">
        <f>IFERROR(VLOOKUP(ROWS($W$3:W276),$U$3:$V$992,2,0),"")</f>
        <v>Ostatní pozemní osobní doprava</v>
      </c>
      <c r="X276">
        <f>IF(ISNUMBER(SEARCH('1Př1'!$A$35,N276)),MAX($M$2:M275)+1,0)</f>
        <v>274</v>
      </c>
      <c r="Y276" s="336" t="s">
        <v>1966</v>
      </c>
      <c r="Z276" t="str">
        <f>IFERROR(VLOOKUP(ROWS($Z$3:Z276),$X$3:$Y$992,2,0),"")</f>
        <v>Ostatní pozemní osobní doprava</v>
      </c>
    </row>
    <row r="277" spans="13:26" ht="12.75">
      <c r="M277" s="335">
        <f>IF(ISNUMBER(SEARCH(ZAKL_DATA!$B$29,N277)),MAX($M$2:M276)+1,0)</f>
        <v>275</v>
      </c>
      <c r="N277" s="336" t="s">
        <v>1968</v>
      </c>
      <c r="O277" s="353" t="s">
        <v>1969</v>
      </c>
      <c r="P277" s="338"/>
      <c r="Q277" s="339" t="str">
        <f>IFERROR(VLOOKUP(ROWS($Q$3:Q277),$M$3:$N$992,2,0),"")</f>
        <v>Silniční nákladní doprava a stěhovací služby</v>
      </c>
      <c r="R277">
        <f>IF(ISNUMBER(SEARCH('1Př1'!$A$33,N277)),MAX($M$2:M276)+1,0)</f>
        <v>275</v>
      </c>
      <c r="S277" s="336" t="s">
        <v>1968</v>
      </c>
      <c r="T277" t="str">
        <f>IFERROR(VLOOKUP(ROWS($T$3:T277),$R$3:$S$992,2,0),"")</f>
        <v>Silniční nákladní doprava a stěhovací služby</v>
      </c>
      <c r="U277">
        <f>IF(ISNUMBER(SEARCH('1Př1'!$A$34,N277)),MAX($M$2:M276)+1,0)</f>
        <v>275</v>
      </c>
      <c r="V277" s="336" t="s">
        <v>1968</v>
      </c>
      <c r="W277" t="str">
        <f>IFERROR(VLOOKUP(ROWS($W$3:W277),$U$3:$V$992,2,0),"")</f>
        <v>Silniční nákladní doprava a stěhovací služby</v>
      </c>
      <c r="X277">
        <f>IF(ISNUMBER(SEARCH('1Př1'!$A$35,N277)),MAX($M$2:M276)+1,0)</f>
        <v>275</v>
      </c>
      <c r="Y277" s="336" t="s">
        <v>1968</v>
      </c>
      <c r="Z277" t="str">
        <f>IFERROR(VLOOKUP(ROWS($Z$3:Z277),$X$3:$Y$992,2,0),"")</f>
        <v>Silniční nákladní doprava a stěhovací služby</v>
      </c>
    </row>
    <row r="278" spans="13:26" ht="12.75">
      <c r="M278" s="335">
        <f>IF(ISNUMBER(SEARCH(ZAKL_DATA!$B$29,N278)),MAX($M$2:M277)+1,0)</f>
        <v>276</v>
      </c>
      <c r="N278" s="336" t="s">
        <v>1970</v>
      </c>
      <c r="O278" s="353" t="s">
        <v>1971</v>
      </c>
      <c r="P278" s="338"/>
      <c r="Q278" s="339" t="str">
        <f>IFERROR(VLOOKUP(ROWS($Q$3:Q278),$M$3:$N$992,2,0),"")</f>
        <v>Potrubní doprava</v>
      </c>
      <c r="R278">
        <f>IF(ISNUMBER(SEARCH('1Př1'!$A$33,N278)),MAX($M$2:M277)+1,0)</f>
        <v>276</v>
      </c>
      <c r="S278" s="336" t="s">
        <v>1970</v>
      </c>
      <c r="T278" t="str">
        <f>IFERROR(VLOOKUP(ROWS($T$3:T278),$R$3:$S$992,2,0),"")</f>
        <v>Potrubní doprava</v>
      </c>
      <c r="U278">
        <f>IF(ISNUMBER(SEARCH('1Př1'!$A$34,N278)),MAX($M$2:M277)+1,0)</f>
        <v>276</v>
      </c>
      <c r="V278" s="336" t="s">
        <v>1970</v>
      </c>
      <c r="W278" t="str">
        <f>IFERROR(VLOOKUP(ROWS($W$3:W278),$U$3:$V$992,2,0),"")</f>
        <v>Potrubní doprava</v>
      </c>
      <c r="X278">
        <f>IF(ISNUMBER(SEARCH('1Př1'!$A$35,N278)),MAX($M$2:M277)+1,0)</f>
        <v>276</v>
      </c>
      <c r="Y278" s="336" t="s">
        <v>1970</v>
      </c>
      <c r="Z278" t="str">
        <f>IFERROR(VLOOKUP(ROWS($Z$3:Z278),$X$3:$Y$992,2,0),"")</f>
        <v>Potrubní doprava</v>
      </c>
    </row>
    <row r="279" spans="13:26" ht="12.75">
      <c r="M279" s="335">
        <f>IF(ISNUMBER(SEARCH(ZAKL_DATA!$B$29,N279)),MAX($M$2:M278)+1,0)</f>
        <v>277</v>
      </c>
      <c r="N279" s="336" t="s">
        <v>1972</v>
      </c>
      <c r="O279" s="353" t="s">
        <v>1973</v>
      </c>
      <c r="P279" s="338"/>
      <c r="Q279" s="339" t="str">
        <f>IFERROR(VLOOKUP(ROWS($Q$3:Q279),$M$3:$N$992,2,0),"")</f>
        <v>Námořní a pobřežní osobní doprava</v>
      </c>
      <c r="R279">
        <f>IF(ISNUMBER(SEARCH('1Př1'!$A$33,N279)),MAX($M$2:M278)+1,0)</f>
        <v>277</v>
      </c>
      <c r="S279" s="336" t="s">
        <v>1972</v>
      </c>
      <c r="T279" t="str">
        <f>IFERROR(VLOOKUP(ROWS($T$3:T279),$R$3:$S$992,2,0),"")</f>
        <v>Námořní a pobřežní osobní doprava</v>
      </c>
      <c r="U279">
        <f>IF(ISNUMBER(SEARCH('1Př1'!$A$34,N279)),MAX($M$2:M278)+1,0)</f>
        <v>277</v>
      </c>
      <c r="V279" s="336" t="s">
        <v>1972</v>
      </c>
      <c r="W279" t="str">
        <f>IFERROR(VLOOKUP(ROWS($W$3:W279),$U$3:$V$992,2,0),"")</f>
        <v>Námořní a pobřežní osobní doprava</v>
      </c>
      <c r="X279">
        <f>IF(ISNUMBER(SEARCH('1Př1'!$A$35,N279)),MAX($M$2:M278)+1,0)</f>
        <v>277</v>
      </c>
      <c r="Y279" s="336" t="s">
        <v>1972</v>
      </c>
      <c r="Z279" t="str">
        <f>IFERROR(VLOOKUP(ROWS($Z$3:Z279),$X$3:$Y$992,2,0),"")</f>
        <v>Námořní a pobřežní osobní doprava</v>
      </c>
    </row>
    <row r="280" spans="13:26" ht="12.75">
      <c r="M280" s="335">
        <f>IF(ISNUMBER(SEARCH(ZAKL_DATA!$B$29,N280)),MAX($M$2:M279)+1,0)</f>
        <v>278</v>
      </c>
      <c r="N280" s="336" t="s">
        <v>1974</v>
      </c>
      <c r="O280" s="353" t="s">
        <v>1975</v>
      </c>
      <c r="P280" s="338"/>
      <c r="Q280" s="339" t="str">
        <f>IFERROR(VLOOKUP(ROWS($Q$3:Q280),$M$3:$N$992,2,0),"")</f>
        <v>Námořní a pobřežní nákladní doprava</v>
      </c>
      <c r="R280">
        <f>IF(ISNUMBER(SEARCH('1Př1'!$A$33,N280)),MAX($M$2:M279)+1,0)</f>
        <v>278</v>
      </c>
      <c r="S280" s="336" t="s">
        <v>1974</v>
      </c>
      <c r="T280" t="str">
        <f>IFERROR(VLOOKUP(ROWS($T$3:T280),$R$3:$S$992,2,0),"")</f>
        <v>Námořní a pobřežní nákladní doprava</v>
      </c>
      <c r="U280">
        <f>IF(ISNUMBER(SEARCH('1Př1'!$A$34,N280)),MAX($M$2:M279)+1,0)</f>
        <v>278</v>
      </c>
      <c r="V280" s="336" t="s">
        <v>1974</v>
      </c>
      <c r="W280" t="str">
        <f>IFERROR(VLOOKUP(ROWS($W$3:W280),$U$3:$V$992,2,0),"")</f>
        <v>Námořní a pobřežní nákladní doprava</v>
      </c>
      <c r="X280">
        <f>IF(ISNUMBER(SEARCH('1Př1'!$A$35,N280)),MAX($M$2:M279)+1,0)</f>
        <v>278</v>
      </c>
      <c r="Y280" s="336" t="s">
        <v>1974</v>
      </c>
      <c r="Z280" t="str">
        <f>IFERROR(VLOOKUP(ROWS($Z$3:Z280),$X$3:$Y$992,2,0),"")</f>
        <v>Námořní a pobřežní nákladní doprava</v>
      </c>
    </row>
    <row r="281" spans="13:26" ht="12.75">
      <c r="M281" s="335">
        <f>IF(ISNUMBER(SEARCH(ZAKL_DATA!$B$29,N281)),MAX($M$2:M280)+1,0)</f>
        <v>279</v>
      </c>
      <c r="N281" s="336" t="s">
        <v>1976</v>
      </c>
      <c r="O281" s="353" t="s">
        <v>1977</v>
      </c>
      <c r="P281" s="338"/>
      <c r="Q281" s="339" t="str">
        <f>IFERROR(VLOOKUP(ROWS($Q$3:Q281),$M$3:$N$992,2,0),"")</f>
        <v>Vnitrozemská vodní osobní doprava</v>
      </c>
      <c r="R281">
        <f>IF(ISNUMBER(SEARCH('1Př1'!$A$33,N281)),MAX($M$2:M280)+1,0)</f>
        <v>279</v>
      </c>
      <c r="S281" s="336" t="s">
        <v>1976</v>
      </c>
      <c r="T281" t="str">
        <f>IFERROR(VLOOKUP(ROWS($T$3:T281),$R$3:$S$992,2,0),"")</f>
        <v>Vnitrozemská vodní osobní doprava</v>
      </c>
      <c r="U281">
        <f>IF(ISNUMBER(SEARCH('1Př1'!$A$34,N281)),MAX($M$2:M280)+1,0)</f>
        <v>279</v>
      </c>
      <c r="V281" s="336" t="s">
        <v>1976</v>
      </c>
      <c r="W281" t="str">
        <f>IFERROR(VLOOKUP(ROWS($W$3:W281),$U$3:$V$992,2,0),"")</f>
        <v>Vnitrozemská vodní osobní doprava</v>
      </c>
      <c r="X281">
        <f>IF(ISNUMBER(SEARCH('1Př1'!$A$35,N281)),MAX($M$2:M280)+1,0)</f>
        <v>279</v>
      </c>
      <c r="Y281" s="336" t="s">
        <v>1976</v>
      </c>
      <c r="Z281" t="str">
        <f>IFERROR(VLOOKUP(ROWS($Z$3:Z281),$X$3:$Y$992,2,0),"")</f>
        <v>Vnitrozemská vodní osobní doprava</v>
      </c>
    </row>
    <row r="282" spans="13:26" ht="12.75">
      <c r="M282" s="335">
        <f>IF(ISNUMBER(SEARCH(ZAKL_DATA!$B$29,N282)),MAX($M$2:M281)+1,0)</f>
        <v>280</v>
      </c>
      <c r="N282" s="336" t="s">
        <v>1978</v>
      </c>
      <c r="O282" s="353" t="s">
        <v>1979</v>
      </c>
      <c r="P282" s="338"/>
      <c r="Q282" s="339" t="str">
        <f>IFERROR(VLOOKUP(ROWS($Q$3:Q282),$M$3:$N$992,2,0),"")</f>
        <v>Vnitrozemská vodní nákladní doprava</v>
      </c>
      <c r="R282">
        <f>IF(ISNUMBER(SEARCH('1Př1'!$A$33,N282)),MAX($M$2:M281)+1,0)</f>
        <v>280</v>
      </c>
      <c r="S282" s="336" t="s">
        <v>1978</v>
      </c>
      <c r="T282" t="str">
        <f>IFERROR(VLOOKUP(ROWS($T$3:T282),$R$3:$S$992,2,0),"")</f>
        <v>Vnitrozemská vodní nákladní doprava</v>
      </c>
      <c r="U282">
        <f>IF(ISNUMBER(SEARCH('1Př1'!$A$34,N282)),MAX($M$2:M281)+1,0)</f>
        <v>280</v>
      </c>
      <c r="V282" s="336" t="s">
        <v>1978</v>
      </c>
      <c r="W282" t="str">
        <f>IFERROR(VLOOKUP(ROWS($W$3:W282),$U$3:$V$992,2,0),"")</f>
        <v>Vnitrozemská vodní nákladní doprava</v>
      </c>
      <c r="X282">
        <f>IF(ISNUMBER(SEARCH('1Př1'!$A$35,N282)),MAX($M$2:M281)+1,0)</f>
        <v>280</v>
      </c>
      <c r="Y282" s="336" t="s">
        <v>1978</v>
      </c>
      <c r="Z282" t="str">
        <f>IFERROR(VLOOKUP(ROWS($Z$3:Z282),$X$3:$Y$992,2,0),"")</f>
        <v>Vnitrozemská vodní nákladní doprava</v>
      </c>
    </row>
    <row r="283" spans="13:26" ht="12.75">
      <c r="M283" s="335">
        <f>IF(ISNUMBER(SEARCH(ZAKL_DATA!$B$29,N283)),MAX($M$2:M282)+1,0)</f>
        <v>281</v>
      </c>
      <c r="N283" s="336" t="s">
        <v>1980</v>
      </c>
      <c r="O283" s="353" t="s">
        <v>1981</v>
      </c>
      <c r="P283" s="338"/>
      <c r="Q283" s="339" t="str">
        <f>IFERROR(VLOOKUP(ROWS($Q$3:Q283),$M$3:$N$992,2,0),"")</f>
        <v>Letecká osobní doprava</v>
      </c>
      <c r="R283">
        <f>IF(ISNUMBER(SEARCH('1Př1'!$A$33,N283)),MAX($M$2:M282)+1,0)</f>
        <v>281</v>
      </c>
      <c r="S283" s="336" t="s">
        <v>1980</v>
      </c>
      <c r="T283" t="str">
        <f>IFERROR(VLOOKUP(ROWS($T$3:T283),$R$3:$S$992,2,0),"")</f>
        <v>Letecká osobní doprava</v>
      </c>
      <c r="U283">
        <f>IF(ISNUMBER(SEARCH('1Př1'!$A$34,N283)),MAX($M$2:M282)+1,0)</f>
        <v>281</v>
      </c>
      <c r="V283" s="336" t="s">
        <v>1980</v>
      </c>
      <c r="W283" t="str">
        <f>IFERROR(VLOOKUP(ROWS($W$3:W283),$U$3:$V$992,2,0),"")</f>
        <v>Letecká osobní doprava</v>
      </c>
      <c r="X283">
        <f>IF(ISNUMBER(SEARCH('1Př1'!$A$35,N283)),MAX($M$2:M282)+1,0)</f>
        <v>281</v>
      </c>
      <c r="Y283" s="336" t="s">
        <v>1980</v>
      </c>
      <c r="Z283" t="str">
        <f>IFERROR(VLOOKUP(ROWS($Z$3:Z283),$X$3:$Y$992,2,0),"")</f>
        <v>Letecká osobní doprava</v>
      </c>
    </row>
    <row r="284" spans="13:26" ht="12.75">
      <c r="M284" s="335">
        <f>IF(ISNUMBER(SEARCH(ZAKL_DATA!$B$29,N284)),MAX($M$2:M283)+1,0)</f>
        <v>282</v>
      </c>
      <c r="N284" s="336" t="s">
        <v>1982</v>
      </c>
      <c r="O284" s="353" t="s">
        <v>1983</v>
      </c>
      <c r="P284" s="338"/>
      <c r="Q284" s="339" t="str">
        <f>IFERROR(VLOOKUP(ROWS($Q$3:Q284),$M$3:$N$992,2,0),"")</f>
        <v>Letecká nákladní doprava a kosmická doprava</v>
      </c>
      <c r="R284">
        <f>IF(ISNUMBER(SEARCH('1Př1'!$A$33,N284)),MAX($M$2:M283)+1,0)</f>
        <v>282</v>
      </c>
      <c r="S284" s="336" t="s">
        <v>1982</v>
      </c>
      <c r="T284" t="str">
        <f>IFERROR(VLOOKUP(ROWS($T$3:T284),$R$3:$S$992,2,0),"")</f>
        <v>Letecká nákladní doprava a kosmická doprava</v>
      </c>
      <c r="U284">
        <f>IF(ISNUMBER(SEARCH('1Př1'!$A$34,N284)),MAX($M$2:M283)+1,0)</f>
        <v>282</v>
      </c>
      <c r="V284" s="336" t="s">
        <v>1982</v>
      </c>
      <c r="W284" t="str">
        <f>IFERROR(VLOOKUP(ROWS($W$3:W284),$U$3:$V$992,2,0),"")</f>
        <v>Letecká nákladní doprava a kosmická doprava</v>
      </c>
      <c r="X284">
        <f>IF(ISNUMBER(SEARCH('1Př1'!$A$35,N284)),MAX($M$2:M283)+1,0)</f>
        <v>282</v>
      </c>
      <c r="Y284" s="336" t="s">
        <v>1982</v>
      </c>
      <c r="Z284" t="str">
        <f>IFERROR(VLOOKUP(ROWS($Z$3:Z284),$X$3:$Y$992,2,0),"")</f>
        <v>Letecká nákladní doprava a kosmická doprava</v>
      </c>
    </row>
    <row r="285" spans="13:26" ht="12.75">
      <c r="M285" s="335">
        <f>IF(ISNUMBER(SEARCH(ZAKL_DATA!$B$29,N285)),MAX($M$2:M284)+1,0)</f>
        <v>283</v>
      </c>
      <c r="N285" s="336" t="s">
        <v>1984</v>
      </c>
      <c r="O285" s="353" t="s">
        <v>1985</v>
      </c>
      <c r="P285" s="338"/>
      <c r="Q285" s="339" t="str">
        <f>IFERROR(VLOOKUP(ROWS($Q$3:Q285),$M$3:$N$992,2,0),"")</f>
        <v>Skladování</v>
      </c>
      <c r="R285">
        <f>IF(ISNUMBER(SEARCH('1Př1'!$A$33,N285)),MAX($M$2:M284)+1,0)</f>
        <v>283</v>
      </c>
      <c r="S285" s="336" t="s">
        <v>1984</v>
      </c>
      <c r="T285" t="str">
        <f>IFERROR(VLOOKUP(ROWS($T$3:T285),$R$3:$S$992,2,0),"")</f>
        <v>Skladování</v>
      </c>
      <c r="U285">
        <f>IF(ISNUMBER(SEARCH('1Př1'!$A$34,N285)),MAX($M$2:M284)+1,0)</f>
        <v>283</v>
      </c>
      <c r="V285" s="336" t="s">
        <v>1984</v>
      </c>
      <c r="W285" t="str">
        <f>IFERROR(VLOOKUP(ROWS($W$3:W285),$U$3:$V$992,2,0),"")</f>
        <v>Skladování</v>
      </c>
      <c r="X285">
        <f>IF(ISNUMBER(SEARCH('1Př1'!$A$35,N285)),MAX($M$2:M284)+1,0)</f>
        <v>283</v>
      </c>
      <c r="Y285" s="336" t="s">
        <v>1984</v>
      </c>
      <c r="Z285" t="str">
        <f>IFERROR(VLOOKUP(ROWS($Z$3:Z285),$X$3:$Y$992,2,0),"")</f>
        <v>Skladování</v>
      </c>
    </row>
    <row r="286" spans="13:26" ht="12.75">
      <c r="M286" s="335">
        <f>IF(ISNUMBER(SEARCH(ZAKL_DATA!$B$29,N286)),MAX($M$2:M285)+1,0)</f>
        <v>284</v>
      </c>
      <c r="N286" s="336" t="s">
        <v>1986</v>
      </c>
      <c r="O286" s="353" t="s">
        <v>1987</v>
      </c>
      <c r="P286" s="338"/>
      <c r="Q286" s="339" t="str">
        <f>IFERROR(VLOOKUP(ROWS($Q$3:Q286),$M$3:$N$992,2,0),"")</f>
        <v>Vedlejší činnosti v dopravě</v>
      </c>
      <c r="R286">
        <f>IF(ISNUMBER(SEARCH('1Př1'!$A$33,N286)),MAX($M$2:M285)+1,0)</f>
        <v>284</v>
      </c>
      <c r="S286" s="336" t="s">
        <v>1986</v>
      </c>
      <c r="T286" t="str">
        <f>IFERROR(VLOOKUP(ROWS($T$3:T286),$R$3:$S$992,2,0),"")</f>
        <v>Vedlejší činnosti v dopravě</v>
      </c>
      <c r="U286">
        <f>IF(ISNUMBER(SEARCH('1Př1'!$A$34,N286)),MAX($M$2:M285)+1,0)</f>
        <v>284</v>
      </c>
      <c r="V286" s="336" t="s">
        <v>1986</v>
      </c>
      <c r="W286" t="str">
        <f>IFERROR(VLOOKUP(ROWS($W$3:W286),$U$3:$V$992,2,0),"")</f>
        <v>Vedlejší činnosti v dopravě</v>
      </c>
      <c r="X286">
        <f>IF(ISNUMBER(SEARCH('1Př1'!$A$35,N286)),MAX($M$2:M285)+1,0)</f>
        <v>284</v>
      </c>
      <c r="Y286" s="336" t="s">
        <v>1986</v>
      </c>
      <c r="Z286" t="str">
        <f>IFERROR(VLOOKUP(ROWS($Z$3:Z286),$X$3:$Y$992,2,0),"")</f>
        <v>Vedlejší činnosti v dopravě</v>
      </c>
    </row>
    <row r="287" spans="13:26" ht="12.75">
      <c r="M287" s="335">
        <f>IF(ISNUMBER(SEARCH(ZAKL_DATA!$B$29,N287)),MAX($M$2:M286)+1,0)</f>
        <v>285</v>
      </c>
      <c r="N287" s="336" t="s">
        <v>1988</v>
      </c>
      <c r="O287" s="353" t="s">
        <v>1989</v>
      </c>
      <c r="P287" s="338"/>
      <c r="Q287" s="339" t="str">
        <f>IFERROR(VLOOKUP(ROWS($Q$3:Q287),$M$3:$N$992,2,0),"")</f>
        <v>Základní poštovní služby poskytované na základě poštovní licence</v>
      </c>
      <c r="R287">
        <f>IF(ISNUMBER(SEARCH('1Př1'!$A$33,N287)),MAX($M$2:M286)+1,0)</f>
        <v>285</v>
      </c>
      <c r="S287" s="336" t="s">
        <v>1988</v>
      </c>
      <c r="T287" t="str">
        <f>IFERROR(VLOOKUP(ROWS($T$3:T287),$R$3:$S$992,2,0),"")</f>
        <v>Základní poštovní služby poskytované na základě poštovní licence</v>
      </c>
      <c r="U287">
        <f>IF(ISNUMBER(SEARCH('1Př1'!$A$34,N287)),MAX($M$2:M286)+1,0)</f>
        <v>285</v>
      </c>
      <c r="V287" s="336" t="s">
        <v>1988</v>
      </c>
      <c r="W287" t="str">
        <f>IFERROR(VLOOKUP(ROWS($W$3:W287),$U$3:$V$992,2,0),"")</f>
        <v>Základní poštovní služby poskytované na základě poštovní licence</v>
      </c>
      <c r="X287">
        <f>IF(ISNUMBER(SEARCH('1Př1'!$A$35,N287)),MAX($M$2:M286)+1,0)</f>
        <v>285</v>
      </c>
      <c r="Y287" s="336" t="s">
        <v>1988</v>
      </c>
      <c r="Z287" t="str">
        <f>IFERROR(VLOOKUP(ROWS($Z$3:Z287),$X$3:$Y$992,2,0),"")</f>
        <v>Základní poštovní služby poskytované na základě poštovní licence</v>
      </c>
    </row>
    <row r="288" spans="13:26" ht="12.75">
      <c r="M288" s="335">
        <f>IF(ISNUMBER(SEARCH(ZAKL_DATA!$B$29,N288)),MAX($M$2:M287)+1,0)</f>
        <v>286</v>
      </c>
      <c r="N288" s="336" t="s">
        <v>1990</v>
      </c>
      <c r="O288" s="353" t="s">
        <v>1991</v>
      </c>
      <c r="P288" s="338"/>
      <c r="Q288" s="339" t="str">
        <f>IFERROR(VLOOKUP(ROWS($Q$3:Q288),$M$3:$N$992,2,0),"")</f>
        <v>Ostatní poštovní a kurýrní činnosti</v>
      </c>
      <c r="R288">
        <f>IF(ISNUMBER(SEARCH('1Př1'!$A$33,N288)),MAX($M$2:M287)+1,0)</f>
        <v>286</v>
      </c>
      <c r="S288" s="336" t="s">
        <v>1990</v>
      </c>
      <c r="T288" t="str">
        <f>IFERROR(VLOOKUP(ROWS($T$3:T288),$R$3:$S$992,2,0),"")</f>
        <v>Ostatní poštovní a kurýrní činnosti</v>
      </c>
      <c r="U288">
        <f>IF(ISNUMBER(SEARCH('1Př1'!$A$34,N288)),MAX($M$2:M287)+1,0)</f>
        <v>286</v>
      </c>
      <c r="V288" s="336" t="s">
        <v>1990</v>
      </c>
      <c r="W288" t="str">
        <f>IFERROR(VLOOKUP(ROWS($W$3:W288),$U$3:$V$992,2,0),"")</f>
        <v>Ostatní poštovní a kurýrní činnosti</v>
      </c>
      <c r="X288">
        <f>IF(ISNUMBER(SEARCH('1Př1'!$A$35,N288)),MAX($M$2:M287)+1,0)</f>
        <v>286</v>
      </c>
      <c r="Y288" s="336" t="s">
        <v>1990</v>
      </c>
      <c r="Z288" t="str">
        <f>IFERROR(VLOOKUP(ROWS($Z$3:Z288),$X$3:$Y$992,2,0),"")</f>
        <v>Ostatní poštovní a kurýrní činnosti</v>
      </c>
    </row>
    <row r="289" spans="13:26" ht="12.75">
      <c r="M289" s="335">
        <f>IF(ISNUMBER(SEARCH(ZAKL_DATA!$B$29,N289)),MAX($M$2:M288)+1,0)</f>
        <v>287</v>
      </c>
      <c r="N289" s="336" t="s">
        <v>1992</v>
      </c>
      <c r="O289" s="353" t="s">
        <v>1993</v>
      </c>
      <c r="P289" s="338"/>
      <c r="Q289" s="339" t="str">
        <f>IFERROR(VLOOKUP(ROWS($Q$3:Q289),$M$3:$N$992,2,0),"")</f>
        <v>Ubytování v hotelích a podobných ubytovacích zařízeních</v>
      </c>
      <c r="R289">
        <f>IF(ISNUMBER(SEARCH('1Př1'!$A$33,N289)),MAX($M$2:M288)+1,0)</f>
        <v>287</v>
      </c>
      <c r="S289" s="336" t="s">
        <v>1992</v>
      </c>
      <c r="T289" t="str">
        <f>IFERROR(VLOOKUP(ROWS($T$3:T289),$R$3:$S$992,2,0),"")</f>
        <v>Ubytování v hotelích a podobných ubytovacích zařízeních</v>
      </c>
      <c r="U289">
        <f>IF(ISNUMBER(SEARCH('1Př1'!$A$34,N289)),MAX($M$2:M288)+1,0)</f>
        <v>287</v>
      </c>
      <c r="V289" s="336" t="s">
        <v>1992</v>
      </c>
      <c r="W289" t="str">
        <f>IFERROR(VLOOKUP(ROWS($W$3:W289),$U$3:$V$992,2,0),"")</f>
        <v>Ubytování v hotelích a podobných ubytovacích zařízeních</v>
      </c>
      <c r="X289">
        <f>IF(ISNUMBER(SEARCH('1Př1'!$A$35,N289)),MAX($M$2:M288)+1,0)</f>
        <v>287</v>
      </c>
      <c r="Y289" s="336" t="s">
        <v>1992</v>
      </c>
      <c r="Z289" t="str">
        <f>IFERROR(VLOOKUP(ROWS($Z$3:Z289),$X$3:$Y$992,2,0),"")</f>
        <v>Ubytování v hotelích a podobných ubytovacích zařízeních</v>
      </c>
    </row>
    <row r="290" spans="13:26" ht="12.75">
      <c r="M290" s="335">
        <f>IF(ISNUMBER(SEARCH(ZAKL_DATA!$B$29,N290)),MAX($M$2:M289)+1,0)</f>
        <v>288</v>
      </c>
      <c r="N290" s="336" t="s">
        <v>1994</v>
      </c>
      <c r="O290" s="353" t="s">
        <v>1995</v>
      </c>
      <c r="P290" s="338"/>
      <c r="Q290" s="339" t="str">
        <f>IFERROR(VLOOKUP(ROWS($Q$3:Q290),$M$3:$N$992,2,0),"")</f>
        <v>Rekreační a ostatní krátkodobé ubytování</v>
      </c>
      <c r="R290">
        <f>IF(ISNUMBER(SEARCH('1Př1'!$A$33,N290)),MAX($M$2:M289)+1,0)</f>
        <v>288</v>
      </c>
      <c r="S290" s="336" t="s">
        <v>1994</v>
      </c>
      <c r="T290" t="str">
        <f>IFERROR(VLOOKUP(ROWS($T$3:T290),$R$3:$S$992,2,0),"")</f>
        <v>Rekreační a ostatní krátkodobé ubytování</v>
      </c>
      <c r="U290">
        <f>IF(ISNUMBER(SEARCH('1Př1'!$A$34,N290)),MAX($M$2:M289)+1,0)</f>
        <v>288</v>
      </c>
      <c r="V290" s="336" t="s">
        <v>1994</v>
      </c>
      <c r="W290" t="str">
        <f>IFERROR(VLOOKUP(ROWS($W$3:W290),$U$3:$V$992,2,0),"")</f>
        <v>Rekreační a ostatní krátkodobé ubytování</v>
      </c>
      <c r="X290">
        <f>IF(ISNUMBER(SEARCH('1Př1'!$A$35,N290)),MAX($M$2:M289)+1,0)</f>
        <v>288</v>
      </c>
      <c r="Y290" s="336" t="s">
        <v>1994</v>
      </c>
      <c r="Z290" t="str">
        <f>IFERROR(VLOOKUP(ROWS($Z$3:Z290),$X$3:$Y$992,2,0),"")</f>
        <v>Rekreační a ostatní krátkodobé ubytování</v>
      </c>
    </row>
    <row r="291" spans="13:26" ht="12.75">
      <c r="M291" s="335">
        <f>IF(ISNUMBER(SEARCH(ZAKL_DATA!$B$29,N291)),MAX($M$2:M290)+1,0)</f>
        <v>289</v>
      </c>
      <c r="N291" s="336" t="s">
        <v>1996</v>
      </c>
      <c r="O291" s="353" t="s">
        <v>1997</v>
      </c>
      <c r="P291" s="338"/>
      <c r="Q291" s="339" t="str">
        <f>IFERROR(VLOOKUP(ROWS($Q$3:Q291),$M$3:$N$992,2,0),"")</f>
        <v>Kempy a tábořiště</v>
      </c>
      <c r="R291">
        <f>IF(ISNUMBER(SEARCH('1Př1'!$A$33,N291)),MAX($M$2:M290)+1,0)</f>
        <v>289</v>
      </c>
      <c r="S291" s="336" t="s">
        <v>1996</v>
      </c>
      <c r="T291" t="str">
        <f>IFERROR(VLOOKUP(ROWS($T$3:T291),$R$3:$S$992,2,0),"")</f>
        <v>Kempy a tábořiště</v>
      </c>
      <c r="U291">
        <f>IF(ISNUMBER(SEARCH('1Př1'!$A$34,N291)),MAX($M$2:M290)+1,0)</f>
        <v>289</v>
      </c>
      <c r="V291" s="336" t="s">
        <v>1996</v>
      </c>
      <c r="W291" t="str">
        <f>IFERROR(VLOOKUP(ROWS($W$3:W291),$U$3:$V$992,2,0),"")</f>
        <v>Kempy a tábořiště</v>
      </c>
      <c r="X291">
        <f>IF(ISNUMBER(SEARCH('1Př1'!$A$35,N291)),MAX($M$2:M290)+1,0)</f>
        <v>289</v>
      </c>
      <c r="Y291" s="336" t="s">
        <v>1996</v>
      </c>
      <c r="Z291" t="str">
        <f>IFERROR(VLOOKUP(ROWS($Z$3:Z291),$X$3:$Y$992,2,0),"")</f>
        <v>Kempy a tábořiště</v>
      </c>
    </row>
    <row r="292" spans="13:26" ht="12.75">
      <c r="M292" s="335">
        <f>IF(ISNUMBER(SEARCH(ZAKL_DATA!$B$29,N292)),MAX($M$2:M291)+1,0)</f>
        <v>290</v>
      </c>
      <c r="N292" s="336" t="s">
        <v>1998</v>
      </c>
      <c r="O292" s="353" t="s">
        <v>1999</v>
      </c>
      <c r="P292" s="338"/>
      <c r="Q292" s="339" t="str">
        <f>IFERROR(VLOOKUP(ROWS($Q$3:Q292),$M$3:$N$992,2,0),"")</f>
        <v>Ostatní ubytování</v>
      </c>
      <c r="R292">
        <f>IF(ISNUMBER(SEARCH('1Př1'!$A$33,N292)),MAX($M$2:M291)+1,0)</f>
        <v>290</v>
      </c>
      <c r="S292" s="336" t="s">
        <v>1998</v>
      </c>
      <c r="T292" t="str">
        <f>IFERROR(VLOOKUP(ROWS($T$3:T292),$R$3:$S$992,2,0),"")</f>
        <v>Ostatní ubytování</v>
      </c>
      <c r="U292">
        <f>IF(ISNUMBER(SEARCH('1Př1'!$A$34,N292)),MAX($M$2:M291)+1,0)</f>
        <v>290</v>
      </c>
      <c r="V292" s="336" t="s">
        <v>1998</v>
      </c>
      <c r="W292" t="str">
        <f>IFERROR(VLOOKUP(ROWS($W$3:W292),$U$3:$V$992,2,0),"")</f>
        <v>Ostatní ubytování</v>
      </c>
      <c r="X292">
        <f>IF(ISNUMBER(SEARCH('1Př1'!$A$35,N292)),MAX($M$2:M291)+1,0)</f>
        <v>290</v>
      </c>
      <c r="Y292" s="336" t="s">
        <v>1998</v>
      </c>
      <c r="Z292" t="str">
        <f>IFERROR(VLOOKUP(ROWS($Z$3:Z292),$X$3:$Y$992,2,0),"")</f>
        <v>Ostatní ubytování</v>
      </c>
    </row>
    <row r="293" spans="13:26" ht="12.75">
      <c r="M293" s="335">
        <f>IF(ISNUMBER(SEARCH(ZAKL_DATA!$B$29,N293)),MAX($M$2:M292)+1,0)</f>
        <v>291</v>
      </c>
      <c r="N293" s="336" t="s">
        <v>2000</v>
      </c>
      <c r="O293" s="353" t="s">
        <v>2001</v>
      </c>
      <c r="P293" s="338"/>
      <c r="Q293" s="339" t="str">
        <f>IFERROR(VLOOKUP(ROWS($Q$3:Q293),$M$3:$N$992,2,0),"")</f>
        <v>Stravování v restauracích, u stánků a v mobilních zařízeních</v>
      </c>
      <c r="R293">
        <f>IF(ISNUMBER(SEARCH('1Př1'!$A$33,N293)),MAX($M$2:M292)+1,0)</f>
        <v>291</v>
      </c>
      <c r="S293" s="336" t="s">
        <v>2000</v>
      </c>
      <c r="T293" t="str">
        <f>IFERROR(VLOOKUP(ROWS($T$3:T293),$R$3:$S$992,2,0),"")</f>
        <v>Stravování v restauracích, u stánků a v mobilních zařízeních</v>
      </c>
      <c r="U293">
        <f>IF(ISNUMBER(SEARCH('1Př1'!$A$34,N293)),MAX($M$2:M292)+1,0)</f>
        <v>291</v>
      </c>
      <c r="V293" s="336" t="s">
        <v>2000</v>
      </c>
      <c r="W293" t="str">
        <f>IFERROR(VLOOKUP(ROWS($W$3:W293),$U$3:$V$992,2,0),"")</f>
        <v>Stravování v restauracích, u stánků a v mobilních zařízeních</v>
      </c>
      <c r="X293">
        <f>IF(ISNUMBER(SEARCH('1Př1'!$A$35,N293)),MAX($M$2:M292)+1,0)</f>
        <v>291</v>
      </c>
      <c r="Y293" s="336" t="s">
        <v>2000</v>
      </c>
      <c r="Z293" t="str">
        <f>IFERROR(VLOOKUP(ROWS($Z$3:Z293),$X$3:$Y$992,2,0),"")</f>
        <v>Stravování v restauracích, u stánků a v mobilních zařízeních</v>
      </c>
    </row>
    <row r="294" spans="13:26" ht="12.75">
      <c r="M294" s="335">
        <f>IF(ISNUMBER(SEARCH(ZAKL_DATA!$B$29,N294)),MAX($M$2:M293)+1,0)</f>
        <v>292</v>
      </c>
      <c r="N294" s="336" t="s">
        <v>2002</v>
      </c>
      <c r="O294" s="353" t="s">
        <v>2003</v>
      </c>
      <c r="P294" s="338"/>
      <c r="Q294" s="339" t="str">
        <f>IFERROR(VLOOKUP(ROWS($Q$3:Q294),$M$3:$N$992,2,0),"")</f>
        <v>Poskytování cateringových a ostatních stravovacích služeb</v>
      </c>
      <c r="R294">
        <f>IF(ISNUMBER(SEARCH('1Př1'!$A$33,N294)),MAX($M$2:M293)+1,0)</f>
        <v>292</v>
      </c>
      <c r="S294" s="336" t="s">
        <v>2002</v>
      </c>
      <c r="T294" t="str">
        <f>IFERROR(VLOOKUP(ROWS($T$3:T294),$R$3:$S$992,2,0),"")</f>
        <v>Poskytování cateringových a ostatních stravovacích služeb</v>
      </c>
      <c r="U294">
        <f>IF(ISNUMBER(SEARCH('1Př1'!$A$34,N294)),MAX($M$2:M293)+1,0)</f>
        <v>292</v>
      </c>
      <c r="V294" s="336" t="s">
        <v>2002</v>
      </c>
      <c r="W294" t="str">
        <f>IFERROR(VLOOKUP(ROWS($W$3:W294),$U$3:$V$992,2,0),"")</f>
        <v>Poskytování cateringových a ostatních stravovacích služeb</v>
      </c>
      <c r="X294">
        <f>IF(ISNUMBER(SEARCH('1Př1'!$A$35,N294)),MAX($M$2:M293)+1,0)</f>
        <v>292</v>
      </c>
      <c r="Y294" s="336" t="s">
        <v>2002</v>
      </c>
      <c r="Z294" t="str">
        <f>IFERROR(VLOOKUP(ROWS($Z$3:Z294),$X$3:$Y$992,2,0),"")</f>
        <v>Poskytování cateringových a ostatních stravovacích služeb</v>
      </c>
    </row>
    <row r="295" spans="13:26" ht="12.75">
      <c r="M295" s="335">
        <f>IF(ISNUMBER(SEARCH(ZAKL_DATA!$B$29,N295)),MAX($M$2:M294)+1,0)</f>
        <v>293</v>
      </c>
      <c r="N295" s="336" t="s">
        <v>2004</v>
      </c>
      <c r="O295" s="353" t="s">
        <v>2005</v>
      </c>
      <c r="P295" s="338"/>
      <c r="Q295" s="339" t="str">
        <f>IFERROR(VLOOKUP(ROWS($Q$3:Q295),$M$3:$N$992,2,0),"")</f>
        <v>Pohostinství</v>
      </c>
      <c r="R295">
        <f>IF(ISNUMBER(SEARCH('1Př1'!$A$33,N295)),MAX($M$2:M294)+1,0)</f>
        <v>293</v>
      </c>
      <c r="S295" s="336" t="s">
        <v>2004</v>
      </c>
      <c r="T295" t="str">
        <f>IFERROR(VLOOKUP(ROWS($T$3:T295),$R$3:$S$992,2,0),"")</f>
        <v>Pohostinství</v>
      </c>
      <c r="U295">
        <f>IF(ISNUMBER(SEARCH('1Př1'!$A$34,N295)),MAX($M$2:M294)+1,0)</f>
        <v>293</v>
      </c>
      <c r="V295" s="336" t="s">
        <v>2004</v>
      </c>
      <c r="W295" t="str">
        <f>IFERROR(VLOOKUP(ROWS($W$3:W295),$U$3:$V$992,2,0),"")</f>
        <v>Pohostinství</v>
      </c>
      <c r="X295">
        <f>IF(ISNUMBER(SEARCH('1Př1'!$A$35,N295)),MAX($M$2:M294)+1,0)</f>
        <v>293</v>
      </c>
      <c r="Y295" s="336" t="s">
        <v>2004</v>
      </c>
      <c r="Z295" t="str">
        <f>IFERROR(VLOOKUP(ROWS($Z$3:Z295),$X$3:$Y$992,2,0),"")</f>
        <v>Pohostinství</v>
      </c>
    </row>
    <row r="296" spans="13:26" ht="12.75">
      <c r="M296" s="335">
        <f>IF(ISNUMBER(SEARCH(ZAKL_DATA!$B$29,N296)),MAX($M$2:M295)+1,0)</f>
        <v>294</v>
      </c>
      <c r="N296" s="336" t="s">
        <v>2006</v>
      </c>
      <c r="O296" s="353" t="s">
        <v>2007</v>
      </c>
      <c r="P296" s="338"/>
      <c r="Q296" s="339" t="str">
        <f>IFERROR(VLOOKUP(ROWS($Q$3:Q296),$M$3:$N$992,2,0),"")</f>
        <v>Vydávání knih, periodických publikací a ostatní vydavatelské činnosti</v>
      </c>
      <c r="R296">
        <f>IF(ISNUMBER(SEARCH('1Př1'!$A$33,N296)),MAX($M$2:M295)+1,0)</f>
        <v>294</v>
      </c>
      <c r="S296" s="336" t="s">
        <v>2006</v>
      </c>
      <c r="T296" t="str">
        <f>IFERROR(VLOOKUP(ROWS($T$3:T296),$R$3:$S$992,2,0),"")</f>
        <v>Vydávání knih, periodických publikací a ostatní vydavatelské činnosti</v>
      </c>
      <c r="U296">
        <f>IF(ISNUMBER(SEARCH('1Př1'!$A$34,N296)),MAX($M$2:M295)+1,0)</f>
        <v>294</v>
      </c>
      <c r="V296" s="336" t="s">
        <v>2006</v>
      </c>
      <c r="W296" t="str">
        <f>IFERROR(VLOOKUP(ROWS($W$3:W296),$U$3:$V$992,2,0),"")</f>
        <v>Vydávání knih, periodických publikací a ostatní vydavatelské činnosti</v>
      </c>
      <c r="X296">
        <f>IF(ISNUMBER(SEARCH('1Př1'!$A$35,N296)),MAX($M$2:M295)+1,0)</f>
        <v>294</v>
      </c>
      <c r="Y296" s="336" t="s">
        <v>2006</v>
      </c>
      <c r="Z296" t="str">
        <f>IFERROR(VLOOKUP(ROWS($Z$3:Z296),$X$3:$Y$992,2,0),"")</f>
        <v>Vydávání knih, periodických publikací a ostatní vydavatelské činnosti</v>
      </c>
    </row>
    <row r="297" spans="13:26" ht="12.75">
      <c r="M297" s="335">
        <f>IF(ISNUMBER(SEARCH(ZAKL_DATA!$B$29,N297)),MAX($M$2:M296)+1,0)</f>
        <v>295</v>
      </c>
      <c r="N297" s="336" t="s">
        <v>2008</v>
      </c>
      <c r="O297" s="353" t="s">
        <v>2009</v>
      </c>
      <c r="P297" s="338"/>
      <c r="Q297" s="339" t="str">
        <f>IFERROR(VLOOKUP(ROWS($Q$3:Q297),$M$3:$N$992,2,0),"")</f>
        <v>Vydávání softwaru</v>
      </c>
      <c r="R297">
        <f>IF(ISNUMBER(SEARCH('1Př1'!$A$33,N297)),MAX($M$2:M296)+1,0)</f>
        <v>295</v>
      </c>
      <c r="S297" s="336" t="s">
        <v>2008</v>
      </c>
      <c r="T297" t="str">
        <f>IFERROR(VLOOKUP(ROWS($T$3:T297),$R$3:$S$992,2,0),"")</f>
        <v>Vydávání softwaru</v>
      </c>
      <c r="U297">
        <f>IF(ISNUMBER(SEARCH('1Př1'!$A$34,N297)),MAX($M$2:M296)+1,0)</f>
        <v>295</v>
      </c>
      <c r="V297" s="336" t="s">
        <v>2008</v>
      </c>
      <c r="W297" t="str">
        <f>IFERROR(VLOOKUP(ROWS($W$3:W297),$U$3:$V$992,2,0),"")</f>
        <v>Vydávání softwaru</v>
      </c>
      <c r="X297">
        <f>IF(ISNUMBER(SEARCH('1Př1'!$A$35,N297)),MAX($M$2:M296)+1,0)</f>
        <v>295</v>
      </c>
      <c r="Y297" s="336" t="s">
        <v>2008</v>
      </c>
      <c r="Z297" t="str">
        <f>IFERROR(VLOOKUP(ROWS($Z$3:Z297),$X$3:$Y$992,2,0),"")</f>
        <v>Vydávání softwaru</v>
      </c>
    </row>
    <row r="298" spans="13:26" ht="12.75">
      <c r="M298" s="335">
        <f>IF(ISNUMBER(SEARCH(ZAKL_DATA!$B$29,N298)),MAX($M$2:M297)+1,0)</f>
        <v>296</v>
      </c>
      <c r="N298" s="336" t="s">
        <v>2010</v>
      </c>
      <c r="O298" s="353" t="s">
        <v>2011</v>
      </c>
      <c r="P298" s="338"/>
      <c r="Q298" s="339" t="str">
        <f>IFERROR(VLOOKUP(ROWS($Q$3:Q298),$M$3:$N$992,2,0),"")</f>
        <v>Činnosti v oblasti filmů, videozáznamů a televizních programů</v>
      </c>
      <c r="R298">
        <f>IF(ISNUMBER(SEARCH('1Př1'!$A$33,N298)),MAX($M$2:M297)+1,0)</f>
        <v>296</v>
      </c>
      <c r="S298" s="336" t="s">
        <v>2010</v>
      </c>
      <c r="T298" t="str">
        <f>IFERROR(VLOOKUP(ROWS($T$3:T298),$R$3:$S$992,2,0),"")</f>
        <v>Činnosti v oblasti filmů, videozáznamů a televizních programů</v>
      </c>
      <c r="U298">
        <f>IF(ISNUMBER(SEARCH('1Př1'!$A$34,N298)),MAX($M$2:M297)+1,0)</f>
        <v>296</v>
      </c>
      <c r="V298" s="336" t="s">
        <v>2010</v>
      </c>
      <c r="W298" t="str">
        <f>IFERROR(VLOOKUP(ROWS($W$3:W298),$U$3:$V$992,2,0),"")</f>
        <v>Činnosti v oblasti filmů, videozáznamů a televizních programů</v>
      </c>
      <c r="X298">
        <f>IF(ISNUMBER(SEARCH('1Př1'!$A$35,N298)),MAX($M$2:M297)+1,0)</f>
        <v>296</v>
      </c>
      <c r="Y298" s="336" t="s">
        <v>2010</v>
      </c>
      <c r="Z298" t="str">
        <f>IFERROR(VLOOKUP(ROWS($Z$3:Z298),$X$3:$Y$992,2,0),"")</f>
        <v>Činnosti v oblasti filmů, videozáznamů a televizních programů</v>
      </c>
    </row>
    <row r="299" spans="13:26" ht="12.75">
      <c r="M299" s="335">
        <f>IF(ISNUMBER(SEARCH(ZAKL_DATA!$B$29,N299)),MAX($M$2:M298)+1,0)</f>
        <v>297</v>
      </c>
      <c r="N299" s="336" t="s">
        <v>2012</v>
      </c>
      <c r="O299" s="353" t="s">
        <v>2013</v>
      </c>
      <c r="P299" s="338"/>
      <c r="Q299" s="339" t="str">
        <f>IFERROR(VLOOKUP(ROWS($Q$3:Q299),$M$3:$N$992,2,0),"")</f>
        <v>Pořizování zvukových nahrávek a hudební vydavatelské činnosti</v>
      </c>
      <c r="R299">
        <f>IF(ISNUMBER(SEARCH('1Př1'!$A$33,N299)),MAX($M$2:M298)+1,0)</f>
        <v>297</v>
      </c>
      <c r="S299" s="336" t="s">
        <v>2012</v>
      </c>
      <c r="T299" t="str">
        <f>IFERROR(VLOOKUP(ROWS($T$3:T299),$R$3:$S$992,2,0),"")</f>
        <v>Pořizování zvukových nahrávek a hudební vydavatelské činnosti</v>
      </c>
      <c r="U299">
        <f>IF(ISNUMBER(SEARCH('1Př1'!$A$34,N299)),MAX($M$2:M298)+1,0)</f>
        <v>297</v>
      </c>
      <c r="V299" s="336" t="s">
        <v>2012</v>
      </c>
      <c r="W299" t="str">
        <f>IFERROR(VLOOKUP(ROWS($W$3:W299),$U$3:$V$992,2,0),"")</f>
        <v>Pořizování zvukových nahrávek a hudební vydavatelské činnosti</v>
      </c>
      <c r="X299">
        <f>IF(ISNUMBER(SEARCH('1Př1'!$A$35,N299)),MAX($M$2:M298)+1,0)</f>
        <v>297</v>
      </c>
      <c r="Y299" s="336" t="s">
        <v>2012</v>
      </c>
      <c r="Z299" t="str">
        <f>IFERROR(VLOOKUP(ROWS($Z$3:Z299),$X$3:$Y$992,2,0),"")</f>
        <v>Pořizování zvukových nahrávek a hudební vydavatelské činnosti</v>
      </c>
    </row>
    <row r="300" spans="13:26" ht="12.75">
      <c r="M300" s="335">
        <f>IF(ISNUMBER(SEARCH(ZAKL_DATA!$B$29,N300)),MAX($M$2:M299)+1,0)</f>
        <v>298</v>
      </c>
      <c r="N300" s="336" t="s">
        <v>2014</v>
      </c>
      <c r="O300" s="353" t="s">
        <v>2015</v>
      </c>
      <c r="P300" s="338"/>
      <c r="Q300" s="339" t="str">
        <f>IFERROR(VLOOKUP(ROWS($Q$3:Q300),$M$3:$N$992,2,0),"")</f>
        <v>Rozhlasové vysílání</v>
      </c>
      <c r="R300">
        <f>IF(ISNUMBER(SEARCH('1Př1'!$A$33,N300)),MAX($M$2:M299)+1,0)</f>
        <v>298</v>
      </c>
      <c r="S300" s="336" t="s">
        <v>2014</v>
      </c>
      <c r="T300" t="str">
        <f>IFERROR(VLOOKUP(ROWS($T$3:T300),$R$3:$S$992,2,0),"")</f>
        <v>Rozhlasové vysílání</v>
      </c>
      <c r="U300">
        <f>IF(ISNUMBER(SEARCH('1Př1'!$A$34,N300)),MAX($M$2:M299)+1,0)</f>
        <v>298</v>
      </c>
      <c r="V300" s="336" t="s">
        <v>2014</v>
      </c>
      <c r="W300" t="str">
        <f>IFERROR(VLOOKUP(ROWS($W$3:W300),$U$3:$V$992,2,0),"")</f>
        <v>Rozhlasové vysílání</v>
      </c>
      <c r="X300">
        <f>IF(ISNUMBER(SEARCH('1Př1'!$A$35,N300)),MAX($M$2:M299)+1,0)</f>
        <v>298</v>
      </c>
      <c r="Y300" s="336" t="s">
        <v>2014</v>
      </c>
      <c r="Z300" t="str">
        <f>IFERROR(VLOOKUP(ROWS($Z$3:Z300),$X$3:$Y$992,2,0),"")</f>
        <v>Rozhlasové vysílání</v>
      </c>
    </row>
    <row r="301" spans="13:26" ht="12.75">
      <c r="M301" s="335">
        <f>IF(ISNUMBER(SEARCH(ZAKL_DATA!$B$29,N301)),MAX($M$2:M300)+1,0)</f>
        <v>299</v>
      </c>
      <c r="N301" s="336" t="s">
        <v>2016</v>
      </c>
      <c r="O301" s="353" t="s">
        <v>2017</v>
      </c>
      <c r="P301" s="338"/>
      <c r="Q301" s="339" t="str">
        <f>IFERROR(VLOOKUP(ROWS($Q$3:Q301),$M$3:$N$992,2,0),"")</f>
        <v>Tvorba televizních programů a televizní vysílání</v>
      </c>
      <c r="R301">
        <f>IF(ISNUMBER(SEARCH('1Př1'!$A$33,N301)),MAX($M$2:M300)+1,0)</f>
        <v>299</v>
      </c>
      <c r="S301" s="336" t="s">
        <v>2016</v>
      </c>
      <c r="T301" t="str">
        <f>IFERROR(VLOOKUP(ROWS($T$3:T301),$R$3:$S$992,2,0),"")</f>
        <v>Tvorba televizních programů a televizní vysílání</v>
      </c>
      <c r="U301">
        <f>IF(ISNUMBER(SEARCH('1Př1'!$A$34,N301)),MAX($M$2:M300)+1,0)</f>
        <v>299</v>
      </c>
      <c r="V301" s="336" t="s">
        <v>2016</v>
      </c>
      <c r="W301" t="str">
        <f>IFERROR(VLOOKUP(ROWS($W$3:W301),$U$3:$V$992,2,0),"")</f>
        <v>Tvorba televizních programů a televizní vysílání</v>
      </c>
      <c r="X301">
        <f>IF(ISNUMBER(SEARCH('1Př1'!$A$35,N301)),MAX($M$2:M300)+1,0)</f>
        <v>299</v>
      </c>
      <c r="Y301" s="336" t="s">
        <v>2016</v>
      </c>
      <c r="Z301" t="str">
        <f>IFERROR(VLOOKUP(ROWS($Z$3:Z301),$X$3:$Y$992,2,0),"")</f>
        <v>Tvorba televizních programů a televizní vysílání</v>
      </c>
    </row>
    <row r="302" spans="13:26" ht="12.75">
      <c r="M302" s="335">
        <f>IF(ISNUMBER(SEARCH(ZAKL_DATA!$B$29,N302)),MAX($M$2:M301)+1,0)</f>
        <v>300</v>
      </c>
      <c r="N302" s="336" t="s">
        <v>2018</v>
      </c>
      <c r="O302" s="353" t="s">
        <v>2019</v>
      </c>
      <c r="P302" s="338"/>
      <c r="Q302" s="339" t="str">
        <f>IFERROR(VLOOKUP(ROWS($Q$3:Q302),$M$3:$N$992,2,0),"")</f>
        <v>Činnosti související s pevnou telekomunikační sítí</v>
      </c>
      <c r="R302">
        <f>IF(ISNUMBER(SEARCH('1Př1'!$A$33,N302)),MAX($M$2:M301)+1,0)</f>
        <v>300</v>
      </c>
      <c r="S302" s="336" t="s">
        <v>2018</v>
      </c>
      <c r="T302" t="str">
        <f>IFERROR(VLOOKUP(ROWS($T$3:T302),$R$3:$S$992,2,0),"")</f>
        <v>Činnosti související s pevnou telekomunikační sítí</v>
      </c>
      <c r="U302">
        <f>IF(ISNUMBER(SEARCH('1Př1'!$A$34,N302)),MAX($M$2:M301)+1,0)</f>
        <v>300</v>
      </c>
      <c r="V302" s="336" t="s">
        <v>2018</v>
      </c>
      <c r="W302" t="str">
        <f>IFERROR(VLOOKUP(ROWS($W$3:W302),$U$3:$V$992,2,0),"")</f>
        <v>Činnosti související s pevnou telekomunikační sítí</v>
      </c>
      <c r="X302">
        <f>IF(ISNUMBER(SEARCH('1Př1'!$A$35,N302)),MAX($M$2:M301)+1,0)</f>
        <v>300</v>
      </c>
      <c r="Y302" s="336" t="s">
        <v>2018</v>
      </c>
      <c r="Z302" t="str">
        <f>IFERROR(VLOOKUP(ROWS($Z$3:Z302),$X$3:$Y$992,2,0),"")</f>
        <v>Činnosti související s pevnou telekomunikační sítí</v>
      </c>
    </row>
    <row r="303" spans="13:26" ht="12.75">
      <c r="M303" s="335">
        <f>IF(ISNUMBER(SEARCH(ZAKL_DATA!$B$29,N303)),MAX($M$2:M302)+1,0)</f>
        <v>301</v>
      </c>
      <c r="N303" s="336" t="s">
        <v>2020</v>
      </c>
      <c r="O303" s="353" t="s">
        <v>2021</v>
      </c>
      <c r="P303" s="338"/>
      <c r="Q303" s="339" t="str">
        <f>IFERROR(VLOOKUP(ROWS($Q$3:Q303),$M$3:$N$992,2,0),"")</f>
        <v>Činnosti související s bezdrátovou telekomunikační sítí</v>
      </c>
      <c r="R303">
        <f>IF(ISNUMBER(SEARCH('1Př1'!$A$33,N303)),MAX($M$2:M302)+1,0)</f>
        <v>301</v>
      </c>
      <c r="S303" s="336" t="s">
        <v>2020</v>
      </c>
      <c r="T303" t="str">
        <f>IFERROR(VLOOKUP(ROWS($T$3:T303),$R$3:$S$992,2,0),"")</f>
        <v>Činnosti související s bezdrátovou telekomunikační sítí</v>
      </c>
      <c r="U303">
        <f>IF(ISNUMBER(SEARCH('1Př1'!$A$34,N303)),MAX($M$2:M302)+1,0)</f>
        <v>301</v>
      </c>
      <c r="V303" s="336" t="s">
        <v>2020</v>
      </c>
      <c r="W303" t="str">
        <f>IFERROR(VLOOKUP(ROWS($W$3:W303),$U$3:$V$992,2,0),"")</f>
        <v>Činnosti související s bezdrátovou telekomunikační sítí</v>
      </c>
      <c r="X303">
        <f>IF(ISNUMBER(SEARCH('1Př1'!$A$35,N303)),MAX($M$2:M302)+1,0)</f>
        <v>301</v>
      </c>
      <c r="Y303" s="336" t="s">
        <v>2020</v>
      </c>
      <c r="Z303" t="str">
        <f>IFERROR(VLOOKUP(ROWS($Z$3:Z303),$X$3:$Y$992,2,0),"")</f>
        <v>Činnosti související s bezdrátovou telekomunikační sítí</v>
      </c>
    </row>
    <row r="304" spans="13:26" ht="12.75">
      <c r="M304" s="335">
        <f>IF(ISNUMBER(SEARCH(ZAKL_DATA!$B$29,N304)),MAX($M$2:M303)+1,0)</f>
        <v>302</v>
      </c>
      <c r="N304" s="336" t="s">
        <v>2022</v>
      </c>
      <c r="O304" s="353" t="s">
        <v>2023</v>
      </c>
      <c r="P304" s="338"/>
      <c r="Q304" s="339" t="str">
        <f>IFERROR(VLOOKUP(ROWS($Q$3:Q304),$M$3:$N$992,2,0),"")</f>
        <v>Činnosti související se satelitní telekomunikační sítí</v>
      </c>
      <c r="R304">
        <f>IF(ISNUMBER(SEARCH('1Př1'!$A$33,N304)),MAX($M$2:M303)+1,0)</f>
        <v>302</v>
      </c>
      <c r="S304" s="336" t="s">
        <v>2022</v>
      </c>
      <c r="T304" t="str">
        <f>IFERROR(VLOOKUP(ROWS($T$3:T304),$R$3:$S$992,2,0),"")</f>
        <v>Činnosti související se satelitní telekomunikační sítí</v>
      </c>
      <c r="U304">
        <f>IF(ISNUMBER(SEARCH('1Př1'!$A$34,N304)),MAX($M$2:M303)+1,0)</f>
        <v>302</v>
      </c>
      <c r="V304" s="336" t="s">
        <v>2022</v>
      </c>
      <c r="W304" t="str">
        <f>IFERROR(VLOOKUP(ROWS($W$3:W304),$U$3:$V$992,2,0),"")</f>
        <v>Činnosti související se satelitní telekomunikační sítí</v>
      </c>
      <c r="X304">
        <f>IF(ISNUMBER(SEARCH('1Př1'!$A$35,N304)),MAX($M$2:M303)+1,0)</f>
        <v>302</v>
      </c>
      <c r="Y304" s="336" t="s">
        <v>2022</v>
      </c>
      <c r="Z304" t="str">
        <f>IFERROR(VLOOKUP(ROWS($Z$3:Z304),$X$3:$Y$992,2,0),"")</f>
        <v>Činnosti související se satelitní telekomunikační sítí</v>
      </c>
    </row>
    <row r="305" spans="13:26" ht="12.75">
      <c r="M305" s="335">
        <f>IF(ISNUMBER(SEARCH(ZAKL_DATA!$B$29,N305)),MAX($M$2:M304)+1,0)</f>
        <v>303</v>
      </c>
      <c r="N305" s="336" t="s">
        <v>2024</v>
      </c>
      <c r="O305" s="353" t="s">
        <v>2025</v>
      </c>
      <c r="P305" s="338"/>
      <c r="Q305" s="339" t="str">
        <f>IFERROR(VLOOKUP(ROWS($Q$3:Q305),$M$3:$N$992,2,0),"")</f>
        <v>Ostatní telekomunikační činnosti</v>
      </c>
      <c r="R305">
        <f>IF(ISNUMBER(SEARCH('1Př1'!$A$33,N305)),MAX($M$2:M304)+1,0)</f>
        <v>303</v>
      </c>
      <c r="S305" s="336" t="s">
        <v>2024</v>
      </c>
      <c r="T305" t="str">
        <f>IFERROR(VLOOKUP(ROWS($T$3:T305),$R$3:$S$992,2,0),"")</f>
        <v>Ostatní telekomunikační činnosti</v>
      </c>
      <c r="U305">
        <f>IF(ISNUMBER(SEARCH('1Př1'!$A$34,N305)),MAX($M$2:M304)+1,0)</f>
        <v>303</v>
      </c>
      <c r="V305" s="336" t="s">
        <v>2024</v>
      </c>
      <c r="W305" t="str">
        <f>IFERROR(VLOOKUP(ROWS($W$3:W305),$U$3:$V$992,2,0),"")</f>
        <v>Ostatní telekomunikační činnosti</v>
      </c>
      <c r="X305">
        <f>IF(ISNUMBER(SEARCH('1Př1'!$A$35,N305)),MAX($M$2:M304)+1,0)</f>
        <v>303</v>
      </c>
      <c r="Y305" s="336" t="s">
        <v>2024</v>
      </c>
      <c r="Z305" t="str">
        <f>IFERROR(VLOOKUP(ROWS($Z$3:Z305),$X$3:$Y$992,2,0),"")</f>
        <v>Ostatní telekomunikační činnosti</v>
      </c>
    </row>
    <row r="306" spans="13:26" ht="12.75">
      <c r="M306" s="335">
        <f>IF(ISNUMBER(SEARCH(ZAKL_DATA!$B$29,N306)),MAX($M$2:M305)+1,0)</f>
        <v>304</v>
      </c>
      <c r="N306" s="336" t="s">
        <v>2026</v>
      </c>
      <c r="O306" s="353" t="s">
        <v>2027</v>
      </c>
      <c r="P306" s="338"/>
      <c r="Q306" s="339" t="str">
        <f>IFERROR(VLOOKUP(ROWS($Q$3:Q306),$M$3:$N$992,2,0),"")</f>
        <v>Činnosti souvis.se zprac.dat a hostingem;činnosti souvis.s web.portály</v>
      </c>
      <c r="R306">
        <f>IF(ISNUMBER(SEARCH('1Př1'!$A$33,N306)),MAX($M$2:M305)+1,0)</f>
        <v>304</v>
      </c>
      <c r="S306" s="336" t="s">
        <v>2026</v>
      </c>
      <c r="T306" t="str">
        <f>IFERROR(VLOOKUP(ROWS($T$3:T306),$R$3:$S$992,2,0),"")</f>
        <v>Činnosti souvis.se zprac.dat a hostingem;činnosti souvis.s web.portály</v>
      </c>
      <c r="U306">
        <f>IF(ISNUMBER(SEARCH('1Př1'!$A$34,N306)),MAX($M$2:M305)+1,0)</f>
        <v>304</v>
      </c>
      <c r="V306" s="336" t="s">
        <v>2026</v>
      </c>
      <c r="W306" t="str">
        <f>IFERROR(VLOOKUP(ROWS($W$3:W306),$U$3:$V$992,2,0),"")</f>
        <v>Činnosti souvis.se zprac.dat a hostingem;činnosti souvis.s web.portály</v>
      </c>
      <c r="X306">
        <f>IF(ISNUMBER(SEARCH('1Př1'!$A$35,N306)),MAX($M$2:M305)+1,0)</f>
        <v>304</v>
      </c>
      <c r="Y306" s="336" t="s">
        <v>2026</v>
      </c>
      <c r="Z306" t="str">
        <f>IFERROR(VLOOKUP(ROWS($Z$3:Z306),$X$3:$Y$992,2,0),"")</f>
        <v>Činnosti souvis.se zprac.dat a hostingem;činnosti souvis.s web.portály</v>
      </c>
    </row>
    <row r="307" spans="13:26" ht="12.75">
      <c r="M307" s="335">
        <f>IF(ISNUMBER(SEARCH(ZAKL_DATA!$B$29,N307)),MAX($M$2:M306)+1,0)</f>
        <v>305</v>
      </c>
      <c r="N307" s="336" t="s">
        <v>2028</v>
      </c>
      <c r="O307" s="353" t="s">
        <v>2029</v>
      </c>
      <c r="P307" s="338"/>
      <c r="Q307" s="339" t="str">
        <f>IFERROR(VLOOKUP(ROWS($Q$3:Q307),$M$3:$N$992,2,0),"")</f>
        <v>Ostatní informační činnosti</v>
      </c>
      <c r="R307">
        <f>IF(ISNUMBER(SEARCH('1Př1'!$A$33,N307)),MAX($M$2:M306)+1,0)</f>
        <v>305</v>
      </c>
      <c r="S307" s="336" t="s">
        <v>2028</v>
      </c>
      <c r="T307" t="str">
        <f>IFERROR(VLOOKUP(ROWS($T$3:T307),$R$3:$S$992,2,0),"")</f>
        <v>Ostatní informační činnosti</v>
      </c>
      <c r="U307">
        <f>IF(ISNUMBER(SEARCH('1Př1'!$A$34,N307)),MAX($M$2:M306)+1,0)</f>
        <v>305</v>
      </c>
      <c r="V307" s="336" t="s">
        <v>2028</v>
      </c>
      <c r="W307" t="str">
        <f>IFERROR(VLOOKUP(ROWS($W$3:W307),$U$3:$V$992,2,0),"")</f>
        <v>Ostatní informační činnosti</v>
      </c>
      <c r="X307">
        <f>IF(ISNUMBER(SEARCH('1Př1'!$A$35,N307)),MAX($M$2:M306)+1,0)</f>
        <v>305</v>
      </c>
      <c r="Y307" s="336" t="s">
        <v>2028</v>
      </c>
      <c r="Z307" t="str">
        <f>IFERROR(VLOOKUP(ROWS($Z$3:Z307),$X$3:$Y$992,2,0),"")</f>
        <v>Ostatní informační činnosti</v>
      </c>
    </row>
    <row r="308" spans="13:26" ht="12.75">
      <c r="M308" s="335">
        <f>IF(ISNUMBER(SEARCH(ZAKL_DATA!$B$29,N308)),MAX($M$2:M307)+1,0)</f>
        <v>306</v>
      </c>
      <c r="N308" s="336" t="s">
        <v>2030</v>
      </c>
      <c r="O308" s="353" t="s">
        <v>2031</v>
      </c>
      <c r="P308" s="338"/>
      <c r="Q308" s="339" t="str">
        <f>IFERROR(VLOOKUP(ROWS($Q$3:Q308),$M$3:$N$992,2,0),"")</f>
        <v>Peněžní zprostředkování</v>
      </c>
      <c r="R308">
        <f>IF(ISNUMBER(SEARCH('1Př1'!$A$33,N308)),MAX($M$2:M307)+1,0)</f>
        <v>306</v>
      </c>
      <c r="S308" s="336" t="s">
        <v>2030</v>
      </c>
      <c r="T308" t="str">
        <f>IFERROR(VLOOKUP(ROWS($T$3:T308),$R$3:$S$992,2,0),"")</f>
        <v>Peněžní zprostředkování</v>
      </c>
      <c r="U308">
        <f>IF(ISNUMBER(SEARCH('1Př1'!$A$34,N308)),MAX($M$2:M307)+1,0)</f>
        <v>306</v>
      </c>
      <c r="V308" s="336" t="s">
        <v>2030</v>
      </c>
      <c r="W308" t="str">
        <f>IFERROR(VLOOKUP(ROWS($W$3:W308),$U$3:$V$992,2,0),"")</f>
        <v>Peněžní zprostředkování</v>
      </c>
      <c r="X308">
        <f>IF(ISNUMBER(SEARCH('1Př1'!$A$35,N308)),MAX($M$2:M307)+1,0)</f>
        <v>306</v>
      </c>
      <c r="Y308" s="336" t="s">
        <v>2030</v>
      </c>
      <c r="Z308" t="str">
        <f>IFERROR(VLOOKUP(ROWS($Z$3:Z308),$X$3:$Y$992,2,0),"")</f>
        <v>Peněžní zprostředkování</v>
      </c>
    </row>
    <row r="309" spans="13:26" ht="12.75">
      <c r="M309" s="335">
        <f>IF(ISNUMBER(SEARCH(ZAKL_DATA!$B$29,N309)),MAX($M$2:M308)+1,0)</f>
        <v>307</v>
      </c>
      <c r="N309" s="336" t="s">
        <v>2032</v>
      </c>
      <c r="O309" s="353" t="s">
        <v>2033</v>
      </c>
      <c r="P309" s="338"/>
      <c r="Q309" s="339" t="str">
        <f>IFERROR(VLOOKUP(ROWS($Q$3:Q309),$M$3:$N$992,2,0),"")</f>
        <v>Činnosti holdingových společností</v>
      </c>
      <c r="R309">
        <f>IF(ISNUMBER(SEARCH('1Př1'!$A$33,N309)),MAX($M$2:M308)+1,0)</f>
        <v>307</v>
      </c>
      <c r="S309" s="336" t="s">
        <v>2032</v>
      </c>
      <c r="T309" t="str">
        <f>IFERROR(VLOOKUP(ROWS($T$3:T309),$R$3:$S$992,2,0),"")</f>
        <v>Činnosti holdingových společností</v>
      </c>
      <c r="U309">
        <f>IF(ISNUMBER(SEARCH('1Př1'!$A$34,N309)),MAX($M$2:M308)+1,0)</f>
        <v>307</v>
      </c>
      <c r="V309" s="336" t="s">
        <v>2032</v>
      </c>
      <c r="W309" t="str">
        <f>IFERROR(VLOOKUP(ROWS($W$3:W309),$U$3:$V$992,2,0),"")</f>
        <v>Činnosti holdingových společností</v>
      </c>
      <c r="X309">
        <f>IF(ISNUMBER(SEARCH('1Př1'!$A$35,N309)),MAX($M$2:M308)+1,0)</f>
        <v>307</v>
      </c>
      <c r="Y309" s="336" t="s">
        <v>2032</v>
      </c>
      <c r="Z309" t="str">
        <f>IFERROR(VLOOKUP(ROWS($Z$3:Z309),$X$3:$Y$992,2,0),"")</f>
        <v>Činnosti holdingových společností</v>
      </c>
    </row>
    <row r="310" spans="13:26" ht="12.75">
      <c r="M310" s="335">
        <f>IF(ISNUMBER(SEARCH(ZAKL_DATA!$B$29,N310)),MAX($M$2:M309)+1,0)</f>
        <v>308</v>
      </c>
      <c r="N310" s="336" t="s">
        <v>2034</v>
      </c>
      <c r="O310" s="353" t="s">
        <v>2035</v>
      </c>
      <c r="P310" s="338"/>
      <c r="Q310" s="339" t="str">
        <f>IFERROR(VLOOKUP(ROWS($Q$3:Q310),$M$3:$N$992,2,0),"")</f>
        <v>Činnosti trustů, fondů a podobných finančních subjektů</v>
      </c>
      <c r="R310">
        <f>IF(ISNUMBER(SEARCH('1Př1'!$A$33,N310)),MAX($M$2:M309)+1,0)</f>
        <v>308</v>
      </c>
      <c r="S310" s="336" t="s">
        <v>2034</v>
      </c>
      <c r="T310" t="str">
        <f>IFERROR(VLOOKUP(ROWS($T$3:T310),$R$3:$S$992,2,0),"")</f>
        <v>Činnosti trustů, fondů a podobných finančních subjektů</v>
      </c>
      <c r="U310">
        <f>IF(ISNUMBER(SEARCH('1Př1'!$A$34,N310)),MAX($M$2:M309)+1,0)</f>
        <v>308</v>
      </c>
      <c r="V310" s="336" t="s">
        <v>2034</v>
      </c>
      <c r="W310" t="str">
        <f>IFERROR(VLOOKUP(ROWS($W$3:W310),$U$3:$V$992,2,0),"")</f>
        <v>Činnosti trustů, fondů a podobných finančních subjektů</v>
      </c>
      <c r="X310">
        <f>IF(ISNUMBER(SEARCH('1Př1'!$A$35,N310)),MAX($M$2:M309)+1,0)</f>
        <v>308</v>
      </c>
      <c r="Y310" s="336" t="s">
        <v>2034</v>
      </c>
      <c r="Z310" t="str">
        <f>IFERROR(VLOOKUP(ROWS($Z$3:Z310),$X$3:$Y$992,2,0),"")</f>
        <v>Činnosti trustů, fondů a podobných finančních subjektů</v>
      </c>
    </row>
    <row r="311" spans="13:26" ht="12.75">
      <c r="M311" s="335">
        <f>IF(ISNUMBER(SEARCH(ZAKL_DATA!$B$29,N311)),MAX($M$2:M310)+1,0)</f>
        <v>309</v>
      </c>
      <c r="N311" s="336" t="s">
        <v>2036</v>
      </c>
      <c r="O311" s="353" t="s">
        <v>2037</v>
      </c>
      <c r="P311" s="338"/>
      <c r="Q311" s="339" t="str">
        <f>IFERROR(VLOOKUP(ROWS($Q$3:Q311),$M$3:$N$992,2,0),"")</f>
        <v>Ostatní finanční zprostředkování</v>
      </c>
      <c r="R311">
        <f>IF(ISNUMBER(SEARCH('1Př1'!$A$33,N311)),MAX($M$2:M310)+1,0)</f>
        <v>309</v>
      </c>
      <c r="S311" s="336" t="s">
        <v>2036</v>
      </c>
      <c r="T311" t="str">
        <f>IFERROR(VLOOKUP(ROWS($T$3:T311),$R$3:$S$992,2,0),"")</f>
        <v>Ostatní finanční zprostředkování</v>
      </c>
      <c r="U311">
        <f>IF(ISNUMBER(SEARCH('1Př1'!$A$34,N311)),MAX($M$2:M310)+1,0)</f>
        <v>309</v>
      </c>
      <c r="V311" s="336" t="s">
        <v>2036</v>
      </c>
      <c r="W311" t="str">
        <f>IFERROR(VLOOKUP(ROWS($W$3:W311),$U$3:$V$992,2,0),"")</f>
        <v>Ostatní finanční zprostředkování</v>
      </c>
      <c r="X311">
        <f>IF(ISNUMBER(SEARCH('1Př1'!$A$35,N311)),MAX($M$2:M310)+1,0)</f>
        <v>309</v>
      </c>
      <c r="Y311" s="336" t="s">
        <v>2036</v>
      </c>
      <c r="Z311" t="str">
        <f>IFERROR(VLOOKUP(ROWS($Z$3:Z311),$X$3:$Y$992,2,0),"")</f>
        <v>Ostatní finanční zprostředkování</v>
      </c>
    </row>
    <row r="312" spans="13:26" ht="12.75">
      <c r="M312" s="335">
        <f>IF(ISNUMBER(SEARCH(ZAKL_DATA!$B$29,N312)),MAX($M$2:M311)+1,0)</f>
        <v>310</v>
      </c>
      <c r="N312" s="336" t="s">
        <v>267</v>
      </c>
      <c r="O312" s="353" t="s">
        <v>2038</v>
      </c>
      <c r="P312" s="338"/>
      <c r="Q312" s="339" t="str">
        <f>IFERROR(VLOOKUP(ROWS($Q$3:Q312),$M$3:$N$992,2,0),"")</f>
        <v>Pojištění</v>
      </c>
      <c r="R312">
        <f>IF(ISNUMBER(SEARCH('1Př1'!$A$33,N312)),MAX($M$2:M311)+1,0)</f>
        <v>310</v>
      </c>
      <c r="S312" s="336" t="s">
        <v>267</v>
      </c>
      <c r="T312" t="str">
        <f>IFERROR(VLOOKUP(ROWS($T$3:T312),$R$3:$S$992,2,0),"")</f>
        <v>Pojištění</v>
      </c>
      <c r="U312">
        <f>IF(ISNUMBER(SEARCH('1Př1'!$A$34,N312)),MAX($M$2:M311)+1,0)</f>
        <v>310</v>
      </c>
      <c r="V312" s="336" t="s">
        <v>267</v>
      </c>
      <c r="W312" t="str">
        <f>IFERROR(VLOOKUP(ROWS($W$3:W312),$U$3:$V$992,2,0),"")</f>
        <v>Pojištění</v>
      </c>
      <c r="X312">
        <f>IF(ISNUMBER(SEARCH('1Př1'!$A$35,N312)),MAX($M$2:M311)+1,0)</f>
        <v>310</v>
      </c>
      <c r="Y312" s="336" t="s">
        <v>267</v>
      </c>
      <c r="Z312" t="str">
        <f>IFERROR(VLOOKUP(ROWS($Z$3:Z312),$X$3:$Y$992,2,0),"")</f>
        <v>Pojištění</v>
      </c>
    </row>
    <row r="313" spans="13:26" ht="12.75">
      <c r="M313" s="335">
        <f>IF(ISNUMBER(SEARCH(ZAKL_DATA!$B$29,N313)),MAX($M$2:M312)+1,0)</f>
        <v>311</v>
      </c>
      <c r="N313" s="336" t="s">
        <v>2039</v>
      </c>
      <c r="O313" s="353" t="s">
        <v>2040</v>
      </c>
      <c r="P313" s="338"/>
      <c r="Q313" s="339" t="str">
        <f>IFERROR(VLOOKUP(ROWS($Q$3:Q313),$M$3:$N$992,2,0),"")</f>
        <v>Zajištění</v>
      </c>
      <c r="R313">
        <f>IF(ISNUMBER(SEARCH('1Př1'!$A$33,N313)),MAX($M$2:M312)+1,0)</f>
        <v>311</v>
      </c>
      <c r="S313" s="336" t="s">
        <v>2039</v>
      </c>
      <c r="T313" t="str">
        <f>IFERROR(VLOOKUP(ROWS($T$3:T313),$R$3:$S$992,2,0),"")</f>
        <v>Zajištění</v>
      </c>
      <c r="U313">
        <f>IF(ISNUMBER(SEARCH('1Př1'!$A$34,N313)),MAX($M$2:M312)+1,0)</f>
        <v>311</v>
      </c>
      <c r="V313" s="336" t="s">
        <v>2039</v>
      </c>
      <c r="W313" t="str">
        <f>IFERROR(VLOOKUP(ROWS($W$3:W313),$U$3:$V$992,2,0),"")</f>
        <v>Zajištění</v>
      </c>
      <c r="X313">
        <f>IF(ISNUMBER(SEARCH('1Př1'!$A$35,N313)),MAX($M$2:M312)+1,0)</f>
        <v>311</v>
      </c>
      <c r="Y313" s="336" t="s">
        <v>2039</v>
      </c>
      <c r="Z313" t="str">
        <f>IFERROR(VLOOKUP(ROWS($Z$3:Z313),$X$3:$Y$992,2,0),"")</f>
        <v>Zajištění</v>
      </c>
    </row>
    <row r="314" spans="13:26" ht="12.75">
      <c r="M314" s="335">
        <f>IF(ISNUMBER(SEARCH(ZAKL_DATA!$B$29,N314)),MAX($M$2:M313)+1,0)</f>
        <v>312</v>
      </c>
      <c r="N314" s="336" t="s">
        <v>2041</v>
      </c>
      <c r="O314" s="353" t="s">
        <v>2042</v>
      </c>
      <c r="P314" s="338"/>
      <c r="Q314" s="339" t="str">
        <f>IFERROR(VLOOKUP(ROWS($Q$3:Q314),$M$3:$N$992,2,0),"")</f>
        <v>Penzijní financování</v>
      </c>
      <c r="R314">
        <f>IF(ISNUMBER(SEARCH('1Př1'!$A$33,N314)),MAX($M$2:M313)+1,0)</f>
        <v>312</v>
      </c>
      <c r="S314" s="336" t="s">
        <v>2041</v>
      </c>
      <c r="T314" t="str">
        <f>IFERROR(VLOOKUP(ROWS($T$3:T314),$R$3:$S$992,2,0),"")</f>
        <v>Penzijní financování</v>
      </c>
      <c r="U314">
        <f>IF(ISNUMBER(SEARCH('1Př1'!$A$34,N314)),MAX($M$2:M313)+1,0)</f>
        <v>312</v>
      </c>
      <c r="V314" s="336" t="s">
        <v>2041</v>
      </c>
      <c r="W314" t="str">
        <f>IFERROR(VLOOKUP(ROWS($W$3:W314),$U$3:$V$992,2,0),"")</f>
        <v>Penzijní financování</v>
      </c>
      <c r="X314">
        <f>IF(ISNUMBER(SEARCH('1Př1'!$A$35,N314)),MAX($M$2:M313)+1,0)</f>
        <v>312</v>
      </c>
      <c r="Y314" s="336" t="s">
        <v>2041</v>
      </c>
      <c r="Z314" t="str">
        <f>IFERROR(VLOOKUP(ROWS($Z$3:Z314),$X$3:$Y$992,2,0),"")</f>
        <v>Penzijní financování</v>
      </c>
    </row>
    <row r="315" spans="13:26" ht="12.75">
      <c r="M315" s="335">
        <f>IF(ISNUMBER(SEARCH(ZAKL_DATA!$B$29,N315)),MAX($M$2:M314)+1,0)</f>
        <v>313</v>
      </c>
      <c r="N315" s="336" t="s">
        <v>2043</v>
      </c>
      <c r="O315" s="353" t="s">
        <v>2044</v>
      </c>
      <c r="P315" s="338"/>
      <c r="Q315" s="339" t="str">
        <f>IFERROR(VLOOKUP(ROWS($Q$3:Q315),$M$3:$N$992,2,0),"")</f>
        <v>Pomocné činnosti související s fin.zprostřed.,kromě pojišť.a penzij.fin.</v>
      </c>
      <c r="R315">
        <f>IF(ISNUMBER(SEARCH('1Př1'!$A$33,N315)),MAX($M$2:M314)+1,0)</f>
        <v>313</v>
      </c>
      <c r="S315" s="336" t="s">
        <v>2043</v>
      </c>
      <c r="T315" t="str">
        <f>IFERROR(VLOOKUP(ROWS($T$3:T315),$R$3:$S$992,2,0),"")</f>
        <v>Pomocné činnosti související s fin.zprostřed.,kromě pojišť.a penzij.fin.</v>
      </c>
      <c r="U315">
        <f>IF(ISNUMBER(SEARCH('1Př1'!$A$34,N315)),MAX($M$2:M314)+1,0)</f>
        <v>313</v>
      </c>
      <c r="V315" s="336" t="s">
        <v>2043</v>
      </c>
      <c r="W315" t="str">
        <f>IFERROR(VLOOKUP(ROWS($W$3:W315),$U$3:$V$992,2,0),"")</f>
        <v>Pomocné činnosti související s fin.zprostřed.,kromě pojišť.a penzij.fin.</v>
      </c>
      <c r="X315">
        <f>IF(ISNUMBER(SEARCH('1Př1'!$A$35,N315)),MAX($M$2:M314)+1,0)</f>
        <v>313</v>
      </c>
      <c r="Y315" s="336" t="s">
        <v>2043</v>
      </c>
      <c r="Z315" t="str">
        <f>IFERROR(VLOOKUP(ROWS($Z$3:Z315),$X$3:$Y$992,2,0),"")</f>
        <v>Pomocné činnosti související s fin.zprostřed.,kromě pojišť.a penzij.fin.</v>
      </c>
    </row>
    <row r="316" spans="13:26" ht="12.75">
      <c r="M316" s="335">
        <f>IF(ISNUMBER(SEARCH(ZAKL_DATA!$B$29,N316)),MAX($M$2:M315)+1,0)</f>
        <v>314</v>
      </c>
      <c r="N316" s="336" t="s">
        <v>2045</v>
      </c>
      <c r="O316" s="353" t="s">
        <v>2046</v>
      </c>
      <c r="P316" s="338"/>
      <c r="Q316" s="339" t="str">
        <f>IFERROR(VLOOKUP(ROWS($Q$3:Q316),$M$3:$N$992,2,0),"")</f>
        <v>Pomocné činnosti související s pojišťovnictvím a penzijním financováním</v>
      </c>
      <c r="R316">
        <f>IF(ISNUMBER(SEARCH('1Př1'!$A$33,N316)),MAX($M$2:M315)+1,0)</f>
        <v>314</v>
      </c>
      <c r="S316" s="336" t="s">
        <v>2045</v>
      </c>
      <c r="T316" t="str">
        <f>IFERROR(VLOOKUP(ROWS($T$3:T316),$R$3:$S$992,2,0),"")</f>
        <v>Pomocné činnosti související s pojišťovnictvím a penzijním financováním</v>
      </c>
      <c r="U316">
        <f>IF(ISNUMBER(SEARCH('1Př1'!$A$34,N316)),MAX($M$2:M315)+1,0)</f>
        <v>314</v>
      </c>
      <c r="V316" s="336" t="s">
        <v>2045</v>
      </c>
      <c r="W316" t="str">
        <f>IFERROR(VLOOKUP(ROWS($W$3:W316),$U$3:$V$992,2,0),"")</f>
        <v>Pomocné činnosti související s pojišťovnictvím a penzijním financováním</v>
      </c>
      <c r="X316">
        <f>IF(ISNUMBER(SEARCH('1Př1'!$A$35,N316)),MAX($M$2:M315)+1,0)</f>
        <v>314</v>
      </c>
      <c r="Y316" s="336" t="s">
        <v>2045</v>
      </c>
      <c r="Z316" t="str">
        <f>IFERROR(VLOOKUP(ROWS($Z$3:Z316),$X$3:$Y$992,2,0),"")</f>
        <v>Pomocné činnosti související s pojišťovnictvím a penzijním financováním</v>
      </c>
    </row>
    <row r="317" spans="13:26" ht="12.75">
      <c r="M317" s="335">
        <f>IF(ISNUMBER(SEARCH(ZAKL_DATA!$B$29,N317)),MAX($M$2:M316)+1,0)</f>
        <v>315</v>
      </c>
      <c r="N317" s="336" t="s">
        <v>2047</v>
      </c>
      <c r="O317" s="353" t="s">
        <v>2048</v>
      </c>
      <c r="P317" s="338"/>
      <c r="Q317" s="339" t="str">
        <f>IFERROR(VLOOKUP(ROWS($Q$3:Q317),$M$3:$N$992,2,0),"")</f>
        <v>Správa fondů</v>
      </c>
      <c r="R317">
        <f>IF(ISNUMBER(SEARCH('1Př1'!$A$33,N317)),MAX($M$2:M316)+1,0)</f>
        <v>315</v>
      </c>
      <c r="S317" s="336" t="s">
        <v>2047</v>
      </c>
      <c r="T317" t="str">
        <f>IFERROR(VLOOKUP(ROWS($T$3:T317),$R$3:$S$992,2,0),"")</f>
        <v>Správa fondů</v>
      </c>
      <c r="U317">
        <f>IF(ISNUMBER(SEARCH('1Př1'!$A$34,N317)),MAX($M$2:M316)+1,0)</f>
        <v>315</v>
      </c>
      <c r="V317" s="336" t="s">
        <v>2047</v>
      </c>
      <c r="W317" t="str">
        <f>IFERROR(VLOOKUP(ROWS($W$3:W317),$U$3:$V$992,2,0),"")</f>
        <v>Správa fondů</v>
      </c>
      <c r="X317">
        <f>IF(ISNUMBER(SEARCH('1Př1'!$A$35,N317)),MAX($M$2:M316)+1,0)</f>
        <v>315</v>
      </c>
      <c r="Y317" s="336" t="s">
        <v>2047</v>
      </c>
      <c r="Z317" t="str">
        <f>IFERROR(VLOOKUP(ROWS($Z$3:Z317),$X$3:$Y$992,2,0),"")</f>
        <v>Správa fondů</v>
      </c>
    </row>
    <row r="318" spans="13:26" ht="12.75">
      <c r="M318" s="335">
        <f>IF(ISNUMBER(SEARCH(ZAKL_DATA!$B$29,N318)),MAX($M$2:M317)+1,0)</f>
        <v>316</v>
      </c>
      <c r="N318" s="336" t="s">
        <v>2049</v>
      </c>
      <c r="O318" s="353" t="s">
        <v>2050</v>
      </c>
      <c r="P318" s="338"/>
      <c r="Q318" s="339" t="str">
        <f>IFERROR(VLOOKUP(ROWS($Q$3:Q318),$M$3:$N$992,2,0),"")</f>
        <v>Nákup a následný prodej vlastních nemovitostí</v>
      </c>
      <c r="R318">
        <f>IF(ISNUMBER(SEARCH('1Př1'!$A$33,N318)),MAX($M$2:M317)+1,0)</f>
        <v>316</v>
      </c>
      <c r="S318" s="336" t="s">
        <v>2049</v>
      </c>
      <c r="T318" t="str">
        <f>IFERROR(VLOOKUP(ROWS($T$3:T318),$R$3:$S$992,2,0),"")</f>
        <v>Nákup a následný prodej vlastních nemovitostí</v>
      </c>
      <c r="U318">
        <f>IF(ISNUMBER(SEARCH('1Př1'!$A$34,N318)),MAX($M$2:M317)+1,0)</f>
        <v>316</v>
      </c>
      <c r="V318" s="336" t="s">
        <v>2049</v>
      </c>
      <c r="W318" t="str">
        <f>IFERROR(VLOOKUP(ROWS($W$3:W318),$U$3:$V$992,2,0),"")</f>
        <v>Nákup a následný prodej vlastních nemovitostí</v>
      </c>
      <c r="X318">
        <f>IF(ISNUMBER(SEARCH('1Př1'!$A$35,N318)),MAX($M$2:M317)+1,0)</f>
        <v>316</v>
      </c>
      <c r="Y318" s="336" t="s">
        <v>2049</v>
      </c>
      <c r="Z318" t="str">
        <f>IFERROR(VLOOKUP(ROWS($Z$3:Z318),$X$3:$Y$992,2,0),"")</f>
        <v>Nákup a následný prodej vlastních nemovitostí</v>
      </c>
    </row>
    <row r="319" spans="13:26" ht="12.75">
      <c r="M319" s="335">
        <f>IF(ISNUMBER(SEARCH(ZAKL_DATA!$B$29,N319)),MAX($M$2:M318)+1,0)</f>
        <v>317</v>
      </c>
      <c r="N319" s="336" t="s">
        <v>2051</v>
      </c>
      <c r="O319" s="353" t="s">
        <v>2052</v>
      </c>
      <c r="P319" s="338"/>
      <c r="Q319" s="339" t="str">
        <f>IFERROR(VLOOKUP(ROWS($Q$3:Q319),$M$3:$N$992,2,0),"")</f>
        <v>Pronájem a správa vlastních nebo pronajatých nemovitostí</v>
      </c>
      <c r="R319">
        <f>IF(ISNUMBER(SEARCH('1Př1'!$A$33,N319)),MAX($M$2:M318)+1,0)</f>
        <v>317</v>
      </c>
      <c r="S319" s="336" t="s">
        <v>2051</v>
      </c>
      <c r="T319" t="str">
        <f>IFERROR(VLOOKUP(ROWS($T$3:T319),$R$3:$S$992,2,0),"")</f>
        <v>Pronájem a správa vlastních nebo pronajatých nemovitostí</v>
      </c>
      <c r="U319">
        <f>IF(ISNUMBER(SEARCH('1Př1'!$A$34,N319)),MAX($M$2:M318)+1,0)</f>
        <v>317</v>
      </c>
      <c r="V319" s="336" t="s">
        <v>2051</v>
      </c>
      <c r="W319" t="str">
        <f>IFERROR(VLOOKUP(ROWS($W$3:W319),$U$3:$V$992,2,0),"")</f>
        <v>Pronájem a správa vlastních nebo pronajatých nemovitostí</v>
      </c>
      <c r="X319">
        <f>IF(ISNUMBER(SEARCH('1Př1'!$A$35,N319)),MAX($M$2:M318)+1,0)</f>
        <v>317</v>
      </c>
      <c r="Y319" s="336" t="s">
        <v>2051</v>
      </c>
      <c r="Z319" t="str">
        <f>IFERROR(VLOOKUP(ROWS($Z$3:Z319),$X$3:$Y$992,2,0),"")</f>
        <v>Pronájem a správa vlastních nebo pronajatých nemovitostí</v>
      </c>
    </row>
    <row r="320" spans="13:26" ht="12.75">
      <c r="M320" s="335">
        <f>IF(ISNUMBER(SEARCH(ZAKL_DATA!$B$29,N320)),MAX($M$2:M319)+1,0)</f>
        <v>318</v>
      </c>
      <c r="N320" s="336" t="s">
        <v>2053</v>
      </c>
      <c r="O320" s="353" t="s">
        <v>2054</v>
      </c>
      <c r="P320" s="338"/>
      <c r="Q320" s="339" t="str">
        <f>IFERROR(VLOOKUP(ROWS($Q$3:Q320),$M$3:$N$992,2,0),"")</f>
        <v>Činnosti v oblasti nemovitostí na základě smlouvy nebo dohody</v>
      </c>
      <c r="R320">
        <f>IF(ISNUMBER(SEARCH('1Př1'!$A$33,N320)),MAX($M$2:M319)+1,0)</f>
        <v>318</v>
      </c>
      <c r="S320" s="336" t="s">
        <v>2053</v>
      </c>
      <c r="T320" t="str">
        <f>IFERROR(VLOOKUP(ROWS($T$3:T320),$R$3:$S$992,2,0),"")</f>
        <v>Činnosti v oblasti nemovitostí na základě smlouvy nebo dohody</v>
      </c>
      <c r="U320">
        <f>IF(ISNUMBER(SEARCH('1Př1'!$A$34,N320)),MAX($M$2:M319)+1,0)</f>
        <v>318</v>
      </c>
      <c r="V320" s="336" t="s">
        <v>2053</v>
      </c>
      <c r="W320" t="str">
        <f>IFERROR(VLOOKUP(ROWS($W$3:W320),$U$3:$V$992,2,0),"")</f>
        <v>Činnosti v oblasti nemovitostí na základě smlouvy nebo dohody</v>
      </c>
      <c r="X320">
        <f>IF(ISNUMBER(SEARCH('1Př1'!$A$35,N320)),MAX($M$2:M319)+1,0)</f>
        <v>318</v>
      </c>
      <c r="Y320" s="336" t="s">
        <v>2053</v>
      </c>
      <c r="Z320" t="str">
        <f>IFERROR(VLOOKUP(ROWS($Z$3:Z320),$X$3:$Y$992,2,0),"")</f>
        <v>Činnosti v oblasti nemovitostí na základě smlouvy nebo dohody</v>
      </c>
    </row>
    <row r="321" spans="13:26" ht="12.75">
      <c r="M321" s="335">
        <f>IF(ISNUMBER(SEARCH(ZAKL_DATA!$B$29,N321)),MAX($M$2:M320)+1,0)</f>
        <v>319</v>
      </c>
      <c r="N321" s="336" t="s">
        <v>2055</v>
      </c>
      <c r="O321" s="353" t="s">
        <v>2056</v>
      </c>
      <c r="P321" s="338"/>
      <c r="Q321" s="339" t="str">
        <f>IFERROR(VLOOKUP(ROWS($Q$3:Q321),$M$3:$N$992,2,0),"")</f>
        <v>Právní činnosti</v>
      </c>
      <c r="R321">
        <f>IF(ISNUMBER(SEARCH('1Př1'!$A$33,N321)),MAX($M$2:M320)+1,0)</f>
        <v>319</v>
      </c>
      <c r="S321" s="336" t="s">
        <v>2055</v>
      </c>
      <c r="T321" t="str">
        <f>IFERROR(VLOOKUP(ROWS($T$3:T321),$R$3:$S$992,2,0),"")</f>
        <v>Právní činnosti</v>
      </c>
      <c r="U321">
        <f>IF(ISNUMBER(SEARCH('1Př1'!$A$34,N321)),MAX($M$2:M320)+1,0)</f>
        <v>319</v>
      </c>
      <c r="V321" s="336" t="s">
        <v>2055</v>
      </c>
      <c r="W321" t="str">
        <f>IFERROR(VLOOKUP(ROWS($W$3:W321),$U$3:$V$992,2,0),"")</f>
        <v>Právní činnosti</v>
      </c>
      <c r="X321">
        <f>IF(ISNUMBER(SEARCH('1Př1'!$A$35,N321)),MAX($M$2:M320)+1,0)</f>
        <v>319</v>
      </c>
      <c r="Y321" s="336" t="s">
        <v>2055</v>
      </c>
      <c r="Z321" t="str">
        <f>IFERROR(VLOOKUP(ROWS($Z$3:Z321),$X$3:$Y$992,2,0),"")</f>
        <v>Právní činnosti</v>
      </c>
    </row>
    <row r="322" spans="13:26" ht="12.75">
      <c r="M322" s="335">
        <f>IF(ISNUMBER(SEARCH(ZAKL_DATA!$B$29,N322)),MAX($M$2:M321)+1,0)</f>
        <v>320</v>
      </c>
      <c r="N322" s="336" t="s">
        <v>2057</v>
      </c>
      <c r="O322" s="353" t="s">
        <v>2058</v>
      </c>
      <c r="P322" s="338"/>
      <c r="Q322" s="339" t="str">
        <f>IFERROR(VLOOKUP(ROWS($Q$3:Q322),$M$3:$N$992,2,0),"")</f>
        <v>Účetnické a auditorské činnosti; daňové poradenství</v>
      </c>
      <c r="R322">
        <f>IF(ISNUMBER(SEARCH('1Př1'!$A$33,N322)),MAX($M$2:M321)+1,0)</f>
        <v>320</v>
      </c>
      <c r="S322" s="336" t="s">
        <v>2057</v>
      </c>
      <c r="T322" t="str">
        <f>IFERROR(VLOOKUP(ROWS($T$3:T322),$R$3:$S$992,2,0),"")</f>
        <v>Účetnické a auditorské činnosti; daňové poradenství</v>
      </c>
      <c r="U322">
        <f>IF(ISNUMBER(SEARCH('1Př1'!$A$34,N322)),MAX($M$2:M321)+1,0)</f>
        <v>320</v>
      </c>
      <c r="V322" s="336" t="s">
        <v>2057</v>
      </c>
      <c r="W322" t="str">
        <f>IFERROR(VLOOKUP(ROWS($W$3:W322),$U$3:$V$992,2,0),"")</f>
        <v>Účetnické a auditorské činnosti; daňové poradenství</v>
      </c>
      <c r="X322">
        <f>IF(ISNUMBER(SEARCH('1Př1'!$A$35,N322)),MAX($M$2:M321)+1,0)</f>
        <v>320</v>
      </c>
      <c r="Y322" s="336" t="s">
        <v>2057</v>
      </c>
      <c r="Z322" t="str">
        <f>IFERROR(VLOOKUP(ROWS($Z$3:Z322),$X$3:$Y$992,2,0),"")</f>
        <v>Účetnické a auditorské činnosti; daňové poradenství</v>
      </c>
    </row>
    <row r="323" spans="13:26" ht="12.75">
      <c r="M323" s="335">
        <f>IF(ISNUMBER(SEARCH(ZAKL_DATA!$B$29,N323)),MAX($M$2:M322)+1,0)</f>
        <v>321</v>
      </c>
      <c r="N323" s="336" t="s">
        <v>2059</v>
      </c>
      <c r="O323" s="353" t="s">
        <v>2060</v>
      </c>
      <c r="P323" s="338"/>
      <c r="Q323" s="339" t="str">
        <f>IFERROR(VLOOKUP(ROWS($Q$3:Q323),$M$3:$N$992,2,0),"")</f>
        <v>Činnosti vedení podniků</v>
      </c>
      <c r="R323">
        <f>IF(ISNUMBER(SEARCH('1Př1'!$A$33,N323)),MAX($M$2:M322)+1,0)</f>
        <v>321</v>
      </c>
      <c r="S323" s="336" t="s">
        <v>2059</v>
      </c>
      <c r="T323" t="str">
        <f>IFERROR(VLOOKUP(ROWS($T$3:T323),$R$3:$S$992,2,0),"")</f>
        <v>Činnosti vedení podniků</v>
      </c>
      <c r="U323">
        <f>IF(ISNUMBER(SEARCH('1Př1'!$A$34,N323)),MAX($M$2:M322)+1,0)</f>
        <v>321</v>
      </c>
      <c r="V323" s="336" t="s">
        <v>2059</v>
      </c>
      <c r="W323" t="str">
        <f>IFERROR(VLOOKUP(ROWS($W$3:W323),$U$3:$V$992,2,0),"")</f>
        <v>Činnosti vedení podniků</v>
      </c>
      <c r="X323">
        <f>IF(ISNUMBER(SEARCH('1Př1'!$A$35,N323)),MAX($M$2:M322)+1,0)</f>
        <v>321</v>
      </c>
      <c r="Y323" s="336" t="s">
        <v>2059</v>
      </c>
      <c r="Z323" t="str">
        <f>IFERROR(VLOOKUP(ROWS($Z$3:Z323),$X$3:$Y$992,2,0),"")</f>
        <v>Činnosti vedení podniků</v>
      </c>
    </row>
    <row r="324" spans="13:26" ht="12.75">
      <c r="M324" s="335">
        <f>IF(ISNUMBER(SEARCH(ZAKL_DATA!$B$29,N324)),MAX($M$2:M323)+1,0)</f>
        <v>322</v>
      </c>
      <c r="N324" s="336" t="s">
        <v>2061</v>
      </c>
      <c r="O324" s="353" t="s">
        <v>2062</v>
      </c>
      <c r="P324" s="338"/>
      <c r="Q324" s="339" t="str">
        <f>IFERROR(VLOOKUP(ROWS($Q$3:Q324),$M$3:$N$992,2,0),"")</f>
        <v>Poradenství v oblasti řízení</v>
      </c>
      <c r="R324">
        <f>IF(ISNUMBER(SEARCH('1Př1'!$A$33,N324)),MAX($M$2:M323)+1,0)</f>
        <v>322</v>
      </c>
      <c r="S324" s="336" t="s">
        <v>2061</v>
      </c>
      <c r="T324" t="str">
        <f>IFERROR(VLOOKUP(ROWS($T$3:T324),$R$3:$S$992,2,0),"")</f>
        <v>Poradenství v oblasti řízení</v>
      </c>
      <c r="U324">
        <f>IF(ISNUMBER(SEARCH('1Př1'!$A$34,N324)),MAX($M$2:M323)+1,0)</f>
        <v>322</v>
      </c>
      <c r="V324" s="336" t="s">
        <v>2061</v>
      </c>
      <c r="W324" t="str">
        <f>IFERROR(VLOOKUP(ROWS($W$3:W324),$U$3:$V$992,2,0),"")</f>
        <v>Poradenství v oblasti řízení</v>
      </c>
      <c r="X324">
        <f>IF(ISNUMBER(SEARCH('1Př1'!$A$35,N324)),MAX($M$2:M323)+1,0)</f>
        <v>322</v>
      </c>
      <c r="Y324" s="336" t="s">
        <v>2061</v>
      </c>
      <c r="Z324" t="str">
        <f>IFERROR(VLOOKUP(ROWS($Z$3:Z324),$X$3:$Y$992,2,0),"")</f>
        <v>Poradenství v oblasti řízení</v>
      </c>
    </row>
    <row r="325" spans="13:26" ht="12.75">
      <c r="M325" s="335">
        <f>IF(ISNUMBER(SEARCH(ZAKL_DATA!$B$29,N325)),MAX($M$2:M324)+1,0)</f>
        <v>323</v>
      </c>
      <c r="N325" s="336" t="s">
        <v>2063</v>
      </c>
      <c r="O325" s="353" t="s">
        <v>2064</v>
      </c>
      <c r="P325" s="338"/>
      <c r="Q325" s="339" t="str">
        <f>IFERROR(VLOOKUP(ROWS($Q$3:Q325),$M$3:$N$992,2,0),"")</f>
        <v>Architektonické a inženýrské činnosti a související technické poradenství</v>
      </c>
      <c r="R325">
        <f>IF(ISNUMBER(SEARCH('1Př1'!$A$33,N325)),MAX($M$2:M324)+1,0)</f>
        <v>323</v>
      </c>
      <c r="S325" s="336" t="s">
        <v>2063</v>
      </c>
      <c r="T325" t="str">
        <f>IFERROR(VLOOKUP(ROWS($T$3:T325),$R$3:$S$992,2,0),"")</f>
        <v>Architektonické a inženýrské činnosti a související technické poradenství</v>
      </c>
      <c r="U325">
        <f>IF(ISNUMBER(SEARCH('1Př1'!$A$34,N325)),MAX($M$2:M324)+1,0)</f>
        <v>323</v>
      </c>
      <c r="V325" s="336" t="s">
        <v>2063</v>
      </c>
      <c r="W325" t="str">
        <f>IFERROR(VLOOKUP(ROWS($W$3:W325),$U$3:$V$992,2,0),"")</f>
        <v>Architektonické a inženýrské činnosti a související technické poradenství</v>
      </c>
      <c r="X325">
        <f>IF(ISNUMBER(SEARCH('1Př1'!$A$35,N325)),MAX($M$2:M324)+1,0)</f>
        <v>323</v>
      </c>
      <c r="Y325" s="336" t="s">
        <v>2063</v>
      </c>
      <c r="Z325" t="str">
        <f>IFERROR(VLOOKUP(ROWS($Z$3:Z325),$X$3:$Y$992,2,0),"")</f>
        <v>Architektonické a inženýrské činnosti a související technické poradenství</v>
      </c>
    </row>
    <row r="326" spans="13:26" ht="12.75">
      <c r="M326" s="335">
        <f>IF(ISNUMBER(SEARCH(ZAKL_DATA!$B$29,N326)),MAX($M$2:M325)+1,0)</f>
        <v>324</v>
      </c>
      <c r="N326" s="336" t="s">
        <v>2065</v>
      </c>
      <c r="O326" s="353" t="s">
        <v>2066</v>
      </c>
      <c r="P326" s="338"/>
      <c r="Q326" s="339" t="str">
        <f>IFERROR(VLOOKUP(ROWS($Q$3:Q326),$M$3:$N$992,2,0),"")</f>
        <v>Technické zkoušky a analýzy</v>
      </c>
      <c r="R326">
        <f>IF(ISNUMBER(SEARCH('1Př1'!$A$33,N326)),MAX($M$2:M325)+1,0)</f>
        <v>324</v>
      </c>
      <c r="S326" s="336" t="s">
        <v>2065</v>
      </c>
      <c r="T326" t="str">
        <f>IFERROR(VLOOKUP(ROWS($T$3:T326),$R$3:$S$992,2,0),"")</f>
        <v>Technické zkoušky a analýzy</v>
      </c>
      <c r="U326">
        <f>IF(ISNUMBER(SEARCH('1Př1'!$A$34,N326)),MAX($M$2:M325)+1,0)</f>
        <v>324</v>
      </c>
      <c r="V326" s="336" t="s">
        <v>2065</v>
      </c>
      <c r="W326" t="str">
        <f>IFERROR(VLOOKUP(ROWS($W$3:W326),$U$3:$V$992,2,0),"")</f>
        <v>Technické zkoušky a analýzy</v>
      </c>
      <c r="X326">
        <f>IF(ISNUMBER(SEARCH('1Př1'!$A$35,N326)),MAX($M$2:M325)+1,0)</f>
        <v>324</v>
      </c>
      <c r="Y326" s="336" t="s">
        <v>2065</v>
      </c>
      <c r="Z326" t="str">
        <f>IFERROR(VLOOKUP(ROWS($Z$3:Z326),$X$3:$Y$992,2,0),"")</f>
        <v>Technické zkoušky a analýzy</v>
      </c>
    </row>
    <row r="327" spans="13:26" ht="12.75">
      <c r="M327" s="335">
        <f>IF(ISNUMBER(SEARCH(ZAKL_DATA!$B$29,N327)),MAX($M$2:M326)+1,0)</f>
        <v>325</v>
      </c>
      <c r="N327" s="336" t="s">
        <v>2067</v>
      </c>
      <c r="O327" s="353" t="s">
        <v>2068</v>
      </c>
      <c r="P327" s="338"/>
      <c r="Q327" s="339" t="str">
        <f>IFERROR(VLOOKUP(ROWS($Q$3:Q327),$M$3:$N$992,2,0),"")</f>
        <v>Výzkum a vývoj v oblasti přírodních a technických věd</v>
      </c>
      <c r="R327">
        <f>IF(ISNUMBER(SEARCH('1Př1'!$A$33,N327)),MAX($M$2:M326)+1,0)</f>
        <v>325</v>
      </c>
      <c r="S327" s="336" t="s">
        <v>2067</v>
      </c>
      <c r="T327" t="str">
        <f>IFERROR(VLOOKUP(ROWS($T$3:T327),$R$3:$S$992,2,0),"")</f>
        <v>Výzkum a vývoj v oblasti přírodních a technických věd</v>
      </c>
      <c r="U327">
        <f>IF(ISNUMBER(SEARCH('1Př1'!$A$34,N327)),MAX($M$2:M326)+1,0)</f>
        <v>325</v>
      </c>
      <c r="V327" s="336" t="s">
        <v>2067</v>
      </c>
      <c r="W327" t="str">
        <f>IFERROR(VLOOKUP(ROWS($W$3:W327),$U$3:$V$992,2,0),"")</f>
        <v>Výzkum a vývoj v oblasti přírodních a technických věd</v>
      </c>
      <c r="X327">
        <f>IF(ISNUMBER(SEARCH('1Př1'!$A$35,N327)),MAX($M$2:M326)+1,0)</f>
        <v>325</v>
      </c>
      <c r="Y327" s="336" t="s">
        <v>2067</v>
      </c>
      <c r="Z327" t="str">
        <f>IFERROR(VLOOKUP(ROWS($Z$3:Z327),$X$3:$Y$992,2,0),"")</f>
        <v>Výzkum a vývoj v oblasti přírodních a technických věd</v>
      </c>
    </row>
    <row r="328" spans="13:26" ht="12.75">
      <c r="M328" s="335">
        <f>IF(ISNUMBER(SEARCH(ZAKL_DATA!$B$29,N328)),MAX($M$2:M327)+1,0)</f>
        <v>326</v>
      </c>
      <c r="N328" s="336" t="s">
        <v>2069</v>
      </c>
      <c r="O328" s="353" t="s">
        <v>2070</v>
      </c>
      <c r="P328" s="338"/>
      <c r="Q328" s="339" t="str">
        <f>IFERROR(VLOOKUP(ROWS($Q$3:Q328),$M$3:$N$992,2,0),"")</f>
        <v>Těžba a úprava uranových a thoriových rud</v>
      </c>
      <c r="R328">
        <f>IF(ISNUMBER(SEARCH('1Př1'!$A$33,N328)),MAX($M$2:M327)+1,0)</f>
        <v>326</v>
      </c>
      <c r="S328" s="336" t="s">
        <v>2069</v>
      </c>
      <c r="T328" t="str">
        <f>IFERROR(VLOOKUP(ROWS($T$3:T328),$R$3:$S$992,2,0),"")</f>
        <v>Těžba a úprava uranových a thoriových rud</v>
      </c>
      <c r="U328">
        <f>IF(ISNUMBER(SEARCH('1Př1'!$A$34,N328)),MAX($M$2:M327)+1,0)</f>
        <v>326</v>
      </c>
      <c r="V328" s="336" t="s">
        <v>2069</v>
      </c>
      <c r="W328" t="str">
        <f>IFERROR(VLOOKUP(ROWS($W$3:W328),$U$3:$V$992,2,0),"")</f>
        <v>Těžba a úprava uranových a thoriových rud</v>
      </c>
      <c r="X328">
        <f>IF(ISNUMBER(SEARCH('1Př1'!$A$35,N328)),MAX($M$2:M327)+1,0)</f>
        <v>326</v>
      </c>
      <c r="Y328" s="336" t="s">
        <v>2069</v>
      </c>
      <c r="Z328" t="str">
        <f>IFERROR(VLOOKUP(ROWS($Z$3:Z328),$X$3:$Y$992,2,0),"")</f>
        <v>Těžba a úprava uranových a thoriových rud</v>
      </c>
    </row>
    <row r="329" spans="13:26" ht="12.75">
      <c r="M329" s="335">
        <f>IF(ISNUMBER(SEARCH(ZAKL_DATA!$B$29,N329)),MAX($M$2:M328)+1,0)</f>
        <v>327</v>
      </c>
      <c r="N329" s="336" t="s">
        <v>2071</v>
      </c>
      <c r="O329" s="353" t="s">
        <v>2072</v>
      </c>
      <c r="P329" s="338"/>
      <c r="Q329" s="339" t="str">
        <f>IFERROR(VLOOKUP(ROWS($Q$3:Q329),$M$3:$N$992,2,0),"")</f>
        <v>Výzkum a vývoj v oblasti společenských a humanitních věd</v>
      </c>
      <c r="R329">
        <f>IF(ISNUMBER(SEARCH('1Př1'!$A$33,N329)),MAX($M$2:M328)+1,0)</f>
        <v>327</v>
      </c>
      <c r="S329" s="336" t="s">
        <v>2071</v>
      </c>
      <c r="T329" t="str">
        <f>IFERROR(VLOOKUP(ROWS($T$3:T329),$R$3:$S$992,2,0),"")</f>
        <v>Výzkum a vývoj v oblasti společenských a humanitních věd</v>
      </c>
      <c r="U329">
        <f>IF(ISNUMBER(SEARCH('1Př1'!$A$34,N329)),MAX($M$2:M328)+1,0)</f>
        <v>327</v>
      </c>
      <c r="V329" s="336" t="s">
        <v>2071</v>
      </c>
      <c r="W329" t="str">
        <f>IFERROR(VLOOKUP(ROWS($W$3:W329),$U$3:$V$992,2,0),"")</f>
        <v>Výzkum a vývoj v oblasti společenských a humanitních věd</v>
      </c>
      <c r="X329">
        <f>IF(ISNUMBER(SEARCH('1Př1'!$A$35,N329)),MAX($M$2:M328)+1,0)</f>
        <v>327</v>
      </c>
      <c r="Y329" s="336" t="s">
        <v>2071</v>
      </c>
      <c r="Z329" t="str">
        <f>IFERROR(VLOOKUP(ROWS($Z$3:Z329),$X$3:$Y$992,2,0),"")</f>
        <v>Výzkum a vývoj v oblasti společenských a humanitních věd</v>
      </c>
    </row>
    <row r="330" spans="13:26" ht="12.75">
      <c r="M330" s="335">
        <f>IF(ISNUMBER(SEARCH(ZAKL_DATA!$B$29,N330)),MAX($M$2:M329)+1,0)</f>
        <v>328</v>
      </c>
      <c r="N330" s="336" t="s">
        <v>2073</v>
      </c>
      <c r="O330" s="353" t="s">
        <v>2074</v>
      </c>
      <c r="P330" s="338"/>
      <c r="Q330" s="339" t="str">
        <f>IFERROR(VLOOKUP(ROWS($Q$3:Q330),$M$3:$N$992,2,0),"")</f>
        <v>Těžba a úprava ostatních neželezných rud</v>
      </c>
      <c r="R330">
        <f>IF(ISNUMBER(SEARCH('1Př1'!$A$33,N330)),MAX($M$2:M329)+1,0)</f>
        <v>328</v>
      </c>
      <c r="S330" s="336" t="s">
        <v>2073</v>
      </c>
      <c r="T330" t="str">
        <f>IFERROR(VLOOKUP(ROWS($T$3:T330),$R$3:$S$992,2,0),"")</f>
        <v>Těžba a úprava ostatních neželezných rud</v>
      </c>
      <c r="U330">
        <f>IF(ISNUMBER(SEARCH('1Př1'!$A$34,N330)),MAX($M$2:M329)+1,0)</f>
        <v>328</v>
      </c>
      <c r="V330" s="336" t="s">
        <v>2073</v>
      </c>
      <c r="W330" t="str">
        <f>IFERROR(VLOOKUP(ROWS($W$3:W330),$U$3:$V$992,2,0),"")</f>
        <v>Těžba a úprava ostatních neželezných rud</v>
      </c>
      <c r="X330">
        <f>IF(ISNUMBER(SEARCH('1Př1'!$A$35,N330)),MAX($M$2:M329)+1,0)</f>
        <v>328</v>
      </c>
      <c r="Y330" s="336" t="s">
        <v>2073</v>
      </c>
      <c r="Z330" t="str">
        <f>IFERROR(VLOOKUP(ROWS($Z$3:Z330),$X$3:$Y$992,2,0),"")</f>
        <v>Těžba a úprava ostatních neželezných rud</v>
      </c>
    </row>
    <row r="331" spans="13:26" ht="12.75">
      <c r="M331" s="335">
        <f>IF(ISNUMBER(SEARCH(ZAKL_DATA!$B$29,N331)),MAX($M$2:M330)+1,0)</f>
        <v>329</v>
      </c>
      <c r="N331" s="336" t="s">
        <v>2075</v>
      </c>
      <c r="O331" s="353" t="s">
        <v>2076</v>
      </c>
      <c r="P331" s="338"/>
      <c r="Q331" s="339" t="str">
        <f>IFERROR(VLOOKUP(ROWS($Q$3:Q331),$M$3:$N$992,2,0),"")</f>
        <v>Reklamní činnosti</v>
      </c>
      <c r="R331">
        <f>IF(ISNUMBER(SEARCH('1Př1'!$A$33,N331)),MAX($M$2:M330)+1,0)</f>
        <v>329</v>
      </c>
      <c r="S331" s="336" t="s">
        <v>2075</v>
      </c>
      <c r="T331" t="str">
        <f>IFERROR(VLOOKUP(ROWS($T$3:T331),$R$3:$S$992,2,0),"")</f>
        <v>Reklamní činnosti</v>
      </c>
      <c r="U331">
        <f>IF(ISNUMBER(SEARCH('1Př1'!$A$34,N331)),MAX($M$2:M330)+1,0)</f>
        <v>329</v>
      </c>
      <c r="V331" s="336" t="s">
        <v>2075</v>
      </c>
      <c r="W331" t="str">
        <f>IFERROR(VLOOKUP(ROWS($W$3:W331),$U$3:$V$992,2,0),"")</f>
        <v>Reklamní činnosti</v>
      </c>
      <c r="X331">
        <f>IF(ISNUMBER(SEARCH('1Př1'!$A$35,N331)),MAX($M$2:M330)+1,0)</f>
        <v>329</v>
      </c>
      <c r="Y331" s="336" t="s">
        <v>2075</v>
      </c>
      <c r="Z331" t="str">
        <f>IFERROR(VLOOKUP(ROWS($Z$3:Z331),$X$3:$Y$992,2,0),"")</f>
        <v>Reklamní činnosti</v>
      </c>
    </row>
    <row r="332" spans="13:26" ht="12.75">
      <c r="M332" s="335">
        <f>IF(ISNUMBER(SEARCH(ZAKL_DATA!$B$29,N332)),MAX($M$2:M331)+1,0)</f>
        <v>330</v>
      </c>
      <c r="N332" s="336" t="s">
        <v>2077</v>
      </c>
      <c r="O332" s="353" t="s">
        <v>2078</v>
      </c>
      <c r="P332" s="338"/>
      <c r="Q332" s="339" t="str">
        <f>IFERROR(VLOOKUP(ROWS($Q$3:Q332),$M$3:$N$992,2,0),"")</f>
        <v>Průzkum trhu a veřejného mínění</v>
      </c>
      <c r="R332">
        <f>IF(ISNUMBER(SEARCH('1Př1'!$A$33,N332)),MAX($M$2:M331)+1,0)</f>
        <v>330</v>
      </c>
      <c r="S332" s="336" t="s">
        <v>2077</v>
      </c>
      <c r="T332" t="str">
        <f>IFERROR(VLOOKUP(ROWS($T$3:T332),$R$3:$S$992,2,0),"")</f>
        <v>Průzkum trhu a veřejného mínění</v>
      </c>
      <c r="U332">
        <f>IF(ISNUMBER(SEARCH('1Př1'!$A$34,N332)),MAX($M$2:M331)+1,0)</f>
        <v>330</v>
      </c>
      <c r="V332" s="336" t="s">
        <v>2077</v>
      </c>
      <c r="W332" t="str">
        <f>IFERROR(VLOOKUP(ROWS($W$3:W332),$U$3:$V$992,2,0),"")</f>
        <v>Průzkum trhu a veřejného mínění</v>
      </c>
      <c r="X332">
        <f>IF(ISNUMBER(SEARCH('1Př1'!$A$35,N332)),MAX($M$2:M331)+1,0)</f>
        <v>330</v>
      </c>
      <c r="Y332" s="336" t="s">
        <v>2077</v>
      </c>
      <c r="Z332" t="str">
        <f>IFERROR(VLOOKUP(ROWS($Z$3:Z332),$X$3:$Y$992,2,0),"")</f>
        <v>Průzkum trhu a veřejného mínění</v>
      </c>
    </row>
    <row r="333" spans="13:26" ht="12.75">
      <c r="M333" s="335">
        <f>IF(ISNUMBER(SEARCH(ZAKL_DATA!$B$29,N333)),MAX($M$2:M332)+1,0)</f>
        <v>331</v>
      </c>
      <c r="N333" s="336" t="s">
        <v>2079</v>
      </c>
      <c r="O333" s="353" t="s">
        <v>2080</v>
      </c>
      <c r="P333" s="338"/>
      <c r="Q333" s="339" t="str">
        <f>IFERROR(VLOOKUP(ROWS($Q$3:Q333),$M$3:$N$992,2,0),"")</f>
        <v>Specializované návrhářské činnosti</v>
      </c>
      <c r="R333">
        <f>IF(ISNUMBER(SEARCH('1Př1'!$A$33,N333)),MAX($M$2:M332)+1,0)</f>
        <v>331</v>
      </c>
      <c r="S333" s="336" t="s">
        <v>2079</v>
      </c>
      <c r="T333" t="str">
        <f>IFERROR(VLOOKUP(ROWS($T$3:T333),$R$3:$S$992,2,0),"")</f>
        <v>Specializované návrhářské činnosti</v>
      </c>
      <c r="U333">
        <f>IF(ISNUMBER(SEARCH('1Př1'!$A$34,N333)),MAX($M$2:M332)+1,0)</f>
        <v>331</v>
      </c>
      <c r="V333" s="336" t="s">
        <v>2079</v>
      </c>
      <c r="W333" t="str">
        <f>IFERROR(VLOOKUP(ROWS($W$3:W333),$U$3:$V$992,2,0),"")</f>
        <v>Specializované návrhářské činnosti</v>
      </c>
      <c r="X333">
        <f>IF(ISNUMBER(SEARCH('1Př1'!$A$35,N333)),MAX($M$2:M332)+1,0)</f>
        <v>331</v>
      </c>
      <c r="Y333" s="336" t="s">
        <v>2079</v>
      </c>
      <c r="Z333" t="str">
        <f>IFERROR(VLOOKUP(ROWS($Z$3:Z333),$X$3:$Y$992,2,0),"")</f>
        <v>Specializované návrhářské činnosti</v>
      </c>
    </row>
    <row r="334" spans="13:26" ht="12.75">
      <c r="M334" s="335">
        <f>IF(ISNUMBER(SEARCH(ZAKL_DATA!$B$29,N334)),MAX($M$2:M333)+1,0)</f>
        <v>332</v>
      </c>
      <c r="N334" s="336" t="s">
        <v>2081</v>
      </c>
      <c r="O334" s="353" t="s">
        <v>2082</v>
      </c>
      <c r="P334" s="338"/>
      <c r="Q334" s="339" t="str">
        <f>IFERROR(VLOOKUP(ROWS($Q$3:Q334),$M$3:$N$992,2,0),"")</f>
        <v>Fotografické činnosti</v>
      </c>
      <c r="R334">
        <f>IF(ISNUMBER(SEARCH('1Př1'!$A$33,N334)),MAX($M$2:M333)+1,0)</f>
        <v>332</v>
      </c>
      <c r="S334" s="336" t="s">
        <v>2081</v>
      </c>
      <c r="T334" t="str">
        <f>IFERROR(VLOOKUP(ROWS($T$3:T334),$R$3:$S$992,2,0),"")</f>
        <v>Fotografické činnosti</v>
      </c>
      <c r="U334">
        <f>IF(ISNUMBER(SEARCH('1Př1'!$A$34,N334)),MAX($M$2:M333)+1,0)</f>
        <v>332</v>
      </c>
      <c r="V334" s="336" t="s">
        <v>2081</v>
      </c>
      <c r="W334" t="str">
        <f>IFERROR(VLOOKUP(ROWS($W$3:W334),$U$3:$V$992,2,0),"")</f>
        <v>Fotografické činnosti</v>
      </c>
      <c r="X334">
        <f>IF(ISNUMBER(SEARCH('1Př1'!$A$35,N334)),MAX($M$2:M333)+1,0)</f>
        <v>332</v>
      </c>
      <c r="Y334" s="336" t="s">
        <v>2081</v>
      </c>
      <c r="Z334" t="str">
        <f>IFERROR(VLOOKUP(ROWS($Z$3:Z334),$X$3:$Y$992,2,0),"")</f>
        <v>Fotografické činnosti</v>
      </c>
    </row>
    <row r="335" spans="13:26" ht="12.75">
      <c r="M335" s="335">
        <f>IF(ISNUMBER(SEARCH(ZAKL_DATA!$B$29,N335)),MAX($M$2:M334)+1,0)</f>
        <v>333</v>
      </c>
      <c r="N335" s="336" t="s">
        <v>2083</v>
      </c>
      <c r="O335" s="353" t="s">
        <v>2084</v>
      </c>
      <c r="P335" s="338"/>
      <c r="Q335" s="339" t="str">
        <f>IFERROR(VLOOKUP(ROWS($Q$3:Q335),$M$3:$N$992,2,0),"")</f>
        <v>Překladatelské a tlumočnické činnosti</v>
      </c>
      <c r="R335">
        <f>IF(ISNUMBER(SEARCH('1Př1'!$A$33,N335)),MAX($M$2:M334)+1,0)</f>
        <v>333</v>
      </c>
      <c r="S335" s="336" t="s">
        <v>2083</v>
      </c>
      <c r="T335" t="str">
        <f>IFERROR(VLOOKUP(ROWS($T$3:T335),$R$3:$S$992,2,0),"")</f>
        <v>Překladatelské a tlumočnické činnosti</v>
      </c>
      <c r="U335">
        <f>IF(ISNUMBER(SEARCH('1Př1'!$A$34,N335)),MAX($M$2:M334)+1,0)</f>
        <v>333</v>
      </c>
      <c r="V335" s="336" t="s">
        <v>2083</v>
      </c>
      <c r="W335" t="str">
        <f>IFERROR(VLOOKUP(ROWS($W$3:W335),$U$3:$V$992,2,0),"")</f>
        <v>Překladatelské a tlumočnické činnosti</v>
      </c>
      <c r="X335">
        <f>IF(ISNUMBER(SEARCH('1Př1'!$A$35,N335)),MAX($M$2:M334)+1,0)</f>
        <v>333</v>
      </c>
      <c r="Y335" s="336" t="s">
        <v>2083</v>
      </c>
      <c r="Z335" t="str">
        <f>IFERROR(VLOOKUP(ROWS($Z$3:Z335),$X$3:$Y$992,2,0),"")</f>
        <v>Překladatelské a tlumočnické činnosti</v>
      </c>
    </row>
    <row r="336" spans="13:26" ht="12.75">
      <c r="M336" s="335">
        <f>IF(ISNUMBER(SEARCH(ZAKL_DATA!$B$29,N336)),MAX($M$2:M335)+1,0)</f>
        <v>334</v>
      </c>
      <c r="N336" s="336" t="s">
        <v>2085</v>
      </c>
      <c r="O336" s="353" t="s">
        <v>2086</v>
      </c>
      <c r="P336" s="338"/>
      <c r="Q336" s="339" t="str">
        <f>IFERROR(VLOOKUP(ROWS($Q$3:Q336),$M$3:$N$992,2,0),"")</f>
        <v>Ostatní profesní, vědecké a technické činnosti j. n.</v>
      </c>
      <c r="R336">
        <f>IF(ISNUMBER(SEARCH('1Př1'!$A$33,N336)),MAX($M$2:M335)+1,0)</f>
        <v>334</v>
      </c>
      <c r="S336" s="336" t="s">
        <v>2085</v>
      </c>
      <c r="T336" t="str">
        <f>IFERROR(VLOOKUP(ROWS($T$3:T336),$R$3:$S$992,2,0),"")</f>
        <v>Ostatní profesní, vědecké a technické činnosti j. n.</v>
      </c>
      <c r="U336">
        <f>IF(ISNUMBER(SEARCH('1Př1'!$A$34,N336)),MAX($M$2:M335)+1,0)</f>
        <v>334</v>
      </c>
      <c r="V336" s="336" t="s">
        <v>2085</v>
      </c>
      <c r="W336" t="str">
        <f>IFERROR(VLOOKUP(ROWS($W$3:W336),$U$3:$V$992,2,0),"")</f>
        <v>Ostatní profesní, vědecké a technické činnosti j. n.</v>
      </c>
      <c r="X336">
        <f>IF(ISNUMBER(SEARCH('1Př1'!$A$35,N336)),MAX($M$2:M335)+1,0)</f>
        <v>334</v>
      </c>
      <c r="Y336" s="336" t="s">
        <v>2085</v>
      </c>
      <c r="Z336" t="str">
        <f>IFERROR(VLOOKUP(ROWS($Z$3:Z336),$X$3:$Y$992,2,0),"")</f>
        <v>Ostatní profesní, vědecké a technické činnosti j. n.</v>
      </c>
    </row>
    <row r="337" spans="13:26" ht="12.75">
      <c r="M337" s="335">
        <f>IF(ISNUMBER(SEARCH(ZAKL_DATA!$B$29,N337)),MAX($M$2:M336)+1,0)</f>
        <v>335</v>
      </c>
      <c r="N337" s="336" t="s">
        <v>2087</v>
      </c>
      <c r="O337" s="353" t="s">
        <v>2088</v>
      </c>
      <c r="P337" s="338"/>
      <c r="Q337" s="339" t="str">
        <f>IFERROR(VLOOKUP(ROWS($Q$3:Q337),$M$3:$N$992,2,0),"")</f>
        <v>Pronájem a leasing motorových vozidel, kromě motocyklů</v>
      </c>
      <c r="R337">
        <f>IF(ISNUMBER(SEARCH('1Př1'!$A$33,N337)),MAX($M$2:M336)+1,0)</f>
        <v>335</v>
      </c>
      <c r="S337" s="336" t="s">
        <v>2087</v>
      </c>
      <c r="T337" t="str">
        <f>IFERROR(VLOOKUP(ROWS($T$3:T337),$R$3:$S$992,2,0),"")</f>
        <v>Pronájem a leasing motorových vozidel, kromě motocyklů</v>
      </c>
      <c r="U337">
        <f>IF(ISNUMBER(SEARCH('1Př1'!$A$34,N337)),MAX($M$2:M336)+1,0)</f>
        <v>335</v>
      </c>
      <c r="V337" s="336" t="s">
        <v>2087</v>
      </c>
      <c r="W337" t="str">
        <f>IFERROR(VLOOKUP(ROWS($W$3:W337),$U$3:$V$992,2,0),"")</f>
        <v>Pronájem a leasing motorových vozidel, kromě motocyklů</v>
      </c>
      <c r="X337">
        <f>IF(ISNUMBER(SEARCH('1Př1'!$A$35,N337)),MAX($M$2:M336)+1,0)</f>
        <v>335</v>
      </c>
      <c r="Y337" s="336" t="s">
        <v>2087</v>
      </c>
      <c r="Z337" t="str">
        <f>IFERROR(VLOOKUP(ROWS($Z$3:Z337),$X$3:$Y$992,2,0),"")</f>
        <v>Pronájem a leasing motorových vozidel, kromě motocyklů</v>
      </c>
    </row>
    <row r="338" spans="13:26" ht="12.75">
      <c r="M338" s="335">
        <f>IF(ISNUMBER(SEARCH(ZAKL_DATA!$B$29,N338)),MAX($M$2:M337)+1,0)</f>
        <v>336</v>
      </c>
      <c r="N338" s="336" t="s">
        <v>2089</v>
      </c>
      <c r="O338" s="353" t="s">
        <v>2090</v>
      </c>
      <c r="P338" s="338"/>
      <c r="Q338" s="339" t="str">
        <f>IFERROR(VLOOKUP(ROWS($Q$3:Q338),$M$3:$N$992,2,0),"")</f>
        <v>Pronájem a leasing výrobků pro osobní potřebu a převážně pro domácnost</v>
      </c>
      <c r="R338">
        <f>IF(ISNUMBER(SEARCH('1Př1'!$A$33,N338)),MAX($M$2:M337)+1,0)</f>
        <v>336</v>
      </c>
      <c r="S338" s="336" t="s">
        <v>2089</v>
      </c>
      <c r="T338" t="str">
        <f>IFERROR(VLOOKUP(ROWS($T$3:T338),$R$3:$S$992,2,0),"")</f>
        <v>Pronájem a leasing výrobků pro osobní potřebu a převážně pro domácnost</v>
      </c>
      <c r="U338">
        <f>IF(ISNUMBER(SEARCH('1Př1'!$A$34,N338)),MAX($M$2:M337)+1,0)</f>
        <v>336</v>
      </c>
      <c r="V338" s="336" t="s">
        <v>2089</v>
      </c>
      <c r="W338" t="str">
        <f>IFERROR(VLOOKUP(ROWS($W$3:W338),$U$3:$V$992,2,0),"")</f>
        <v>Pronájem a leasing výrobků pro osobní potřebu a převážně pro domácnost</v>
      </c>
      <c r="X338">
        <f>IF(ISNUMBER(SEARCH('1Př1'!$A$35,N338)),MAX($M$2:M337)+1,0)</f>
        <v>336</v>
      </c>
      <c r="Y338" s="336" t="s">
        <v>2089</v>
      </c>
      <c r="Z338" t="str">
        <f>IFERROR(VLOOKUP(ROWS($Z$3:Z338),$X$3:$Y$992,2,0),"")</f>
        <v>Pronájem a leasing výrobků pro osobní potřebu a převážně pro domácnost</v>
      </c>
    </row>
    <row r="339" spans="13:26" ht="12.75">
      <c r="M339" s="335">
        <f>IF(ISNUMBER(SEARCH(ZAKL_DATA!$B$29,N339)),MAX($M$2:M338)+1,0)</f>
        <v>337</v>
      </c>
      <c r="N339" s="336" t="s">
        <v>2091</v>
      </c>
      <c r="O339" s="353" t="s">
        <v>2092</v>
      </c>
      <c r="P339" s="338"/>
      <c r="Q339" s="339" t="str">
        <f>IFERROR(VLOOKUP(ROWS($Q$3:Q339),$M$3:$N$992,2,0),"")</f>
        <v>Pronájem a leasing ostatních strojů, zařízení a výrobků</v>
      </c>
      <c r="R339">
        <f>IF(ISNUMBER(SEARCH('1Př1'!$A$33,N339)),MAX($M$2:M338)+1,0)</f>
        <v>337</v>
      </c>
      <c r="S339" s="336" t="s">
        <v>2091</v>
      </c>
      <c r="T339" t="str">
        <f>IFERROR(VLOOKUP(ROWS($T$3:T339),$R$3:$S$992,2,0),"")</f>
        <v>Pronájem a leasing ostatních strojů, zařízení a výrobků</v>
      </c>
      <c r="U339">
        <f>IF(ISNUMBER(SEARCH('1Př1'!$A$34,N339)),MAX($M$2:M338)+1,0)</f>
        <v>337</v>
      </c>
      <c r="V339" s="336" t="s">
        <v>2091</v>
      </c>
      <c r="W339" t="str">
        <f>IFERROR(VLOOKUP(ROWS($W$3:W339),$U$3:$V$992,2,0),"")</f>
        <v>Pronájem a leasing ostatních strojů, zařízení a výrobků</v>
      </c>
      <c r="X339">
        <f>IF(ISNUMBER(SEARCH('1Př1'!$A$35,N339)),MAX($M$2:M338)+1,0)</f>
        <v>337</v>
      </c>
      <c r="Y339" s="336" t="s">
        <v>2091</v>
      </c>
      <c r="Z339" t="str">
        <f>IFERROR(VLOOKUP(ROWS($Z$3:Z339),$X$3:$Y$992,2,0),"")</f>
        <v>Pronájem a leasing ostatních strojů, zařízení a výrobků</v>
      </c>
    </row>
    <row r="340" spans="13:26" ht="12.75">
      <c r="M340" s="335">
        <f>IF(ISNUMBER(SEARCH(ZAKL_DATA!$B$29,N340)),MAX($M$2:M339)+1,0)</f>
        <v>338</v>
      </c>
      <c r="N340" s="336" t="s">
        <v>2093</v>
      </c>
      <c r="O340" s="353" t="s">
        <v>2094</v>
      </c>
      <c r="P340" s="338"/>
      <c r="Q340" s="339" t="str">
        <f>IFERROR(VLOOKUP(ROWS($Q$3:Q340),$M$3:$N$992,2,0),"")</f>
        <v>Leasing duševního vlast.a podobných produktů,kromě děl chrán.autor.právem</v>
      </c>
      <c r="R340">
        <f>IF(ISNUMBER(SEARCH('1Př1'!$A$33,N340)),MAX($M$2:M339)+1,0)</f>
        <v>338</v>
      </c>
      <c r="S340" s="336" t="s">
        <v>2093</v>
      </c>
      <c r="T340" t="str">
        <f>IFERROR(VLOOKUP(ROWS($T$3:T340),$R$3:$S$992,2,0),"")</f>
        <v>Leasing duševního vlast.a podobných produktů,kromě děl chrán.autor.právem</v>
      </c>
      <c r="U340">
        <f>IF(ISNUMBER(SEARCH('1Př1'!$A$34,N340)),MAX($M$2:M339)+1,0)</f>
        <v>338</v>
      </c>
      <c r="V340" s="336" t="s">
        <v>2093</v>
      </c>
      <c r="W340" t="str">
        <f>IFERROR(VLOOKUP(ROWS($W$3:W340),$U$3:$V$992,2,0),"")</f>
        <v>Leasing duševního vlast.a podobných produktů,kromě děl chrán.autor.právem</v>
      </c>
      <c r="X340">
        <f>IF(ISNUMBER(SEARCH('1Př1'!$A$35,N340)),MAX($M$2:M339)+1,0)</f>
        <v>338</v>
      </c>
      <c r="Y340" s="336" t="s">
        <v>2093</v>
      </c>
      <c r="Z340" t="str">
        <f>IFERROR(VLOOKUP(ROWS($Z$3:Z340),$X$3:$Y$992,2,0),"")</f>
        <v>Leasing duševního vlast.a podobných produktů,kromě děl chrán.autor.právem</v>
      </c>
    </row>
    <row r="341" spans="13:26" ht="12.75">
      <c r="M341" s="335">
        <f>IF(ISNUMBER(SEARCH(ZAKL_DATA!$B$29,N341)),MAX($M$2:M340)+1,0)</f>
        <v>339</v>
      </c>
      <c r="N341" s="336" t="s">
        <v>2095</v>
      </c>
      <c r="O341" s="353" t="s">
        <v>2096</v>
      </c>
      <c r="P341" s="338"/>
      <c r="Q341" s="339" t="str">
        <f>IFERROR(VLOOKUP(ROWS($Q$3:Q341),$M$3:$N$992,2,0),"")</f>
        <v>Činnosti agentur zprostředkujících zaměstnání</v>
      </c>
      <c r="R341">
        <f>IF(ISNUMBER(SEARCH('1Př1'!$A$33,N341)),MAX($M$2:M340)+1,0)</f>
        <v>339</v>
      </c>
      <c r="S341" s="336" t="s">
        <v>2095</v>
      </c>
      <c r="T341" t="str">
        <f>IFERROR(VLOOKUP(ROWS($T$3:T341),$R$3:$S$992,2,0),"")</f>
        <v>Činnosti agentur zprostředkujících zaměstnání</v>
      </c>
      <c r="U341">
        <f>IF(ISNUMBER(SEARCH('1Př1'!$A$34,N341)),MAX($M$2:M340)+1,0)</f>
        <v>339</v>
      </c>
      <c r="V341" s="336" t="s">
        <v>2095</v>
      </c>
      <c r="W341" t="str">
        <f>IFERROR(VLOOKUP(ROWS($W$3:W341),$U$3:$V$992,2,0),"")</f>
        <v>Činnosti agentur zprostředkujících zaměstnání</v>
      </c>
      <c r="X341">
        <f>IF(ISNUMBER(SEARCH('1Př1'!$A$35,N341)),MAX($M$2:M340)+1,0)</f>
        <v>339</v>
      </c>
      <c r="Y341" s="336" t="s">
        <v>2095</v>
      </c>
      <c r="Z341" t="str">
        <f>IFERROR(VLOOKUP(ROWS($Z$3:Z341),$X$3:$Y$992,2,0),"")</f>
        <v>Činnosti agentur zprostředkujících zaměstnání</v>
      </c>
    </row>
    <row r="342" spans="13:26" ht="12.75">
      <c r="M342" s="335">
        <f>IF(ISNUMBER(SEARCH(ZAKL_DATA!$B$29,N342)),MAX($M$2:M341)+1,0)</f>
        <v>340</v>
      </c>
      <c r="N342" s="336" t="s">
        <v>2097</v>
      </c>
      <c r="O342" s="353" t="s">
        <v>2098</v>
      </c>
      <c r="P342" s="338"/>
      <c r="Q342" s="339" t="str">
        <f>IFERROR(VLOOKUP(ROWS($Q$3:Q342),$M$3:$N$992,2,0),"")</f>
        <v>Činnosti agentur zprostředkujících práci na přechodnou dobu</v>
      </c>
      <c r="R342">
        <f>IF(ISNUMBER(SEARCH('1Př1'!$A$33,N342)),MAX($M$2:M341)+1,0)</f>
        <v>340</v>
      </c>
      <c r="S342" s="336" t="s">
        <v>2097</v>
      </c>
      <c r="T342" t="str">
        <f>IFERROR(VLOOKUP(ROWS($T$3:T342),$R$3:$S$992,2,0),"")</f>
        <v>Činnosti agentur zprostředkujících práci na přechodnou dobu</v>
      </c>
      <c r="U342">
        <f>IF(ISNUMBER(SEARCH('1Př1'!$A$34,N342)),MAX($M$2:M341)+1,0)</f>
        <v>340</v>
      </c>
      <c r="V342" s="336" t="s">
        <v>2097</v>
      </c>
      <c r="W342" t="str">
        <f>IFERROR(VLOOKUP(ROWS($W$3:W342),$U$3:$V$992,2,0),"")</f>
        <v>Činnosti agentur zprostředkujících práci na přechodnou dobu</v>
      </c>
      <c r="X342">
        <f>IF(ISNUMBER(SEARCH('1Př1'!$A$35,N342)),MAX($M$2:M341)+1,0)</f>
        <v>340</v>
      </c>
      <c r="Y342" s="336" t="s">
        <v>2097</v>
      </c>
      <c r="Z342" t="str">
        <f>IFERROR(VLOOKUP(ROWS($Z$3:Z342),$X$3:$Y$992,2,0),"")</f>
        <v>Činnosti agentur zprostředkujících práci na přechodnou dobu</v>
      </c>
    </row>
    <row r="343" spans="13:26" ht="12.75">
      <c r="M343" s="335">
        <f>IF(ISNUMBER(SEARCH(ZAKL_DATA!$B$29,N343)),MAX($M$2:M342)+1,0)</f>
        <v>341</v>
      </c>
      <c r="N343" s="336" t="s">
        <v>2099</v>
      </c>
      <c r="O343" s="353" t="s">
        <v>2100</v>
      </c>
      <c r="P343" s="338"/>
      <c r="Q343" s="339" t="str">
        <f>IFERROR(VLOOKUP(ROWS($Q$3:Q343),$M$3:$N$992,2,0),"")</f>
        <v>Ostatní poskytování lidských zdrojů</v>
      </c>
      <c r="R343">
        <f>IF(ISNUMBER(SEARCH('1Př1'!$A$33,N343)),MAX($M$2:M342)+1,0)</f>
        <v>341</v>
      </c>
      <c r="S343" s="336" t="s">
        <v>2099</v>
      </c>
      <c r="T343" t="str">
        <f>IFERROR(VLOOKUP(ROWS($T$3:T343),$R$3:$S$992,2,0),"")</f>
        <v>Ostatní poskytování lidských zdrojů</v>
      </c>
      <c r="U343">
        <f>IF(ISNUMBER(SEARCH('1Př1'!$A$34,N343)),MAX($M$2:M342)+1,0)</f>
        <v>341</v>
      </c>
      <c r="V343" s="336" t="s">
        <v>2099</v>
      </c>
      <c r="W343" t="str">
        <f>IFERROR(VLOOKUP(ROWS($W$3:W343),$U$3:$V$992,2,0),"")</f>
        <v>Ostatní poskytování lidských zdrojů</v>
      </c>
      <c r="X343">
        <f>IF(ISNUMBER(SEARCH('1Př1'!$A$35,N343)),MAX($M$2:M342)+1,0)</f>
        <v>341</v>
      </c>
      <c r="Y343" s="336" t="s">
        <v>2099</v>
      </c>
      <c r="Z343" t="str">
        <f>IFERROR(VLOOKUP(ROWS($Z$3:Z343),$X$3:$Y$992,2,0),"")</f>
        <v>Ostatní poskytování lidských zdrojů</v>
      </c>
    </row>
    <row r="344" spans="13:26" ht="12.75">
      <c r="M344" s="335">
        <f>IF(ISNUMBER(SEARCH(ZAKL_DATA!$B$29,N344)),MAX($M$2:M343)+1,0)</f>
        <v>342</v>
      </c>
      <c r="N344" s="336" t="s">
        <v>2101</v>
      </c>
      <c r="O344" s="353" t="s">
        <v>2102</v>
      </c>
      <c r="P344" s="338"/>
      <c r="Q344" s="339" t="str">
        <f>IFERROR(VLOOKUP(ROWS($Q$3:Q344),$M$3:$N$992,2,0),"")</f>
        <v>Činnosti cestovních agentur a cestovních kanceláří</v>
      </c>
      <c r="R344">
        <f>IF(ISNUMBER(SEARCH('1Př1'!$A$33,N344)),MAX($M$2:M343)+1,0)</f>
        <v>342</v>
      </c>
      <c r="S344" s="336" t="s">
        <v>2101</v>
      </c>
      <c r="T344" t="str">
        <f>IFERROR(VLOOKUP(ROWS($T$3:T344),$R$3:$S$992,2,0),"")</f>
        <v>Činnosti cestovních agentur a cestovních kanceláří</v>
      </c>
      <c r="U344">
        <f>IF(ISNUMBER(SEARCH('1Př1'!$A$34,N344)),MAX($M$2:M343)+1,0)</f>
        <v>342</v>
      </c>
      <c r="V344" s="336" t="s">
        <v>2101</v>
      </c>
      <c r="W344" t="str">
        <f>IFERROR(VLOOKUP(ROWS($W$3:W344),$U$3:$V$992,2,0),"")</f>
        <v>Činnosti cestovních agentur a cestovních kanceláří</v>
      </c>
      <c r="X344">
        <f>IF(ISNUMBER(SEARCH('1Př1'!$A$35,N344)),MAX($M$2:M343)+1,0)</f>
        <v>342</v>
      </c>
      <c r="Y344" s="336" t="s">
        <v>2101</v>
      </c>
      <c r="Z344" t="str">
        <f>IFERROR(VLOOKUP(ROWS($Z$3:Z344),$X$3:$Y$992,2,0),"")</f>
        <v>Činnosti cestovních agentur a cestovních kanceláří</v>
      </c>
    </row>
    <row r="345" spans="13:26" ht="12.75">
      <c r="M345" s="335">
        <f>IF(ISNUMBER(SEARCH(ZAKL_DATA!$B$29,N345)),MAX($M$2:M344)+1,0)</f>
        <v>343</v>
      </c>
      <c r="N345" s="336" t="s">
        <v>2103</v>
      </c>
      <c r="O345" s="353" t="s">
        <v>2104</v>
      </c>
      <c r="P345" s="338"/>
      <c r="Q345" s="339" t="str">
        <f>IFERROR(VLOOKUP(ROWS($Q$3:Q345),$M$3:$N$992,2,0),"")</f>
        <v>Ostatní rezervační a související činnosti</v>
      </c>
      <c r="R345">
        <f>IF(ISNUMBER(SEARCH('1Př1'!$A$33,N345)),MAX($M$2:M344)+1,0)</f>
        <v>343</v>
      </c>
      <c r="S345" s="336" t="s">
        <v>2103</v>
      </c>
      <c r="T345" t="str">
        <f>IFERROR(VLOOKUP(ROWS($T$3:T345),$R$3:$S$992,2,0),"")</f>
        <v>Ostatní rezervační a související činnosti</v>
      </c>
      <c r="U345">
        <f>IF(ISNUMBER(SEARCH('1Př1'!$A$34,N345)),MAX($M$2:M344)+1,0)</f>
        <v>343</v>
      </c>
      <c r="V345" s="336" t="s">
        <v>2103</v>
      </c>
      <c r="W345" t="str">
        <f>IFERROR(VLOOKUP(ROWS($W$3:W345),$U$3:$V$992,2,0),"")</f>
        <v>Ostatní rezervační a související činnosti</v>
      </c>
      <c r="X345">
        <f>IF(ISNUMBER(SEARCH('1Př1'!$A$35,N345)),MAX($M$2:M344)+1,0)</f>
        <v>343</v>
      </c>
      <c r="Y345" s="336" t="s">
        <v>2103</v>
      </c>
      <c r="Z345" t="str">
        <f>IFERROR(VLOOKUP(ROWS($Z$3:Z345),$X$3:$Y$992,2,0),"")</f>
        <v>Ostatní rezervační a související činnosti</v>
      </c>
    </row>
    <row r="346" spans="13:26" ht="12.75">
      <c r="M346" s="335">
        <f>IF(ISNUMBER(SEARCH(ZAKL_DATA!$B$29,N346)),MAX($M$2:M345)+1,0)</f>
        <v>344</v>
      </c>
      <c r="N346" s="336" t="s">
        <v>2105</v>
      </c>
      <c r="O346" s="353" t="s">
        <v>2106</v>
      </c>
      <c r="P346" s="338"/>
      <c r="Q346" s="339" t="str">
        <f>IFERROR(VLOOKUP(ROWS($Q$3:Q346),$M$3:$N$992,2,0),"")</f>
        <v>Činnosti soukromých bezpečnostních agentur</v>
      </c>
      <c r="R346">
        <f>IF(ISNUMBER(SEARCH('1Př1'!$A$33,N346)),MAX($M$2:M345)+1,0)</f>
        <v>344</v>
      </c>
      <c r="S346" s="336" t="s">
        <v>2105</v>
      </c>
      <c r="T346" t="str">
        <f>IFERROR(VLOOKUP(ROWS($T$3:T346),$R$3:$S$992,2,0),"")</f>
        <v>Činnosti soukromých bezpečnostních agentur</v>
      </c>
      <c r="U346">
        <f>IF(ISNUMBER(SEARCH('1Př1'!$A$34,N346)),MAX($M$2:M345)+1,0)</f>
        <v>344</v>
      </c>
      <c r="V346" s="336" t="s">
        <v>2105</v>
      </c>
      <c r="W346" t="str">
        <f>IFERROR(VLOOKUP(ROWS($W$3:W346),$U$3:$V$992,2,0),"")</f>
        <v>Činnosti soukromých bezpečnostních agentur</v>
      </c>
      <c r="X346">
        <f>IF(ISNUMBER(SEARCH('1Př1'!$A$35,N346)),MAX($M$2:M345)+1,0)</f>
        <v>344</v>
      </c>
      <c r="Y346" s="336" t="s">
        <v>2105</v>
      </c>
      <c r="Z346" t="str">
        <f>IFERROR(VLOOKUP(ROWS($Z$3:Z346),$X$3:$Y$992,2,0),"")</f>
        <v>Činnosti soukromých bezpečnostních agentur</v>
      </c>
    </row>
    <row r="347" spans="13:26" ht="12.75">
      <c r="M347" s="335">
        <f>IF(ISNUMBER(SEARCH(ZAKL_DATA!$B$29,N347)),MAX($M$2:M346)+1,0)</f>
        <v>345</v>
      </c>
      <c r="N347" s="336" t="s">
        <v>2107</v>
      </c>
      <c r="O347" s="353" t="s">
        <v>2108</v>
      </c>
      <c r="P347" s="338"/>
      <c r="Q347" s="339" t="str">
        <f>IFERROR(VLOOKUP(ROWS($Q$3:Q347),$M$3:$N$992,2,0),"")</f>
        <v>Činnosti související s provozem bezpečnostních systémů</v>
      </c>
      <c r="R347">
        <f>IF(ISNUMBER(SEARCH('1Př1'!$A$33,N347)),MAX($M$2:M346)+1,0)</f>
        <v>345</v>
      </c>
      <c r="S347" s="336" t="s">
        <v>2107</v>
      </c>
      <c r="T347" t="str">
        <f>IFERROR(VLOOKUP(ROWS($T$3:T347),$R$3:$S$992,2,0),"")</f>
        <v>Činnosti související s provozem bezpečnostních systémů</v>
      </c>
      <c r="U347">
        <f>IF(ISNUMBER(SEARCH('1Př1'!$A$34,N347)),MAX($M$2:M346)+1,0)</f>
        <v>345</v>
      </c>
      <c r="V347" s="336" t="s">
        <v>2107</v>
      </c>
      <c r="W347" t="str">
        <f>IFERROR(VLOOKUP(ROWS($W$3:W347),$U$3:$V$992,2,0),"")</f>
        <v>Činnosti související s provozem bezpečnostních systémů</v>
      </c>
      <c r="X347">
        <f>IF(ISNUMBER(SEARCH('1Př1'!$A$35,N347)),MAX($M$2:M346)+1,0)</f>
        <v>345</v>
      </c>
      <c r="Y347" s="336" t="s">
        <v>2107</v>
      </c>
      <c r="Z347" t="str">
        <f>IFERROR(VLOOKUP(ROWS($Z$3:Z347),$X$3:$Y$992,2,0),"")</f>
        <v>Činnosti související s provozem bezpečnostních systémů</v>
      </c>
    </row>
    <row r="348" spans="13:26" ht="12.75">
      <c r="M348" s="335">
        <f>IF(ISNUMBER(SEARCH(ZAKL_DATA!$B$29,N348)),MAX($M$2:M347)+1,0)</f>
        <v>346</v>
      </c>
      <c r="N348" s="336" t="s">
        <v>2109</v>
      </c>
      <c r="O348" s="353" t="s">
        <v>2110</v>
      </c>
      <c r="P348" s="338"/>
      <c r="Q348" s="339" t="str">
        <f>IFERROR(VLOOKUP(ROWS($Q$3:Q348),$M$3:$N$992,2,0),"")</f>
        <v>Pátrací činnosti</v>
      </c>
      <c r="R348">
        <f>IF(ISNUMBER(SEARCH('1Př1'!$A$33,N348)),MAX($M$2:M347)+1,0)</f>
        <v>346</v>
      </c>
      <c r="S348" s="336" t="s">
        <v>2109</v>
      </c>
      <c r="T348" t="str">
        <f>IFERROR(VLOOKUP(ROWS($T$3:T348),$R$3:$S$992,2,0),"")</f>
        <v>Pátrací činnosti</v>
      </c>
      <c r="U348">
        <f>IF(ISNUMBER(SEARCH('1Př1'!$A$34,N348)),MAX($M$2:M347)+1,0)</f>
        <v>346</v>
      </c>
      <c r="V348" s="336" t="s">
        <v>2109</v>
      </c>
      <c r="W348" t="str">
        <f>IFERROR(VLOOKUP(ROWS($W$3:W348),$U$3:$V$992,2,0),"")</f>
        <v>Pátrací činnosti</v>
      </c>
      <c r="X348">
        <f>IF(ISNUMBER(SEARCH('1Př1'!$A$35,N348)),MAX($M$2:M347)+1,0)</f>
        <v>346</v>
      </c>
      <c r="Y348" s="336" t="s">
        <v>2109</v>
      </c>
      <c r="Z348" t="str">
        <f>IFERROR(VLOOKUP(ROWS($Z$3:Z348),$X$3:$Y$992,2,0),"")</f>
        <v>Pátrací činnosti</v>
      </c>
    </row>
    <row r="349" spans="13:26" ht="12.75">
      <c r="M349" s="335">
        <f>IF(ISNUMBER(SEARCH(ZAKL_DATA!$B$29,N349)),MAX($M$2:M348)+1,0)</f>
        <v>347</v>
      </c>
      <c r="N349" s="336" t="s">
        <v>2111</v>
      </c>
      <c r="O349" s="353" t="s">
        <v>2112</v>
      </c>
      <c r="P349" s="338"/>
      <c r="Q349" s="339" t="str">
        <f>IFERROR(VLOOKUP(ROWS($Q$3:Q349),$M$3:$N$992,2,0),"")</f>
        <v>Kombinované pomocné činnosti</v>
      </c>
      <c r="R349">
        <f>IF(ISNUMBER(SEARCH('1Př1'!$A$33,N349)),MAX($M$2:M348)+1,0)</f>
        <v>347</v>
      </c>
      <c r="S349" s="336" t="s">
        <v>2111</v>
      </c>
      <c r="T349" t="str">
        <f>IFERROR(VLOOKUP(ROWS($T$3:T349),$R$3:$S$992,2,0),"")</f>
        <v>Kombinované pomocné činnosti</v>
      </c>
      <c r="U349">
        <f>IF(ISNUMBER(SEARCH('1Př1'!$A$34,N349)),MAX($M$2:M348)+1,0)</f>
        <v>347</v>
      </c>
      <c r="V349" s="336" t="s">
        <v>2111</v>
      </c>
      <c r="W349" t="str">
        <f>IFERROR(VLOOKUP(ROWS($W$3:W349),$U$3:$V$992,2,0),"")</f>
        <v>Kombinované pomocné činnosti</v>
      </c>
      <c r="X349">
        <f>IF(ISNUMBER(SEARCH('1Př1'!$A$35,N349)),MAX($M$2:M348)+1,0)</f>
        <v>347</v>
      </c>
      <c r="Y349" s="336" t="s">
        <v>2111</v>
      </c>
      <c r="Z349" t="str">
        <f>IFERROR(VLOOKUP(ROWS($Z$3:Z349),$X$3:$Y$992,2,0),"")</f>
        <v>Kombinované pomocné činnosti</v>
      </c>
    </row>
    <row r="350" spans="13:26" ht="12.75">
      <c r="M350" s="335">
        <f>IF(ISNUMBER(SEARCH(ZAKL_DATA!$B$29,N350)),MAX($M$2:M349)+1,0)</f>
        <v>348</v>
      </c>
      <c r="N350" s="336" t="s">
        <v>2113</v>
      </c>
      <c r="O350" s="353" t="s">
        <v>2114</v>
      </c>
      <c r="P350" s="338"/>
      <c r="Q350" s="339" t="str">
        <f>IFERROR(VLOOKUP(ROWS($Q$3:Q350),$M$3:$N$992,2,0),"")</f>
        <v>Dobývání kamene pro výtv.nebo stav.účely,vápence,sádrovce,křídy,břidl.</v>
      </c>
      <c r="R350">
        <f>IF(ISNUMBER(SEARCH('1Př1'!$A$33,N350)),MAX($M$2:M349)+1,0)</f>
        <v>348</v>
      </c>
      <c r="S350" s="336" t="s">
        <v>2113</v>
      </c>
      <c r="T350" t="str">
        <f>IFERROR(VLOOKUP(ROWS($T$3:T350),$R$3:$S$992,2,0),"")</f>
        <v>Dobývání kamene pro výtv.nebo stav.účely,vápence,sádrovce,křídy,břidl.</v>
      </c>
      <c r="U350">
        <f>IF(ISNUMBER(SEARCH('1Př1'!$A$34,N350)),MAX($M$2:M349)+1,0)</f>
        <v>348</v>
      </c>
      <c r="V350" s="336" t="s">
        <v>2113</v>
      </c>
      <c r="W350" t="str">
        <f>IFERROR(VLOOKUP(ROWS($W$3:W350),$U$3:$V$992,2,0),"")</f>
        <v>Dobývání kamene pro výtv.nebo stav.účely,vápence,sádrovce,křídy,břidl.</v>
      </c>
      <c r="X350">
        <f>IF(ISNUMBER(SEARCH('1Př1'!$A$35,N350)),MAX($M$2:M349)+1,0)</f>
        <v>348</v>
      </c>
      <c r="Y350" s="336" t="s">
        <v>2113</v>
      </c>
      <c r="Z350" t="str">
        <f>IFERROR(VLOOKUP(ROWS($Z$3:Z350),$X$3:$Y$992,2,0),"")</f>
        <v>Dobývání kamene pro výtv.nebo stav.účely,vápence,sádrovce,křídy,břidl.</v>
      </c>
    </row>
    <row r="351" spans="13:26" ht="12.75">
      <c r="M351" s="335">
        <f>IF(ISNUMBER(SEARCH(ZAKL_DATA!$B$29,N351)),MAX($M$2:M350)+1,0)</f>
        <v>349</v>
      </c>
      <c r="N351" s="336" t="s">
        <v>2115</v>
      </c>
      <c r="O351" s="353" t="s">
        <v>2116</v>
      </c>
      <c r="P351" s="338"/>
      <c r="Q351" s="339" t="str">
        <f>IFERROR(VLOOKUP(ROWS($Q$3:Q351),$M$3:$N$992,2,0),"")</f>
        <v>Úklidové činnosti</v>
      </c>
      <c r="R351">
        <f>IF(ISNUMBER(SEARCH('1Př1'!$A$33,N351)),MAX($M$2:M350)+1,0)</f>
        <v>349</v>
      </c>
      <c r="S351" s="336" t="s">
        <v>2115</v>
      </c>
      <c r="T351" t="str">
        <f>IFERROR(VLOOKUP(ROWS($T$3:T351),$R$3:$S$992,2,0),"")</f>
        <v>Úklidové činnosti</v>
      </c>
      <c r="U351">
        <f>IF(ISNUMBER(SEARCH('1Př1'!$A$34,N351)),MAX($M$2:M350)+1,0)</f>
        <v>349</v>
      </c>
      <c r="V351" s="336" t="s">
        <v>2115</v>
      </c>
      <c r="W351" t="str">
        <f>IFERROR(VLOOKUP(ROWS($W$3:W351),$U$3:$V$992,2,0),"")</f>
        <v>Úklidové činnosti</v>
      </c>
      <c r="X351">
        <f>IF(ISNUMBER(SEARCH('1Př1'!$A$35,N351)),MAX($M$2:M350)+1,0)</f>
        <v>349</v>
      </c>
      <c r="Y351" s="336" t="s">
        <v>2115</v>
      </c>
      <c r="Z351" t="str">
        <f>IFERROR(VLOOKUP(ROWS($Z$3:Z351),$X$3:$Y$992,2,0),"")</f>
        <v>Úklidové činnosti</v>
      </c>
    </row>
    <row r="352" spans="13:26" ht="12.75">
      <c r="M352" s="335">
        <f>IF(ISNUMBER(SEARCH(ZAKL_DATA!$B$29,N352)),MAX($M$2:M351)+1,0)</f>
        <v>350</v>
      </c>
      <c r="N352" s="336" t="s">
        <v>2117</v>
      </c>
      <c r="O352" s="353" t="s">
        <v>2118</v>
      </c>
      <c r="P352" s="338"/>
      <c r="Q352" s="339" t="str">
        <f>IFERROR(VLOOKUP(ROWS($Q$3:Q352),$M$3:$N$992,2,0),"")</f>
        <v>Provoz pískoven a štěrkopískoven; těžba jílů a kaolinu</v>
      </c>
      <c r="R352">
        <f>IF(ISNUMBER(SEARCH('1Př1'!$A$33,N352)),MAX($M$2:M351)+1,0)</f>
        <v>350</v>
      </c>
      <c r="S352" s="336" t="s">
        <v>2117</v>
      </c>
      <c r="T352" t="str">
        <f>IFERROR(VLOOKUP(ROWS($T$3:T352),$R$3:$S$992,2,0),"")</f>
        <v>Provoz pískoven a štěrkopískoven; těžba jílů a kaolinu</v>
      </c>
      <c r="U352">
        <f>IF(ISNUMBER(SEARCH('1Př1'!$A$34,N352)),MAX($M$2:M351)+1,0)</f>
        <v>350</v>
      </c>
      <c r="V352" s="336" t="s">
        <v>2117</v>
      </c>
      <c r="W352" t="str">
        <f>IFERROR(VLOOKUP(ROWS($W$3:W352),$U$3:$V$992,2,0),"")</f>
        <v>Provoz pískoven a štěrkopískoven; těžba jílů a kaolinu</v>
      </c>
      <c r="X352">
        <f>IF(ISNUMBER(SEARCH('1Př1'!$A$35,N352)),MAX($M$2:M351)+1,0)</f>
        <v>350</v>
      </c>
      <c r="Y352" s="336" t="s">
        <v>2117</v>
      </c>
      <c r="Z352" t="str">
        <f>IFERROR(VLOOKUP(ROWS($Z$3:Z352),$X$3:$Y$992,2,0),"")</f>
        <v>Provoz pískoven a štěrkopískoven; těžba jílů a kaolinu</v>
      </c>
    </row>
    <row r="353" spans="13:26" ht="12.75">
      <c r="M353" s="335">
        <f>IF(ISNUMBER(SEARCH(ZAKL_DATA!$B$29,N353)),MAX($M$2:M352)+1,0)</f>
        <v>351</v>
      </c>
      <c r="N353" s="336" t="s">
        <v>2119</v>
      </c>
      <c r="O353" s="353" t="s">
        <v>2120</v>
      </c>
      <c r="P353" s="338"/>
      <c r="Q353" s="339" t="str">
        <f>IFERROR(VLOOKUP(ROWS($Q$3:Q353),$M$3:$N$992,2,0),"")</f>
        <v>Činnosti související s úpravou krajiny</v>
      </c>
      <c r="R353">
        <f>IF(ISNUMBER(SEARCH('1Př1'!$A$33,N353)),MAX($M$2:M352)+1,0)</f>
        <v>351</v>
      </c>
      <c r="S353" s="336" t="s">
        <v>2119</v>
      </c>
      <c r="T353" t="str">
        <f>IFERROR(VLOOKUP(ROWS($T$3:T353),$R$3:$S$992,2,0),"")</f>
        <v>Činnosti související s úpravou krajiny</v>
      </c>
      <c r="U353">
        <f>IF(ISNUMBER(SEARCH('1Př1'!$A$34,N353)),MAX($M$2:M352)+1,0)</f>
        <v>351</v>
      </c>
      <c r="V353" s="336" t="s">
        <v>2119</v>
      </c>
      <c r="W353" t="str">
        <f>IFERROR(VLOOKUP(ROWS($W$3:W353),$U$3:$V$992,2,0),"")</f>
        <v>Činnosti související s úpravou krajiny</v>
      </c>
      <c r="X353">
        <f>IF(ISNUMBER(SEARCH('1Př1'!$A$35,N353)),MAX($M$2:M352)+1,0)</f>
        <v>351</v>
      </c>
      <c r="Y353" s="336" t="s">
        <v>2119</v>
      </c>
      <c r="Z353" t="str">
        <f>IFERROR(VLOOKUP(ROWS($Z$3:Z353),$X$3:$Y$992,2,0),"")</f>
        <v>Činnosti související s úpravou krajiny</v>
      </c>
    </row>
    <row r="354" spans="13:26" ht="12.75">
      <c r="M354" s="335">
        <f>IF(ISNUMBER(SEARCH(ZAKL_DATA!$B$29,N354)),MAX($M$2:M353)+1,0)</f>
        <v>352</v>
      </c>
      <c r="N354" s="336" t="s">
        <v>2121</v>
      </c>
      <c r="O354" s="353" t="s">
        <v>2122</v>
      </c>
      <c r="P354" s="338"/>
      <c r="Q354" s="339" t="str">
        <f>IFERROR(VLOOKUP(ROWS($Q$3:Q354),$M$3:$N$992,2,0),"")</f>
        <v>Administrativní a kancelářské činnosti</v>
      </c>
      <c r="R354">
        <f>IF(ISNUMBER(SEARCH('1Př1'!$A$33,N354)),MAX($M$2:M353)+1,0)</f>
        <v>352</v>
      </c>
      <c r="S354" s="336" t="s">
        <v>2121</v>
      </c>
      <c r="T354" t="str">
        <f>IFERROR(VLOOKUP(ROWS($T$3:T354),$R$3:$S$992,2,0),"")</f>
        <v>Administrativní a kancelářské činnosti</v>
      </c>
      <c r="U354">
        <f>IF(ISNUMBER(SEARCH('1Př1'!$A$34,N354)),MAX($M$2:M353)+1,0)</f>
        <v>352</v>
      </c>
      <c r="V354" s="336" t="s">
        <v>2121</v>
      </c>
      <c r="W354" t="str">
        <f>IFERROR(VLOOKUP(ROWS($W$3:W354),$U$3:$V$992,2,0),"")</f>
        <v>Administrativní a kancelářské činnosti</v>
      </c>
      <c r="X354">
        <f>IF(ISNUMBER(SEARCH('1Př1'!$A$35,N354)),MAX($M$2:M353)+1,0)</f>
        <v>352</v>
      </c>
      <c r="Y354" s="336" t="s">
        <v>2121</v>
      </c>
      <c r="Z354" t="str">
        <f>IFERROR(VLOOKUP(ROWS($Z$3:Z354),$X$3:$Y$992,2,0),"")</f>
        <v>Administrativní a kancelářské činnosti</v>
      </c>
    </row>
    <row r="355" spans="13:26" ht="12.75">
      <c r="M355" s="335">
        <f>IF(ISNUMBER(SEARCH(ZAKL_DATA!$B$29,N355)),MAX($M$2:M354)+1,0)</f>
        <v>353</v>
      </c>
      <c r="N355" s="336" t="s">
        <v>2123</v>
      </c>
      <c r="O355" s="353" t="s">
        <v>2124</v>
      </c>
      <c r="P355" s="338"/>
      <c r="Q355" s="339" t="str">
        <f>IFERROR(VLOOKUP(ROWS($Q$3:Q355),$M$3:$N$992,2,0),"")</f>
        <v>Činnosti zprostředkovatelských středisek po telefonu</v>
      </c>
      <c r="R355">
        <f>IF(ISNUMBER(SEARCH('1Př1'!$A$33,N355)),MAX($M$2:M354)+1,0)</f>
        <v>353</v>
      </c>
      <c r="S355" s="336" t="s">
        <v>2123</v>
      </c>
      <c r="T355" t="str">
        <f>IFERROR(VLOOKUP(ROWS($T$3:T355),$R$3:$S$992,2,0),"")</f>
        <v>Činnosti zprostředkovatelských středisek po telefonu</v>
      </c>
      <c r="U355">
        <f>IF(ISNUMBER(SEARCH('1Př1'!$A$34,N355)),MAX($M$2:M354)+1,0)</f>
        <v>353</v>
      </c>
      <c r="V355" s="336" t="s">
        <v>2123</v>
      </c>
      <c r="W355" t="str">
        <f>IFERROR(VLOOKUP(ROWS($W$3:W355),$U$3:$V$992,2,0),"")</f>
        <v>Činnosti zprostředkovatelských středisek po telefonu</v>
      </c>
      <c r="X355">
        <f>IF(ISNUMBER(SEARCH('1Př1'!$A$35,N355)),MAX($M$2:M354)+1,0)</f>
        <v>353</v>
      </c>
      <c r="Y355" s="336" t="s">
        <v>2123</v>
      </c>
      <c r="Z355" t="str">
        <f>IFERROR(VLOOKUP(ROWS($Z$3:Z355),$X$3:$Y$992,2,0),"")</f>
        <v>Činnosti zprostředkovatelských středisek po telefonu</v>
      </c>
    </row>
    <row r="356" spans="13:26" ht="12.75">
      <c r="M356" s="335">
        <f>IF(ISNUMBER(SEARCH(ZAKL_DATA!$B$29,N356)),MAX($M$2:M355)+1,0)</f>
        <v>354</v>
      </c>
      <c r="N356" s="336" t="s">
        <v>2125</v>
      </c>
      <c r="O356" s="353" t="s">
        <v>2126</v>
      </c>
      <c r="P356" s="338"/>
      <c r="Q356" s="339" t="str">
        <f>IFERROR(VLOOKUP(ROWS($Q$3:Q356),$M$3:$N$992,2,0),"")</f>
        <v>Pořádání konferencí a hospodářských výstav</v>
      </c>
      <c r="R356">
        <f>IF(ISNUMBER(SEARCH('1Př1'!$A$33,N356)),MAX($M$2:M355)+1,0)</f>
        <v>354</v>
      </c>
      <c r="S356" s="336" t="s">
        <v>2125</v>
      </c>
      <c r="T356" t="str">
        <f>IFERROR(VLOOKUP(ROWS($T$3:T356),$R$3:$S$992,2,0),"")</f>
        <v>Pořádání konferencí a hospodářských výstav</v>
      </c>
      <c r="U356">
        <f>IF(ISNUMBER(SEARCH('1Př1'!$A$34,N356)),MAX($M$2:M355)+1,0)</f>
        <v>354</v>
      </c>
      <c r="V356" s="336" t="s">
        <v>2125</v>
      </c>
      <c r="W356" t="str">
        <f>IFERROR(VLOOKUP(ROWS($W$3:W356),$U$3:$V$992,2,0),"")</f>
        <v>Pořádání konferencí a hospodářských výstav</v>
      </c>
      <c r="X356">
        <f>IF(ISNUMBER(SEARCH('1Př1'!$A$35,N356)),MAX($M$2:M355)+1,0)</f>
        <v>354</v>
      </c>
      <c r="Y356" s="336" t="s">
        <v>2125</v>
      </c>
      <c r="Z356" t="str">
        <f>IFERROR(VLOOKUP(ROWS($Z$3:Z356),$X$3:$Y$992,2,0),"")</f>
        <v>Pořádání konferencí a hospodářských výstav</v>
      </c>
    </row>
    <row r="357" spans="13:26" ht="12.75">
      <c r="M357" s="335">
        <f>IF(ISNUMBER(SEARCH(ZAKL_DATA!$B$29,N357)),MAX($M$2:M356)+1,0)</f>
        <v>355</v>
      </c>
      <c r="N357" s="336" t="s">
        <v>2127</v>
      </c>
      <c r="O357" s="353" t="s">
        <v>2128</v>
      </c>
      <c r="P357" s="338"/>
      <c r="Q357" s="339" t="str">
        <f>IFERROR(VLOOKUP(ROWS($Q$3:Q357),$M$3:$N$992,2,0),"")</f>
        <v>Podpůrné činnosti pro podnikání j. n.</v>
      </c>
      <c r="R357">
        <f>IF(ISNUMBER(SEARCH('1Př1'!$A$33,N357)),MAX($M$2:M356)+1,0)</f>
        <v>355</v>
      </c>
      <c r="S357" s="336" t="s">
        <v>2127</v>
      </c>
      <c r="T357" t="str">
        <f>IFERROR(VLOOKUP(ROWS($T$3:T357),$R$3:$S$992,2,0),"")</f>
        <v>Podpůrné činnosti pro podnikání j. n.</v>
      </c>
      <c r="U357">
        <f>IF(ISNUMBER(SEARCH('1Př1'!$A$34,N357)),MAX($M$2:M356)+1,0)</f>
        <v>355</v>
      </c>
      <c r="V357" s="336" t="s">
        <v>2127</v>
      </c>
      <c r="W357" t="str">
        <f>IFERROR(VLOOKUP(ROWS($W$3:W357),$U$3:$V$992,2,0),"")</f>
        <v>Podpůrné činnosti pro podnikání j. n.</v>
      </c>
      <c r="X357">
        <f>IF(ISNUMBER(SEARCH('1Př1'!$A$35,N357)),MAX($M$2:M356)+1,0)</f>
        <v>355</v>
      </c>
      <c r="Y357" s="336" t="s">
        <v>2127</v>
      </c>
      <c r="Z357" t="str">
        <f>IFERROR(VLOOKUP(ROWS($Z$3:Z357),$X$3:$Y$992,2,0),"")</f>
        <v>Podpůrné činnosti pro podnikání j. n.</v>
      </c>
    </row>
    <row r="358" spans="13:26" ht="12.75">
      <c r="M358" s="335">
        <f>IF(ISNUMBER(SEARCH(ZAKL_DATA!$B$29,N358)),MAX($M$2:M357)+1,0)</f>
        <v>356</v>
      </c>
      <c r="N358" s="336" t="s">
        <v>2129</v>
      </c>
      <c r="O358" s="353" t="s">
        <v>2130</v>
      </c>
      <c r="P358" s="338"/>
      <c r="Q358" s="339" t="str">
        <f>IFERROR(VLOOKUP(ROWS($Q$3:Q358),$M$3:$N$992,2,0),"")</f>
        <v>Veřejná správa a hospodářská a sociální politika</v>
      </c>
      <c r="R358">
        <f>IF(ISNUMBER(SEARCH('1Př1'!$A$33,N358)),MAX($M$2:M357)+1,0)</f>
        <v>356</v>
      </c>
      <c r="S358" s="336" t="s">
        <v>2129</v>
      </c>
      <c r="T358" t="str">
        <f>IFERROR(VLOOKUP(ROWS($T$3:T358),$R$3:$S$992,2,0),"")</f>
        <v>Veřejná správa a hospodářská a sociální politika</v>
      </c>
      <c r="U358">
        <f>IF(ISNUMBER(SEARCH('1Př1'!$A$34,N358)),MAX($M$2:M357)+1,0)</f>
        <v>356</v>
      </c>
      <c r="V358" s="336" t="s">
        <v>2129</v>
      </c>
      <c r="W358" t="str">
        <f>IFERROR(VLOOKUP(ROWS($W$3:W358),$U$3:$V$992,2,0),"")</f>
        <v>Veřejná správa a hospodářská a sociální politika</v>
      </c>
      <c r="X358">
        <f>IF(ISNUMBER(SEARCH('1Př1'!$A$35,N358)),MAX($M$2:M357)+1,0)</f>
        <v>356</v>
      </c>
      <c r="Y358" s="336" t="s">
        <v>2129</v>
      </c>
      <c r="Z358" t="str">
        <f>IFERROR(VLOOKUP(ROWS($Z$3:Z358),$X$3:$Y$992,2,0),"")</f>
        <v>Veřejná správa a hospodářská a sociální politika</v>
      </c>
    </row>
    <row r="359" spans="13:26" ht="12.75">
      <c r="M359" s="335">
        <f>IF(ISNUMBER(SEARCH(ZAKL_DATA!$B$29,N359)),MAX($M$2:M358)+1,0)</f>
        <v>357</v>
      </c>
      <c r="N359" s="336" t="s">
        <v>2131</v>
      </c>
      <c r="O359" s="353" t="s">
        <v>2132</v>
      </c>
      <c r="P359" s="338"/>
      <c r="Q359" s="339" t="str">
        <f>IFERROR(VLOOKUP(ROWS($Q$3:Q359),$M$3:$N$992,2,0),"")</f>
        <v>Činnosti pro společnost jako celek</v>
      </c>
      <c r="R359">
        <f>IF(ISNUMBER(SEARCH('1Př1'!$A$33,N359)),MAX($M$2:M358)+1,0)</f>
        <v>357</v>
      </c>
      <c r="S359" s="336" t="s">
        <v>2131</v>
      </c>
      <c r="T359" t="str">
        <f>IFERROR(VLOOKUP(ROWS($T$3:T359),$R$3:$S$992,2,0),"")</f>
        <v>Činnosti pro společnost jako celek</v>
      </c>
      <c r="U359">
        <f>IF(ISNUMBER(SEARCH('1Př1'!$A$34,N359)),MAX($M$2:M358)+1,0)</f>
        <v>357</v>
      </c>
      <c r="V359" s="336" t="s">
        <v>2131</v>
      </c>
      <c r="W359" t="str">
        <f>IFERROR(VLOOKUP(ROWS($W$3:W359),$U$3:$V$992,2,0),"")</f>
        <v>Činnosti pro společnost jako celek</v>
      </c>
      <c r="X359">
        <f>IF(ISNUMBER(SEARCH('1Př1'!$A$35,N359)),MAX($M$2:M358)+1,0)</f>
        <v>357</v>
      </c>
      <c r="Y359" s="336" t="s">
        <v>2131</v>
      </c>
      <c r="Z359" t="str">
        <f>IFERROR(VLOOKUP(ROWS($Z$3:Z359),$X$3:$Y$992,2,0),"")</f>
        <v>Činnosti pro společnost jako celek</v>
      </c>
    </row>
    <row r="360" spans="13:26" ht="12.75">
      <c r="M360" s="335">
        <f>IF(ISNUMBER(SEARCH(ZAKL_DATA!$B$29,N360)),MAX($M$2:M359)+1,0)</f>
        <v>358</v>
      </c>
      <c r="N360" s="336" t="s">
        <v>2133</v>
      </c>
      <c r="O360" s="353" t="s">
        <v>2134</v>
      </c>
      <c r="P360" s="338"/>
      <c r="Q360" s="339" t="str">
        <f>IFERROR(VLOOKUP(ROWS($Q$3:Q360),$M$3:$N$992,2,0),"")</f>
        <v>Činnosti v oblasti povinného sociálního zabezpečení</v>
      </c>
      <c r="R360">
        <f>IF(ISNUMBER(SEARCH('1Př1'!$A$33,N360)),MAX($M$2:M359)+1,0)</f>
        <v>358</v>
      </c>
      <c r="S360" s="336" t="s">
        <v>2133</v>
      </c>
      <c r="T360" t="str">
        <f>IFERROR(VLOOKUP(ROWS($T$3:T360),$R$3:$S$992,2,0),"")</f>
        <v>Činnosti v oblasti povinného sociálního zabezpečení</v>
      </c>
      <c r="U360">
        <f>IF(ISNUMBER(SEARCH('1Př1'!$A$34,N360)),MAX($M$2:M359)+1,0)</f>
        <v>358</v>
      </c>
      <c r="V360" s="336" t="s">
        <v>2133</v>
      </c>
      <c r="W360" t="str">
        <f>IFERROR(VLOOKUP(ROWS($W$3:W360),$U$3:$V$992,2,0),"")</f>
        <v>Činnosti v oblasti povinného sociálního zabezpečení</v>
      </c>
      <c r="X360">
        <f>IF(ISNUMBER(SEARCH('1Př1'!$A$35,N360)),MAX($M$2:M359)+1,0)</f>
        <v>358</v>
      </c>
      <c r="Y360" s="336" t="s">
        <v>2133</v>
      </c>
      <c r="Z360" t="str">
        <f>IFERROR(VLOOKUP(ROWS($Z$3:Z360),$X$3:$Y$992,2,0),"")</f>
        <v>Činnosti v oblasti povinného sociálního zabezpečení</v>
      </c>
    </row>
    <row r="361" spans="13:26" ht="12.75">
      <c r="M361" s="335">
        <f>IF(ISNUMBER(SEARCH(ZAKL_DATA!$B$29,N361)),MAX($M$2:M360)+1,0)</f>
        <v>359</v>
      </c>
      <c r="N361" s="336" t="s">
        <v>2135</v>
      </c>
      <c r="O361" s="353" t="s">
        <v>2136</v>
      </c>
      <c r="P361" s="338"/>
      <c r="Q361" s="339" t="str">
        <f>IFERROR(VLOOKUP(ROWS($Q$3:Q361),$M$3:$N$992,2,0),"")</f>
        <v>Předškolní vzdělávání</v>
      </c>
      <c r="R361">
        <f>IF(ISNUMBER(SEARCH('1Př1'!$A$33,N361)),MAX($M$2:M360)+1,0)</f>
        <v>359</v>
      </c>
      <c r="S361" s="336" t="s">
        <v>2135</v>
      </c>
      <c r="T361" t="str">
        <f>IFERROR(VLOOKUP(ROWS($T$3:T361),$R$3:$S$992,2,0),"")</f>
        <v>Předškolní vzdělávání</v>
      </c>
      <c r="U361">
        <f>IF(ISNUMBER(SEARCH('1Př1'!$A$34,N361)),MAX($M$2:M360)+1,0)</f>
        <v>359</v>
      </c>
      <c r="V361" s="336" t="s">
        <v>2135</v>
      </c>
      <c r="W361" t="str">
        <f>IFERROR(VLOOKUP(ROWS($W$3:W361),$U$3:$V$992,2,0),"")</f>
        <v>Předškolní vzdělávání</v>
      </c>
      <c r="X361">
        <f>IF(ISNUMBER(SEARCH('1Př1'!$A$35,N361)),MAX($M$2:M360)+1,0)</f>
        <v>359</v>
      </c>
      <c r="Y361" s="336" t="s">
        <v>2135</v>
      </c>
      <c r="Z361" t="str">
        <f>IFERROR(VLOOKUP(ROWS($Z$3:Z361),$X$3:$Y$992,2,0),"")</f>
        <v>Předškolní vzdělávání</v>
      </c>
    </row>
    <row r="362" spans="13:26" ht="12.75">
      <c r="M362" s="335">
        <f>IF(ISNUMBER(SEARCH(ZAKL_DATA!$B$29,N362)),MAX($M$2:M361)+1,0)</f>
        <v>360</v>
      </c>
      <c r="N362" s="336" t="s">
        <v>2137</v>
      </c>
      <c r="O362" s="353" t="s">
        <v>2138</v>
      </c>
      <c r="P362" s="338"/>
      <c r="Q362" s="339" t="str">
        <f>IFERROR(VLOOKUP(ROWS($Q$3:Q362),$M$3:$N$992,2,0),"")</f>
        <v>Primární vzdělávání</v>
      </c>
      <c r="R362">
        <f>IF(ISNUMBER(SEARCH('1Př1'!$A$33,N362)),MAX($M$2:M361)+1,0)</f>
        <v>360</v>
      </c>
      <c r="S362" s="336" t="s">
        <v>2137</v>
      </c>
      <c r="T362" t="str">
        <f>IFERROR(VLOOKUP(ROWS($T$3:T362),$R$3:$S$992,2,0),"")</f>
        <v>Primární vzdělávání</v>
      </c>
      <c r="U362">
        <f>IF(ISNUMBER(SEARCH('1Př1'!$A$34,N362)),MAX($M$2:M361)+1,0)</f>
        <v>360</v>
      </c>
      <c r="V362" s="336" t="s">
        <v>2137</v>
      </c>
      <c r="W362" t="str">
        <f>IFERROR(VLOOKUP(ROWS($W$3:W362),$U$3:$V$992,2,0),"")</f>
        <v>Primární vzdělávání</v>
      </c>
      <c r="X362">
        <f>IF(ISNUMBER(SEARCH('1Př1'!$A$35,N362)),MAX($M$2:M361)+1,0)</f>
        <v>360</v>
      </c>
      <c r="Y362" s="336" t="s">
        <v>2137</v>
      </c>
      <c r="Z362" t="str">
        <f>IFERROR(VLOOKUP(ROWS($Z$3:Z362),$X$3:$Y$992,2,0),"")</f>
        <v>Primární vzdělávání</v>
      </c>
    </row>
    <row r="363" spans="13:26" ht="12.75">
      <c r="M363" s="335">
        <f>IF(ISNUMBER(SEARCH(ZAKL_DATA!$B$29,N363)),MAX($M$2:M362)+1,0)</f>
        <v>361</v>
      </c>
      <c r="N363" s="336" t="s">
        <v>2139</v>
      </c>
      <c r="O363" s="353" t="s">
        <v>2140</v>
      </c>
      <c r="P363" s="338"/>
      <c r="Q363" s="339" t="str">
        <f>IFERROR(VLOOKUP(ROWS($Q$3:Q363),$M$3:$N$992,2,0),"")</f>
        <v>Sekundární vzdělávání</v>
      </c>
      <c r="R363">
        <f>IF(ISNUMBER(SEARCH('1Př1'!$A$33,N363)),MAX($M$2:M362)+1,0)</f>
        <v>361</v>
      </c>
      <c r="S363" s="336" t="s">
        <v>2139</v>
      </c>
      <c r="T363" t="str">
        <f>IFERROR(VLOOKUP(ROWS($T$3:T363),$R$3:$S$992,2,0),"")</f>
        <v>Sekundární vzdělávání</v>
      </c>
      <c r="U363">
        <f>IF(ISNUMBER(SEARCH('1Př1'!$A$34,N363)),MAX($M$2:M362)+1,0)</f>
        <v>361</v>
      </c>
      <c r="V363" s="336" t="s">
        <v>2139</v>
      </c>
      <c r="W363" t="str">
        <f>IFERROR(VLOOKUP(ROWS($W$3:W363),$U$3:$V$992,2,0),"")</f>
        <v>Sekundární vzdělávání</v>
      </c>
      <c r="X363">
        <f>IF(ISNUMBER(SEARCH('1Př1'!$A$35,N363)),MAX($M$2:M362)+1,0)</f>
        <v>361</v>
      </c>
      <c r="Y363" s="336" t="s">
        <v>2139</v>
      </c>
      <c r="Z363" t="str">
        <f>IFERROR(VLOOKUP(ROWS($Z$3:Z363),$X$3:$Y$992,2,0),"")</f>
        <v>Sekundární vzdělávání</v>
      </c>
    </row>
    <row r="364" spans="13:26" ht="12.75">
      <c r="M364" s="335">
        <f>IF(ISNUMBER(SEARCH(ZAKL_DATA!$B$29,N364)),MAX($M$2:M363)+1,0)</f>
        <v>362</v>
      </c>
      <c r="N364" s="336" t="s">
        <v>2141</v>
      </c>
      <c r="O364" s="353" t="s">
        <v>2142</v>
      </c>
      <c r="P364" s="338"/>
      <c r="Q364" s="339" t="str">
        <f>IFERROR(VLOOKUP(ROWS($Q$3:Q364),$M$3:$N$992,2,0),"")</f>
        <v>Postsekundární vzdělávání</v>
      </c>
      <c r="R364">
        <f>IF(ISNUMBER(SEARCH('1Př1'!$A$33,N364)),MAX($M$2:M363)+1,0)</f>
        <v>362</v>
      </c>
      <c r="S364" s="336" t="s">
        <v>2141</v>
      </c>
      <c r="T364" t="str">
        <f>IFERROR(VLOOKUP(ROWS($T$3:T364),$R$3:$S$992,2,0),"")</f>
        <v>Postsekundární vzdělávání</v>
      </c>
      <c r="U364">
        <f>IF(ISNUMBER(SEARCH('1Př1'!$A$34,N364)),MAX($M$2:M363)+1,0)</f>
        <v>362</v>
      </c>
      <c r="V364" s="336" t="s">
        <v>2141</v>
      </c>
      <c r="W364" t="str">
        <f>IFERROR(VLOOKUP(ROWS($W$3:W364),$U$3:$V$992,2,0),"")</f>
        <v>Postsekundární vzdělávání</v>
      </c>
      <c r="X364">
        <f>IF(ISNUMBER(SEARCH('1Př1'!$A$35,N364)),MAX($M$2:M363)+1,0)</f>
        <v>362</v>
      </c>
      <c r="Y364" s="336" t="s">
        <v>2141</v>
      </c>
      <c r="Z364" t="str">
        <f>IFERROR(VLOOKUP(ROWS($Z$3:Z364),$X$3:$Y$992,2,0),"")</f>
        <v>Postsekundární vzdělávání</v>
      </c>
    </row>
    <row r="365" spans="13:26" ht="12.75">
      <c r="M365" s="335">
        <f>IF(ISNUMBER(SEARCH(ZAKL_DATA!$B$29,N365)),MAX($M$2:M364)+1,0)</f>
        <v>363</v>
      </c>
      <c r="N365" s="336" t="s">
        <v>2143</v>
      </c>
      <c r="O365" s="353" t="s">
        <v>2144</v>
      </c>
      <c r="P365" s="338"/>
      <c r="Q365" s="339" t="str">
        <f>IFERROR(VLOOKUP(ROWS($Q$3:Q365),$M$3:$N$992,2,0),"")</f>
        <v>Ostatní vzdělávání</v>
      </c>
      <c r="R365">
        <f>IF(ISNUMBER(SEARCH('1Př1'!$A$33,N365)),MAX($M$2:M364)+1,0)</f>
        <v>363</v>
      </c>
      <c r="S365" s="336" t="s">
        <v>2143</v>
      </c>
      <c r="T365" t="str">
        <f>IFERROR(VLOOKUP(ROWS($T$3:T365),$R$3:$S$992,2,0),"")</f>
        <v>Ostatní vzdělávání</v>
      </c>
      <c r="U365">
        <f>IF(ISNUMBER(SEARCH('1Př1'!$A$34,N365)),MAX($M$2:M364)+1,0)</f>
        <v>363</v>
      </c>
      <c r="V365" s="336" t="s">
        <v>2143</v>
      </c>
      <c r="W365" t="str">
        <f>IFERROR(VLOOKUP(ROWS($W$3:W365),$U$3:$V$992,2,0),"")</f>
        <v>Ostatní vzdělávání</v>
      </c>
      <c r="X365">
        <f>IF(ISNUMBER(SEARCH('1Př1'!$A$35,N365)),MAX($M$2:M364)+1,0)</f>
        <v>363</v>
      </c>
      <c r="Y365" s="336" t="s">
        <v>2143</v>
      </c>
      <c r="Z365" t="str">
        <f>IFERROR(VLOOKUP(ROWS($Z$3:Z365),$X$3:$Y$992,2,0),"")</f>
        <v>Ostatní vzdělávání</v>
      </c>
    </row>
    <row r="366" spans="13:26" ht="12.75">
      <c r="M366" s="335">
        <f>IF(ISNUMBER(SEARCH(ZAKL_DATA!$B$29,N366)),MAX($M$2:M365)+1,0)</f>
        <v>364</v>
      </c>
      <c r="N366" s="336" t="s">
        <v>2145</v>
      </c>
      <c r="O366" s="353" t="s">
        <v>2146</v>
      </c>
      <c r="P366" s="338"/>
      <c r="Q366" s="339" t="str">
        <f>IFERROR(VLOOKUP(ROWS($Q$3:Q366),$M$3:$N$992,2,0),"")</f>
        <v>Podpůrné činnosti ve vzdělávání</v>
      </c>
      <c r="R366">
        <f>IF(ISNUMBER(SEARCH('1Př1'!$A$33,N366)),MAX($M$2:M365)+1,0)</f>
        <v>364</v>
      </c>
      <c r="S366" s="336" t="s">
        <v>2145</v>
      </c>
      <c r="T366" t="str">
        <f>IFERROR(VLOOKUP(ROWS($T$3:T366),$R$3:$S$992,2,0),"")</f>
        <v>Podpůrné činnosti ve vzdělávání</v>
      </c>
      <c r="U366">
        <f>IF(ISNUMBER(SEARCH('1Př1'!$A$34,N366)),MAX($M$2:M365)+1,0)</f>
        <v>364</v>
      </c>
      <c r="V366" s="336" t="s">
        <v>2145</v>
      </c>
      <c r="W366" t="str">
        <f>IFERROR(VLOOKUP(ROWS($W$3:W366),$U$3:$V$992,2,0),"")</f>
        <v>Podpůrné činnosti ve vzdělávání</v>
      </c>
      <c r="X366">
        <f>IF(ISNUMBER(SEARCH('1Př1'!$A$35,N366)),MAX($M$2:M365)+1,0)</f>
        <v>364</v>
      </c>
      <c r="Y366" s="336" t="s">
        <v>2145</v>
      </c>
      <c r="Z366" t="str">
        <f>IFERROR(VLOOKUP(ROWS($Z$3:Z366),$X$3:$Y$992,2,0),"")</f>
        <v>Podpůrné činnosti ve vzdělávání</v>
      </c>
    </row>
    <row r="367" spans="13:26" ht="12.75">
      <c r="M367" s="335">
        <f>IF(ISNUMBER(SEARCH(ZAKL_DATA!$B$29,N367)),MAX($M$2:M366)+1,0)</f>
        <v>365</v>
      </c>
      <c r="N367" s="336" t="s">
        <v>2147</v>
      </c>
      <c r="O367" s="353" t="s">
        <v>2148</v>
      </c>
      <c r="P367" s="338"/>
      <c r="Q367" s="339" t="str">
        <f>IFERROR(VLOOKUP(ROWS($Q$3:Q367),$M$3:$N$992,2,0),"")</f>
        <v>Ústavní zdravotní péče</v>
      </c>
      <c r="R367">
        <f>IF(ISNUMBER(SEARCH('1Př1'!$A$33,N367)),MAX($M$2:M366)+1,0)</f>
        <v>365</v>
      </c>
      <c r="S367" s="336" t="s">
        <v>2147</v>
      </c>
      <c r="T367" t="str">
        <f>IFERROR(VLOOKUP(ROWS($T$3:T367),$R$3:$S$992,2,0),"")</f>
        <v>Ústavní zdravotní péče</v>
      </c>
      <c r="U367">
        <f>IF(ISNUMBER(SEARCH('1Př1'!$A$34,N367)),MAX($M$2:M366)+1,0)</f>
        <v>365</v>
      </c>
      <c r="V367" s="336" t="s">
        <v>2147</v>
      </c>
      <c r="W367" t="str">
        <f>IFERROR(VLOOKUP(ROWS($W$3:W367),$U$3:$V$992,2,0),"")</f>
        <v>Ústavní zdravotní péče</v>
      </c>
      <c r="X367">
        <f>IF(ISNUMBER(SEARCH('1Př1'!$A$35,N367)),MAX($M$2:M366)+1,0)</f>
        <v>365</v>
      </c>
      <c r="Y367" s="336" t="s">
        <v>2147</v>
      </c>
      <c r="Z367" t="str">
        <f>IFERROR(VLOOKUP(ROWS($Z$3:Z367),$X$3:$Y$992,2,0),"")</f>
        <v>Ústavní zdravotní péče</v>
      </c>
    </row>
    <row r="368" spans="13:26" ht="12.75">
      <c r="M368" s="335">
        <f>IF(ISNUMBER(SEARCH(ZAKL_DATA!$B$29,N368)),MAX($M$2:M367)+1,0)</f>
        <v>366</v>
      </c>
      <c r="N368" s="336" t="s">
        <v>2149</v>
      </c>
      <c r="O368" s="353" t="s">
        <v>2150</v>
      </c>
      <c r="P368" s="338"/>
      <c r="Q368" s="339" t="str">
        <f>IFERROR(VLOOKUP(ROWS($Q$3:Q368),$M$3:$N$992,2,0),"")</f>
        <v>Ambulantní a zubní zdravotní péče</v>
      </c>
      <c r="R368">
        <f>IF(ISNUMBER(SEARCH('1Př1'!$A$33,N368)),MAX($M$2:M367)+1,0)</f>
        <v>366</v>
      </c>
      <c r="S368" s="336" t="s">
        <v>2149</v>
      </c>
      <c r="T368" t="str">
        <f>IFERROR(VLOOKUP(ROWS($T$3:T368),$R$3:$S$992,2,0),"")</f>
        <v>Ambulantní a zubní zdravotní péče</v>
      </c>
      <c r="U368">
        <f>IF(ISNUMBER(SEARCH('1Př1'!$A$34,N368)),MAX($M$2:M367)+1,0)</f>
        <v>366</v>
      </c>
      <c r="V368" s="336" t="s">
        <v>2149</v>
      </c>
      <c r="W368" t="str">
        <f>IFERROR(VLOOKUP(ROWS($W$3:W368),$U$3:$V$992,2,0),"")</f>
        <v>Ambulantní a zubní zdravotní péče</v>
      </c>
      <c r="X368">
        <f>IF(ISNUMBER(SEARCH('1Př1'!$A$35,N368)),MAX($M$2:M367)+1,0)</f>
        <v>366</v>
      </c>
      <c r="Y368" s="336" t="s">
        <v>2149</v>
      </c>
      <c r="Z368" t="str">
        <f>IFERROR(VLOOKUP(ROWS($Z$3:Z368),$X$3:$Y$992,2,0),"")</f>
        <v>Ambulantní a zubní zdravotní péče</v>
      </c>
    </row>
    <row r="369" spans="13:26" ht="12.75">
      <c r="M369" s="335">
        <f>IF(ISNUMBER(SEARCH(ZAKL_DATA!$B$29,N369)),MAX($M$2:M368)+1,0)</f>
        <v>367</v>
      </c>
      <c r="N369" s="336" t="s">
        <v>2151</v>
      </c>
      <c r="O369" s="353" t="s">
        <v>2152</v>
      </c>
      <c r="P369" s="338"/>
      <c r="Q369" s="339" t="str">
        <f>IFERROR(VLOOKUP(ROWS($Q$3:Q369),$M$3:$N$992,2,0),"")</f>
        <v>Ostatní činnosti související se zdravotní péčí</v>
      </c>
      <c r="R369">
        <f>IF(ISNUMBER(SEARCH('1Př1'!$A$33,N369)),MAX($M$2:M368)+1,0)</f>
        <v>367</v>
      </c>
      <c r="S369" s="336" t="s">
        <v>2151</v>
      </c>
      <c r="T369" t="str">
        <f>IFERROR(VLOOKUP(ROWS($T$3:T369),$R$3:$S$992,2,0),"")</f>
        <v>Ostatní činnosti související se zdravotní péčí</v>
      </c>
      <c r="U369">
        <f>IF(ISNUMBER(SEARCH('1Př1'!$A$34,N369)),MAX($M$2:M368)+1,0)</f>
        <v>367</v>
      </c>
      <c r="V369" s="336" t="s">
        <v>2151</v>
      </c>
      <c r="W369" t="str">
        <f>IFERROR(VLOOKUP(ROWS($W$3:W369),$U$3:$V$992,2,0),"")</f>
        <v>Ostatní činnosti související se zdravotní péčí</v>
      </c>
      <c r="X369">
        <f>IF(ISNUMBER(SEARCH('1Př1'!$A$35,N369)),MAX($M$2:M368)+1,0)</f>
        <v>367</v>
      </c>
      <c r="Y369" s="336" t="s">
        <v>2151</v>
      </c>
      <c r="Z369" t="str">
        <f>IFERROR(VLOOKUP(ROWS($Z$3:Z369),$X$3:$Y$992,2,0),"")</f>
        <v>Ostatní činnosti související se zdravotní péčí</v>
      </c>
    </row>
    <row r="370" spans="13:26" ht="12.75">
      <c r="M370" s="335">
        <f>IF(ISNUMBER(SEARCH(ZAKL_DATA!$B$29,N370)),MAX($M$2:M369)+1,0)</f>
        <v>368</v>
      </c>
      <c r="N370" s="336" t="s">
        <v>2153</v>
      </c>
      <c r="O370" s="353" t="s">
        <v>1202</v>
      </c>
      <c r="P370" s="338"/>
      <c r="Q370" s="339" t="str">
        <f>IFERROR(VLOOKUP(ROWS($Q$3:Q370),$M$3:$N$992,2,0),"")</f>
        <v>Ústavní sociální péče</v>
      </c>
      <c r="R370">
        <f>IF(ISNUMBER(SEARCH('1Př1'!$A$33,N370)),MAX($M$2:M369)+1,0)</f>
        <v>368</v>
      </c>
      <c r="S370" s="336" t="s">
        <v>2153</v>
      </c>
      <c r="T370" t="str">
        <f>IFERROR(VLOOKUP(ROWS($T$3:T370),$R$3:$S$992,2,0),"")</f>
        <v>Ústavní sociální péče</v>
      </c>
      <c r="U370">
        <f>IF(ISNUMBER(SEARCH('1Př1'!$A$34,N370)),MAX($M$2:M369)+1,0)</f>
        <v>368</v>
      </c>
      <c r="V370" s="336" t="s">
        <v>2153</v>
      </c>
      <c r="W370" t="str">
        <f>IFERROR(VLOOKUP(ROWS($W$3:W370),$U$3:$V$992,2,0),"")</f>
        <v>Ústavní sociální péče</v>
      </c>
      <c r="X370">
        <f>IF(ISNUMBER(SEARCH('1Př1'!$A$35,N370)),MAX($M$2:M369)+1,0)</f>
        <v>368</v>
      </c>
      <c r="Y370" s="336" t="s">
        <v>2153</v>
      </c>
      <c r="Z370" t="str">
        <f>IFERROR(VLOOKUP(ROWS($Z$3:Z370),$X$3:$Y$992,2,0),"")</f>
        <v>Ústavní sociální péče</v>
      </c>
    </row>
    <row r="371" spans="13:26" ht="12.75">
      <c r="M371" s="335">
        <f>IF(ISNUMBER(SEARCH(ZAKL_DATA!$B$29,N371)),MAX($M$2:M370)+1,0)</f>
        <v>369</v>
      </c>
      <c r="N371" s="336" t="s">
        <v>2154</v>
      </c>
      <c r="O371" s="353" t="s">
        <v>2155</v>
      </c>
      <c r="P371" s="338"/>
      <c r="Q371" s="339" t="str">
        <f>IFERROR(VLOOKUP(ROWS($Q$3:Q371),$M$3:$N$992,2,0),"")</f>
        <v>Sociální péče ve zdravotnických zařízeních ústavní péče</v>
      </c>
      <c r="R371">
        <f>IF(ISNUMBER(SEARCH('1Př1'!$A$33,N371)),MAX($M$2:M370)+1,0)</f>
        <v>369</v>
      </c>
      <c r="S371" s="336" t="s">
        <v>2154</v>
      </c>
      <c r="T371" t="str">
        <f>IFERROR(VLOOKUP(ROWS($T$3:T371),$R$3:$S$992,2,0),"")</f>
        <v>Sociální péče ve zdravotnických zařízeních ústavní péče</v>
      </c>
      <c r="U371">
        <f>IF(ISNUMBER(SEARCH('1Př1'!$A$34,N371)),MAX($M$2:M370)+1,0)</f>
        <v>369</v>
      </c>
      <c r="V371" s="336" t="s">
        <v>2154</v>
      </c>
      <c r="W371" t="str">
        <f>IFERROR(VLOOKUP(ROWS($W$3:W371),$U$3:$V$992,2,0),"")</f>
        <v>Sociální péče ve zdravotnických zařízeních ústavní péče</v>
      </c>
      <c r="X371">
        <f>IF(ISNUMBER(SEARCH('1Př1'!$A$35,N371)),MAX($M$2:M370)+1,0)</f>
        <v>369</v>
      </c>
      <c r="Y371" s="336" t="s">
        <v>2154</v>
      </c>
      <c r="Z371" t="str">
        <f>IFERROR(VLOOKUP(ROWS($Z$3:Z371),$X$3:$Y$992,2,0),"")</f>
        <v>Sociální péče ve zdravotnických zařízeních ústavní péče</v>
      </c>
    </row>
    <row r="372" spans="13:26" ht="12.75">
      <c r="M372" s="335">
        <f>IF(ISNUMBER(SEARCH(ZAKL_DATA!$B$29,N372)),MAX($M$2:M371)+1,0)</f>
        <v>370</v>
      </c>
      <c r="N372" s="336" t="s">
        <v>2156</v>
      </c>
      <c r="O372" s="353" t="s">
        <v>2157</v>
      </c>
      <c r="P372" s="338"/>
      <c r="Q372" s="339" t="str">
        <f>IFERROR(VLOOKUP(ROWS($Q$3:Q372),$M$3:$N$992,2,0),"")</f>
        <v>Soc.péče v zaříz.pro osoby s chron.duš.onemoc.a osoby závislé na návyk.l.</v>
      </c>
      <c r="R372">
        <f>IF(ISNUMBER(SEARCH('1Př1'!$A$33,N372)),MAX($M$2:M371)+1,0)</f>
        <v>370</v>
      </c>
      <c r="S372" s="336" t="s">
        <v>2156</v>
      </c>
      <c r="T372" t="str">
        <f>IFERROR(VLOOKUP(ROWS($T$3:T372),$R$3:$S$992,2,0),"")</f>
        <v>Soc.péče v zaříz.pro osoby s chron.duš.onemoc.a osoby závislé na návyk.l.</v>
      </c>
      <c r="U372">
        <f>IF(ISNUMBER(SEARCH('1Př1'!$A$34,N372)),MAX($M$2:M371)+1,0)</f>
        <v>370</v>
      </c>
      <c r="V372" s="336" t="s">
        <v>2156</v>
      </c>
      <c r="W372" t="str">
        <f>IFERROR(VLOOKUP(ROWS($W$3:W372),$U$3:$V$992,2,0),"")</f>
        <v>Soc.péče v zaříz.pro osoby s chron.duš.onemoc.a osoby závislé na návyk.l.</v>
      </c>
      <c r="X372">
        <f>IF(ISNUMBER(SEARCH('1Př1'!$A$35,N372)),MAX($M$2:M371)+1,0)</f>
        <v>370</v>
      </c>
      <c r="Y372" s="336" t="s">
        <v>2156</v>
      </c>
      <c r="Z372" t="str">
        <f>IFERROR(VLOOKUP(ROWS($Z$3:Z372),$X$3:$Y$992,2,0),"")</f>
        <v>Soc.péče v zaříz.pro osoby s chron.duš.onemoc.a osoby závislé na návyk.l.</v>
      </c>
    </row>
    <row r="373" spans="13:26" ht="12.75">
      <c r="M373" s="335">
        <f>IF(ISNUMBER(SEARCH(ZAKL_DATA!$B$29,N373)),MAX($M$2:M372)+1,0)</f>
        <v>371</v>
      </c>
      <c r="N373" s="336" t="s">
        <v>2158</v>
      </c>
      <c r="O373" s="353" t="s">
        <v>2159</v>
      </c>
      <c r="P373" s="338"/>
      <c r="Q373" s="339" t="str">
        <f>IFERROR(VLOOKUP(ROWS($Q$3:Q373),$M$3:$N$992,2,0),"")</f>
        <v>Sociální péče v domovech pro seniory a osoby se zdravotním postižením</v>
      </c>
      <c r="R373">
        <f>IF(ISNUMBER(SEARCH('1Př1'!$A$33,N373)),MAX($M$2:M372)+1,0)</f>
        <v>371</v>
      </c>
      <c r="S373" s="336" t="s">
        <v>2158</v>
      </c>
      <c r="T373" t="str">
        <f>IFERROR(VLOOKUP(ROWS($T$3:T373),$R$3:$S$992,2,0),"")</f>
        <v>Sociální péče v domovech pro seniory a osoby se zdravotním postižením</v>
      </c>
      <c r="U373">
        <f>IF(ISNUMBER(SEARCH('1Př1'!$A$34,N373)),MAX($M$2:M372)+1,0)</f>
        <v>371</v>
      </c>
      <c r="V373" s="336" t="s">
        <v>2158</v>
      </c>
      <c r="W373" t="str">
        <f>IFERROR(VLOOKUP(ROWS($W$3:W373),$U$3:$V$992,2,0),"")</f>
        <v>Sociální péče v domovech pro seniory a osoby se zdravotním postižením</v>
      </c>
      <c r="X373">
        <f>IF(ISNUMBER(SEARCH('1Př1'!$A$35,N373)),MAX($M$2:M372)+1,0)</f>
        <v>371</v>
      </c>
      <c r="Y373" s="336" t="s">
        <v>2158</v>
      </c>
      <c r="Z373" t="str">
        <f>IFERROR(VLOOKUP(ROWS($Z$3:Z373),$X$3:$Y$992,2,0),"")</f>
        <v>Sociální péče v domovech pro seniory a osoby se zdravotním postižením</v>
      </c>
    </row>
    <row r="374" spans="13:26" ht="12.75">
      <c r="M374" s="335">
        <f>IF(ISNUMBER(SEARCH(ZAKL_DATA!$B$29,N374)),MAX($M$2:M373)+1,0)</f>
        <v>372</v>
      </c>
      <c r="N374" s="336" t="s">
        <v>2160</v>
      </c>
      <c r="O374" s="353" t="s">
        <v>2161</v>
      </c>
      <c r="P374" s="338"/>
      <c r="Q374" s="339" t="str">
        <f>IFERROR(VLOOKUP(ROWS($Q$3:Q374),$M$3:$N$992,2,0),"")</f>
        <v>Ostatní pobytové služby sociální péče</v>
      </c>
      <c r="R374">
        <f>IF(ISNUMBER(SEARCH('1Př1'!$A$33,N374)),MAX($M$2:M373)+1,0)</f>
        <v>372</v>
      </c>
      <c r="S374" s="336" t="s">
        <v>2160</v>
      </c>
      <c r="T374" t="str">
        <f>IFERROR(VLOOKUP(ROWS($T$3:T374),$R$3:$S$992,2,0),"")</f>
        <v>Ostatní pobytové služby sociální péče</v>
      </c>
      <c r="U374">
        <f>IF(ISNUMBER(SEARCH('1Př1'!$A$34,N374)),MAX($M$2:M373)+1,0)</f>
        <v>372</v>
      </c>
      <c r="V374" s="336" t="s">
        <v>2160</v>
      </c>
      <c r="W374" t="str">
        <f>IFERROR(VLOOKUP(ROWS($W$3:W374),$U$3:$V$992,2,0),"")</f>
        <v>Ostatní pobytové služby sociální péče</v>
      </c>
      <c r="X374">
        <f>IF(ISNUMBER(SEARCH('1Př1'!$A$35,N374)),MAX($M$2:M373)+1,0)</f>
        <v>372</v>
      </c>
      <c r="Y374" s="336" t="s">
        <v>2160</v>
      </c>
      <c r="Z374" t="str">
        <f>IFERROR(VLOOKUP(ROWS($Z$3:Z374),$X$3:$Y$992,2,0),"")</f>
        <v>Ostatní pobytové služby sociální péče</v>
      </c>
    </row>
    <row r="375" spans="13:26" ht="12.75">
      <c r="M375" s="335">
        <f>IF(ISNUMBER(SEARCH(ZAKL_DATA!$B$29,N375)),MAX($M$2:M374)+1,0)</f>
        <v>373</v>
      </c>
      <c r="N375" s="336" t="s">
        <v>2162</v>
      </c>
      <c r="O375" s="353" t="s">
        <v>2163</v>
      </c>
      <c r="P375" s="338"/>
      <c r="Q375" s="339" t="str">
        <f>IFERROR(VLOOKUP(ROWS($Q$3:Q375),$M$3:$N$992,2,0),"")</f>
        <v>Ambulantní nebo terénní soc.služby pro seniory a osoby se zdrav.postižením</v>
      </c>
      <c r="R375">
        <f>IF(ISNUMBER(SEARCH('1Př1'!$A$33,N375)),MAX($M$2:M374)+1,0)</f>
        <v>373</v>
      </c>
      <c r="S375" s="336" t="s">
        <v>2162</v>
      </c>
      <c r="T375" t="str">
        <f>IFERROR(VLOOKUP(ROWS($T$3:T375),$R$3:$S$992,2,0),"")</f>
        <v>Ambulantní nebo terénní soc.služby pro seniory a osoby se zdrav.postižením</v>
      </c>
      <c r="U375">
        <f>IF(ISNUMBER(SEARCH('1Př1'!$A$34,N375)),MAX($M$2:M374)+1,0)</f>
        <v>373</v>
      </c>
      <c r="V375" s="336" t="s">
        <v>2162</v>
      </c>
      <c r="W375" t="str">
        <f>IFERROR(VLOOKUP(ROWS($W$3:W375),$U$3:$V$992,2,0),"")</f>
        <v>Ambulantní nebo terénní soc.služby pro seniory a osoby se zdrav.postižením</v>
      </c>
      <c r="X375">
        <f>IF(ISNUMBER(SEARCH('1Př1'!$A$35,N375)),MAX($M$2:M374)+1,0)</f>
        <v>373</v>
      </c>
      <c r="Y375" s="336" t="s">
        <v>2162</v>
      </c>
      <c r="Z375" t="str">
        <f>IFERROR(VLOOKUP(ROWS($Z$3:Z375),$X$3:$Y$992,2,0),"")</f>
        <v>Ambulantní nebo terénní soc.služby pro seniory a osoby se zdrav.postižením</v>
      </c>
    </row>
    <row r="376" spans="13:26" ht="12.75">
      <c r="M376" s="335">
        <f>IF(ISNUMBER(SEARCH(ZAKL_DATA!$B$29,N376)),MAX($M$2:M375)+1,0)</f>
        <v>374</v>
      </c>
      <c r="N376" s="336" t="s">
        <v>2164</v>
      </c>
      <c r="O376" s="353" t="s">
        <v>2165</v>
      </c>
      <c r="P376" s="338"/>
      <c r="Q376" s="339" t="str">
        <f>IFERROR(VLOOKUP(ROWS($Q$3:Q376),$M$3:$N$992,2,0),"")</f>
        <v>Ostatní ambulantní nebo terénní sociální služby</v>
      </c>
      <c r="R376">
        <f>IF(ISNUMBER(SEARCH('1Př1'!$A$33,N376)),MAX($M$2:M375)+1,0)</f>
        <v>374</v>
      </c>
      <c r="S376" s="336" t="s">
        <v>2164</v>
      </c>
      <c r="T376" t="str">
        <f>IFERROR(VLOOKUP(ROWS($T$3:T376),$R$3:$S$992,2,0),"")</f>
        <v>Ostatní ambulantní nebo terénní sociální služby</v>
      </c>
      <c r="U376">
        <f>IF(ISNUMBER(SEARCH('1Př1'!$A$34,N376)),MAX($M$2:M375)+1,0)</f>
        <v>374</v>
      </c>
      <c r="V376" s="336" t="s">
        <v>2164</v>
      </c>
      <c r="W376" t="str">
        <f>IFERROR(VLOOKUP(ROWS($W$3:W376),$U$3:$V$992,2,0),"")</f>
        <v>Ostatní ambulantní nebo terénní sociální služby</v>
      </c>
      <c r="X376">
        <f>IF(ISNUMBER(SEARCH('1Př1'!$A$35,N376)),MAX($M$2:M375)+1,0)</f>
        <v>374</v>
      </c>
      <c r="Y376" s="336" t="s">
        <v>2164</v>
      </c>
      <c r="Z376" t="str">
        <f>IFERROR(VLOOKUP(ROWS($Z$3:Z376),$X$3:$Y$992,2,0),"")</f>
        <v>Ostatní ambulantní nebo terénní sociální služby</v>
      </c>
    </row>
    <row r="377" spans="13:26" ht="12.75">
      <c r="M377" s="335">
        <f>IF(ISNUMBER(SEARCH(ZAKL_DATA!$B$29,N377)),MAX($M$2:M376)+1,0)</f>
        <v>375</v>
      </c>
      <c r="N377" s="336" t="s">
        <v>2166</v>
      </c>
      <c r="O377" s="353" t="s">
        <v>2167</v>
      </c>
      <c r="P377" s="338"/>
      <c r="Q377" s="339" t="str">
        <f>IFERROR(VLOOKUP(ROWS($Q$3:Q377),$M$3:$N$992,2,0),"")</f>
        <v>Těžba chemických minerálů a minerálů pro výrobu hnojiv</v>
      </c>
      <c r="R377">
        <f>IF(ISNUMBER(SEARCH('1Př1'!$A$33,N377)),MAX($M$2:M376)+1,0)</f>
        <v>375</v>
      </c>
      <c r="S377" s="336" t="s">
        <v>2166</v>
      </c>
      <c r="T377" t="str">
        <f>IFERROR(VLOOKUP(ROWS($T$3:T377),$R$3:$S$992,2,0),"")</f>
        <v>Těžba chemických minerálů a minerálů pro výrobu hnojiv</v>
      </c>
      <c r="U377">
        <f>IF(ISNUMBER(SEARCH('1Př1'!$A$34,N377)),MAX($M$2:M376)+1,0)</f>
        <v>375</v>
      </c>
      <c r="V377" s="336" t="s">
        <v>2166</v>
      </c>
      <c r="W377" t="str">
        <f>IFERROR(VLOOKUP(ROWS($W$3:W377),$U$3:$V$992,2,0),"")</f>
        <v>Těžba chemických minerálů a minerálů pro výrobu hnojiv</v>
      </c>
      <c r="X377">
        <f>IF(ISNUMBER(SEARCH('1Př1'!$A$35,N377)),MAX($M$2:M376)+1,0)</f>
        <v>375</v>
      </c>
      <c r="Y377" s="336" t="s">
        <v>2166</v>
      </c>
      <c r="Z377" t="str">
        <f>IFERROR(VLOOKUP(ROWS($Z$3:Z377),$X$3:$Y$992,2,0),"")</f>
        <v>Těžba chemických minerálů a minerálů pro výrobu hnojiv</v>
      </c>
    </row>
    <row r="378" spans="13:26" ht="12.75">
      <c r="M378" s="335">
        <f>IF(ISNUMBER(SEARCH(ZAKL_DATA!$B$29,N378)),MAX($M$2:M377)+1,0)</f>
        <v>376</v>
      </c>
      <c r="N378" s="336" t="s">
        <v>2168</v>
      </c>
      <c r="O378" s="353" t="s">
        <v>2169</v>
      </c>
      <c r="P378" s="338"/>
      <c r="Q378" s="339" t="str">
        <f>IFERROR(VLOOKUP(ROWS($Q$3:Q378),$M$3:$N$992,2,0),"")</f>
        <v>Těžba rašeliny</v>
      </c>
      <c r="R378">
        <f>IF(ISNUMBER(SEARCH('1Př1'!$A$33,N378)),MAX($M$2:M377)+1,0)</f>
        <v>376</v>
      </c>
      <c r="S378" s="336" t="s">
        <v>2168</v>
      </c>
      <c r="T378" t="str">
        <f>IFERROR(VLOOKUP(ROWS($T$3:T378),$R$3:$S$992,2,0),"")</f>
        <v>Těžba rašeliny</v>
      </c>
      <c r="U378">
        <f>IF(ISNUMBER(SEARCH('1Př1'!$A$34,N378)),MAX($M$2:M377)+1,0)</f>
        <v>376</v>
      </c>
      <c r="V378" s="336" t="s">
        <v>2168</v>
      </c>
      <c r="W378" t="str">
        <f>IFERROR(VLOOKUP(ROWS($W$3:W378),$U$3:$V$992,2,0),"")</f>
        <v>Těžba rašeliny</v>
      </c>
      <c r="X378">
        <f>IF(ISNUMBER(SEARCH('1Př1'!$A$35,N378)),MAX($M$2:M377)+1,0)</f>
        <v>376</v>
      </c>
      <c r="Y378" s="336" t="s">
        <v>2168</v>
      </c>
      <c r="Z378" t="str">
        <f>IFERROR(VLOOKUP(ROWS($Z$3:Z378),$X$3:$Y$992,2,0),"")</f>
        <v>Těžba rašeliny</v>
      </c>
    </row>
    <row r="379" spans="13:26" ht="12.75">
      <c r="M379" s="335">
        <f>IF(ISNUMBER(SEARCH(ZAKL_DATA!$B$29,N379)),MAX($M$2:M378)+1,0)</f>
        <v>377</v>
      </c>
      <c r="N379" s="336" t="s">
        <v>2170</v>
      </c>
      <c r="O379" s="353" t="s">
        <v>2171</v>
      </c>
      <c r="P379" s="338"/>
      <c r="Q379" s="339" t="str">
        <f>IFERROR(VLOOKUP(ROWS($Q$3:Q379),$M$3:$N$992,2,0),"")</f>
        <v>Těžba soli</v>
      </c>
      <c r="R379">
        <f>IF(ISNUMBER(SEARCH('1Př1'!$A$33,N379)),MAX($M$2:M378)+1,0)</f>
        <v>377</v>
      </c>
      <c r="S379" s="336" t="s">
        <v>2170</v>
      </c>
      <c r="T379" t="str">
        <f>IFERROR(VLOOKUP(ROWS($T$3:T379),$R$3:$S$992,2,0),"")</f>
        <v>Těžba soli</v>
      </c>
      <c r="U379">
        <f>IF(ISNUMBER(SEARCH('1Př1'!$A$34,N379)),MAX($M$2:M378)+1,0)</f>
        <v>377</v>
      </c>
      <c r="V379" s="336" t="s">
        <v>2170</v>
      </c>
      <c r="W379" t="str">
        <f>IFERROR(VLOOKUP(ROWS($W$3:W379),$U$3:$V$992,2,0),"")</f>
        <v>Těžba soli</v>
      </c>
      <c r="X379">
        <f>IF(ISNUMBER(SEARCH('1Př1'!$A$35,N379)),MAX($M$2:M378)+1,0)</f>
        <v>377</v>
      </c>
      <c r="Y379" s="336" t="s">
        <v>2170</v>
      </c>
      <c r="Z379" t="str">
        <f>IFERROR(VLOOKUP(ROWS($Z$3:Z379),$X$3:$Y$992,2,0),"")</f>
        <v>Těžba soli</v>
      </c>
    </row>
    <row r="380" spans="13:26" ht="12.75">
      <c r="M380" s="335">
        <f>IF(ISNUMBER(SEARCH(ZAKL_DATA!$B$29,N380)),MAX($M$2:M379)+1,0)</f>
        <v>378</v>
      </c>
      <c r="N380" s="336" t="s">
        <v>2172</v>
      </c>
      <c r="O380" s="353" t="s">
        <v>2173</v>
      </c>
      <c r="P380" s="338"/>
      <c r="Q380" s="339" t="str">
        <f>IFERROR(VLOOKUP(ROWS($Q$3:Q380),$M$3:$N$992,2,0),"")</f>
        <v>Ostatní těžba a dobývání j. n.</v>
      </c>
      <c r="R380">
        <f>IF(ISNUMBER(SEARCH('1Př1'!$A$33,N380)),MAX($M$2:M379)+1,0)</f>
        <v>378</v>
      </c>
      <c r="S380" s="336" t="s">
        <v>2172</v>
      </c>
      <c r="T380" t="str">
        <f>IFERROR(VLOOKUP(ROWS($T$3:T380),$R$3:$S$992,2,0),"")</f>
        <v>Ostatní těžba a dobývání j. n.</v>
      </c>
      <c r="U380">
        <f>IF(ISNUMBER(SEARCH('1Př1'!$A$34,N380)),MAX($M$2:M379)+1,0)</f>
        <v>378</v>
      </c>
      <c r="V380" s="336" t="s">
        <v>2172</v>
      </c>
      <c r="W380" t="str">
        <f>IFERROR(VLOOKUP(ROWS($W$3:W380),$U$3:$V$992,2,0),"")</f>
        <v>Ostatní těžba a dobývání j. n.</v>
      </c>
      <c r="X380">
        <f>IF(ISNUMBER(SEARCH('1Př1'!$A$35,N380)),MAX($M$2:M379)+1,0)</f>
        <v>378</v>
      </c>
      <c r="Y380" s="336" t="s">
        <v>2172</v>
      </c>
      <c r="Z380" t="str">
        <f>IFERROR(VLOOKUP(ROWS($Z$3:Z380),$X$3:$Y$992,2,0),"")</f>
        <v>Ostatní těžba a dobývání j. n.</v>
      </c>
    </row>
    <row r="381" spans="13:26" ht="12.75">
      <c r="M381" s="335">
        <f>IF(ISNUMBER(SEARCH(ZAKL_DATA!$B$29,N381)),MAX($M$2:M380)+1,0)</f>
        <v>379</v>
      </c>
      <c r="N381" s="336" t="s">
        <v>2174</v>
      </c>
      <c r="O381" s="353" t="s">
        <v>2175</v>
      </c>
      <c r="P381" s="338"/>
      <c r="Q381" s="339" t="str">
        <f>IFERROR(VLOOKUP(ROWS($Q$3:Q381),$M$3:$N$992,2,0),"")</f>
        <v>Sportovní činnosti</v>
      </c>
      <c r="R381">
        <f>IF(ISNUMBER(SEARCH('1Př1'!$A$33,N381)),MAX($M$2:M380)+1,0)</f>
        <v>379</v>
      </c>
      <c r="S381" s="336" t="s">
        <v>2174</v>
      </c>
      <c r="T381" t="str">
        <f>IFERROR(VLOOKUP(ROWS($T$3:T381),$R$3:$S$992,2,0),"")</f>
        <v>Sportovní činnosti</v>
      </c>
      <c r="U381">
        <f>IF(ISNUMBER(SEARCH('1Př1'!$A$34,N381)),MAX($M$2:M380)+1,0)</f>
        <v>379</v>
      </c>
      <c r="V381" s="336" t="s">
        <v>2174</v>
      </c>
      <c r="W381" t="str">
        <f>IFERROR(VLOOKUP(ROWS($W$3:W381),$U$3:$V$992,2,0),"")</f>
        <v>Sportovní činnosti</v>
      </c>
      <c r="X381">
        <f>IF(ISNUMBER(SEARCH('1Př1'!$A$35,N381)),MAX($M$2:M380)+1,0)</f>
        <v>379</v>
      </c>
      <c r="Y381" s="336" t="s">
        <v>2174</v>
      </c>
      <c r="Z381" t="str">
        <f>IFERROR(VLOOKUP(ROWS($Z$3:Z381),$X$3:$Y$992,2,0),"")</f>
        <v>Sportovní činnosti</v>
      </c>
    </row>
    <row r="382" spans="13:26" ht="12.75">
      <c r="M382" s="335">
        <f>IF(ISNUMBER(SEARCH(ZAKL_DATA!$B$29,N382)),MAX($M$2:M381)+1,0)</f>
        <v>380</v>
      </c>
      <c r="N382" s="336" t="s">
        <v>2176</v>
      </c>
      <c r="O382" s="353" t="s">
        <v>2177</v>
      </c>
      <c r="P382" s="338"/>
      <c r="Q382" s="339" t="str">
        <f>IFERROR(VLOOKUP(ROWS($Q$3:Q382),$M$3:$N$992,2,0),"")</f>
        <v>Ostatní zábavní a rekreační činnosti</v>
      </c>
      <c r="R382">
        <f>IF(ISNUMBER(SEARCH('1Př1'!$A$33,N382)),MAX($M$2:M381)+1,0)</f>
        <v>380</v>
      </c>
      <c r="S382" s="336" t="s">
        <v>2176</v>
      </c>
      <c r="T382" t="str">
        <f>IFERROR(VLOOKUP(ROWS($T$3:T382),$R$3:$S$992,2,0),"")</f>
        <v>Ostatní zábavní a rekreační činnosti</v>
      </c>
      <c r="U382">
        <f>IF(ISNUMBER(SEARCH('1Př1'!$A$34,N382)),MAX($M$2:M381)+1,0)</f>
        <v>380</v>
      </c>
      <c r="V382" s="336" t="s">
        <v>2176</v>
      </c>
      <c r="W382" t="str">
        <f>IFERROR(VLOOKUP(ROWS($W$3:W382),$U$3:$V$992,2,0),"")</f>
        <v>Ostatní zábavní a rekreační činnosti</v>
      </c>
      <c r="X382">
        <f>IF(ISNUMBER(SEARCH('1Př1'!$A$35,N382)),MAX($M$2:M381)+1,0)</f>
        <v>380</v>
      </c>
      <c r="Y382" s="336" t="s">
        <v>2176</v>
      </c>
      <c r="Z382" t="str">
        <f>IFERROR(VLOOKUP(ROWS($Z$3:Z382),$X$3:$Y$992,2,0),"")</f>
        <v>Ostatní zábavní a rekreační činnosti</v>
      </c>
    </row>
    <row r="383" spans="13:26" ht="12.75">
      <c r="M383" s="335">
        <f>IF(ISNUMBER(SEARCH(ZAKL_DATA!$B$29,N383)),MAX($M$2:M382)+1,0)</f>
        <v>381</v>
      </c>
      <c r="N383" s="336" t="s">
        <v>2178</v>
      </c>
      <c r="O383" s="353" t="s">
        <v>2179</v>
      </c>
      <c r="P383" s="338"/>
      <c r="Q383" s="339" t="str">
        <f>IFERROR(VLOOKUP(ROWS($Q$3:Q383),$M$3:$N$992,2,0),"")</f>
        <v>Činnosti podnikatelských, zaměstnavatelských a profesních organizací</v>
      </c>
      <c r="R383">
        <f>IF(ISNUMBER(SEARCH('1Př1'!$A$33,N383)),MAX($M$2:M382)+1,0)</f>
        <v>381</v>
      </c>
      <c r="S383" s="336" t="s">
        <v>2178</v>
      </c>
      <c r="T383" t="str">
        <f>IFERROR(VLOOKUP(ROWS($T$3:T383),$R$3:$S$992,2,0),"")</f>
        <v>Činnosti podnikatelských, zaměstnavatelských a profesních organizací</v>
      </c>
      <c r="U383">
        <f>IF(ISNUMBER(SEARCH('1Př1'!$A$34,N383)),MAX($M$2:M382)+1,0)</f>
        <v>381</v>
      </c>
      <c r="V383" s="336" t="s">
        <v>2178</v>
      </c>
      <c r="W383" t="str">
        <f>IFERROR(VLOOKUP(ROWS($W$3:W383),$U$3:$V$992,2,0),"")</f>
        <v>Činnosti podnikatelských, zaměstnavatelských a profesních organizací</v>
      </c>
      <c r="X383">
        <f>IF(ISNUMBER(SEARCH('1Př1'!$A$35,N383)),MAX($M$2:M382)+1,0)</f>
        <v>381</v>
      </c>
      <c r="Y383" s="336" t="s">
        <v>2178</v>
      </c>
      <c r="Z383" t="str">
        <f>IFERROR(VLOOKUP(ROWS($Z$3:Z383),$X$3:$Y$992,2,0),"")</f>
        <v>Činnosti podnikatelských, zaměstnavatelských a profesních organizací</v>
      </c>
    </row>
    <row r="384" spans="13:26" ht="12.75">
      <c r="M384" s="335">
        <f>IF(ISNUMBER(SEARCH(ZAKL_DATA!$B$29,N384)),MAX($M$2:M383)+1,0)</f>
        <v>382</v>
      </c>
      <c r="N384" s="336" t="s">
        <v>2180</v>
      </c>
      <c r="O384" s="353" t="s">
        <v>2181</v>
      </c>
      <c r="P384" s="338"/>
      <c r="Q384" s="339" t="str">
        <f>IFERROR(VLOOKUP(ROWS($Q$3:Q384),$M$3:$N$992,2,0),"")</f>
        <v>Činnosti odborových svazů</v>
      </c>
      <c r="R384">
        <f>IF(ISNUMBER(SEARCH('1Př1'!$A$33,N384)),MAX($M$2:M383)+1,0)</f>
        <v>382</v>
      </c>
      <c r="S384" s="336" t="s">
        <v>2180</v>
      </c>
      <c r="T384" t="str">
        <f>IFERROR(VLOOKUP(ROWS($T$3:T384),$R$3:$S$992,2,0),"")</f>
        <v>Činnosti odborových svazů</v>
      </c>
      <c r="U384">
        <f>IF(ISNUMBER(SEARCH('1Př1'!$A$34,N384)),MAX($M$2:M383)+1,0)</f>
        <v>382</v>
      </c>
      <c r="V384" s="336" t="s">
        <v>2180</v>
      </c>
      <c r="W384" t="str">
        <f>IFERROR(VLOOKUP(ROWS($W$3:W384),$U$3:$V$992,2,0),"")</f>
        <v>Činnosti odborových svazů</v>
      </c>
      <c r="X384">
        <f>IF(ISNUMBER(SEARCH('1Př1'!$A$35,N384)),MAX($M$2:M383)+1,0)</f>
        <v>382</v>
      </c>
      <c r="Y384" s="336" t="s">
        <v>2180</v>
      </c>
      <c r="Z384" t="str">
        <f>IFERROR(VLOOKUP(ROWS($Z$3:Z384),$X$3:$Y$992,2,0),"")</f>
        <v>Činnosti odborových svazů</v>
      </c>
    </row>
    <row r="385" spans="13:26" ht="12.75">
      <c r="M385" s="335">
        <f>IF(ISNUMBER(SEARCH(ZAKL_DATA!$B$29,N385)),MAX($M$2:M384)+1,0)</f>
        <v>383</v>
      </c>
      <c r="N385" s="336" t="s">
        <v>2182</v>
      </c>
      <c r="O385" s="353" t="s">
        <v>2183</v>
      </c>
      <c r="P385" s="338"/>
      <c r="Q385" s="339" t="str">
        <f>IFERROR(VLOOKUP(ROWS($Q$3:Q385),$M$3:$N$992,2,0),"")</f>
        <v>Činnosti ost.org.sdružujících osoby za účelem prosazování společných zájmů</v>
      </c>
      <c r="R385">
        <f>IF(ISNUMBER(SEARCH('1Př1'!$A$33,N385)),MAX($M$2:M384)+1,0)</f>
        <v>383</v>
      </c>
      <c r="S385" s="336" t="s">
        <v>2182</v>
      </c>
      <c r="T385" t="str">
        <f>IFERROR(VLOOKUP(ROWS($T$3:T385),$R$3:$S$992,2,0),"")</f>
        <v>Činnosti ost.org.sdružujících osoby za účelem prosazování společných zájmů</v>
      </c>
      <c r="U385">
        <f>IF(ISNUMBER(SEARCH('1Př1'!$A$34,N385)),MAX($M$2:M384)+1,0)</f>
        <v>383</v>
      </c>
      <c r="V385" s="336" t="s">
        <v>2182</v>
      </c>
      <c r="W385" t="str">
        <f>IFERROR(VLOOKUP(ROWS($W$3:W385),$U$3:$V$992,2,0),"")</f>
        <v>Činnosti ost.org.sdružujících osoby za účelem prosazování společných zájmů</v>
      </c>
      <c r="X385">
        <f>IF(ISNUMBER(SEARCH('1Př1'!$A$35,N385)),MAX($M$2:M384)+1,0)</f>
        <v>383</v>
      </c>
      <c r="Y385" s="336" t="s">
        <v>2182</v>
      </c>
      <c r="Z385" t="str">
        <f>IFERROR(VLOOKUP(ROWS($Z$3:Z385),$X$3:$Y$992,2,0),"")</f>
        <v>Činnosti ost.org.sdružujících osoby za účelem prosazování společných zájmů</v>
      </c>
    </row>
    <row r="386" spans="13:26" ht="12.75">
      <c r="M386" s="335">
        <f>IF(ISNUMBER(SEARCH(ZAKL_DATA!$B$29,N386)),MAX($M$2:M385)+1,0)</f>
        <v>384</v>
      </c>
      <c r="N386" s="336" t="s">
        <v>2184</v>
      </c>
      <c r="O386" s="353" t="s">
        <v>2185</v>
      </c>
      <c r="P386" s="338"/>
      <c r="Q386" s="339" t="str">
        <f>IFERROR(VLOOKUP(ROWS($Q$3:Q386),$M$3:$N$992,2,0),"")</f>
        <v>Opravy počítačů a komunikačních zařízení</v>
      </c>
      <c r="R386">
        <f>IF(ISNUMBER(SEARCH('1Př1'!$A$33,N386)),MAX($M$2:M385)+1,0)</f>
        <v>384</v>
      </c>
      <c r="S386" s="336" t="s">
        <v>2184</v>
      </c>
      <c r="T386" t="str">
        <f>IFERROR(VLOOKUP(ROWS($T$3:T386),$R$3:$S$992,2,0),"")</f>
        <v>Opravy počítačů a komunikačních zařízení</v>
      </c>
      <c r="U386">
        <f>IF(ISNUMBER(SEARCH('1Př1'!$A$34,N386)),MAX($M$2:M385)+1,0)</f>
        <v>384</v>
      </c>
      <c r="V386" s="336" t="s">
        <v>2184</v>
      </c>
      <c r="W386" t="str">
        <f>IFERROR(VLOOKUP(ROWS($W$3:W386),$U$3:$V$992,2,0),"")</f>
        <v>Opravy počítačů a komunikačních zařízení</v>
      </c>
      <c r="X386">
        <f>IF(ISNUMBER(SEARCH('1Př1'!$A$35,N386)),MAX($M$2:M385)+1,0)</f>
        <v>384</v>
      </c>
      <c r="Y386" s="336" t="s">
        <v>2184</v>
      </c>
      <c r="Z386" t="str">
        <f>IFERROR(VLOOKUP(ROWS($Z$3:Z386),$X$3:$Y$992,2,0),"")</f>
        <v>Opravy počítačů a komunikačních zařízení</v>
      </c>
    </row>
    <row r="387" spans="13:26" ht="12.75">
      <c r="M387" s="335">
        <f>IF(ISNUMBER(SEARCH(ZAKL_DATA!$B$29,N387)),MAX($M$2:M386)+1,0)</f>
        <v>385</v>
      </c>
      <c r="N387" s="336" t="s">
        <v>2186</v>
      </c>
      <c r="O387" s="353" t="s">
        <v>2187</v>
      </c>
      <c r="P387" s="338"/>
      <c r="Q387" s="339" t="str">
        <f>IFERROR(VLOOKUP(ROWS($Q$3:Q387),$M$3:$N$992,2,0),"")</f>
        <v>Opravy výrobků pro osobní potřebu a převážně pro domácnost</v>
      </c>
      <c r="R387">
        <f>IF(ISNUMBER(SEARCH('1Př1'!$A$33,N387)),MAX($M$2:M386)+1,0)</f>
        <v>385</v>
      </c>
      <c r="S387" s="336" t="s">
        <v>2186</v>
      </c>
      <c r="T387" t="str">
        <f>IFERROR(VLOOKUP(ROWS($T$3:T387),$R$3:$S$992,2,0),"")</f>
        <v>Opravy výrobků pro osobní potřebu a převážně pro domácnost</v>
      </c>
      <c r="U387">
        <f>IF(ISNUMBER(SEARCH('1Př1'!$A$34,N387)),MAX($M$2:M386)+1,0)</f>
        <v>385</v>
      </c>
      <c r="V387" s="336" t="s">
        <v>2186</v>
      </c>
      <c r="W387" t="str">
        <f>IFERROR(VLOOKUP(ROWS($W$3:W387),$U$3:$V$992,2,0),"")</f>
        <v>Opravy výrobků pro osobní potřebu a převážně pro domácnost</v>
      </c>
      <c r="X387">
        <f>IF(ISNUMBER(SEARCH('1Př1'!$A$35,N387)),MAX($M$2:M386)+1,0)</f>
        <v>385</v>
      </c>
      <c r="Y387" s="336" t="s">
        <v>2186</v>
      </c>
      <c r="Z387" t="str">
        <f>IFERROR(VLOOKUP(ROWS($Z$3:Z387),$X$3:$Y$992,2,0),"")</f>
        <v>Opravy výrobků pro osobní potřebu a převážně pro domácnost</v>
      </c>
    </row>
    <row r="388" spans="13:26" ht="12.75">
      <c r="M388" s="335">
        <f>IF(ISNUMBER(SEARCH(ZAKL_DATA!$B$29,N388)),MAX($M$2:M387)+1,0)</f>
        <v>386</v>
      </c>
      <c r="N388" s="336" t="s">
        <v>2188</v>
      </c>
      <c r="O388" s="353" t="s">
        <v>2189</v>
      </c>
      <c r="P388" s="338"/>
      <c r="Q388" s="339" t="str">
        <f>IFERROR(VLOOKUP(ROWS($Q$3:Q388),$M$3:$N$992,2,0),"")</f>
        <v>Činnosti domác.produk.blíže neurčené výrobky pro vlastní potřebu</v>
      </c>
      <c r="R388">
        <f>IF(ISNUMBER(SEARCH('1Př1'!$A$33,N388)),MAX($M$2:M387)+1,0)</f>
        <v>386</v>
      </c>
      <c r="S388" s="336" t="s">
        <v>2188</v>
      </c>
      <c r="T388" t="str">
        <f>IFERROR(VLOOKUP(ROWS($T$3:T388),$R$3:$S$992,2,0),"")</f>
        <v>Činnosti domác.produk.blíže neurčené výrobky pro vlastní potřebu</v>
      </c>
      <c r="U388">
        <f>IF(ISNUMBER(SEARCH('1Př1'!$A$34,N388)),MAX($M$2:M387)+1,0)</f>
        <v>386</v>
      </c>
      <c r="V388" s="336" t="s">
        <v>2188</v>
      </c>
      <c r="W388" t="str">
        <f>IFERROR(VLOOKUP(ROWS($W$3:W388),$U$3:$V$992,2,0),"")</f>
        <v>Činnosti domác.produk.blíže neurčené výrobky pro vlastní potřebu</v>
      </c>
      <c r="X388">
        <f>IF(ISNUMBER(SEARCH('1Př1'!$A$35,N388)),MAX($M$2:M387)+1,0)</f>
        <v>386</v>
      </c>
      <c r="Y388" s="336" t="s">
        <v>2188</v>
      </c>
      <c r="Z388" t="str">
        <f>IFERROR(VLOOKUP(ROWS($Z$3:Z388),$X$3:$Y$992,2,0),"")</f>
        <v>Činnosti domác.produk.blíže neurčené výrobky pro vlastní potřebu</v>
      </c>
    </row>
    <row r="389" spans="13:26" ht="12.75">
      <c r="M389" s="335">
        <f>IF(ISNUMBER(SEARCH(ZAKL_DATA!$B$29,N389)),MAX($M$2:M388)+1,0)</f>
        <v>387</v>
      </c>
      <c r="N389" s="336" t="s">
        <v>2190</v>
      </c>
      <c r="O389" s="353" t="s">
        <v>2191</v>
      </c>
      <c r="P389" s="338"/>
      <c r="Q389" s="339" t="str">
        <f>IFERROR(VLOOKUP(ROWS($Q$3:Q389),$M$3:$N$992,2,0),"")</f>
        <v>Činnosti domácností poskyt.blíže neurčené služby pro vlastní potřebu</v>
      </c>
      <c r="R389">
        <f>IF(ISNUMBER(SEARCH('1Př1'!$A$33,N389)),MAX($M$2:M388)+1,0)</f>
        <v>387</v>
      </c>
      <c r="S389" s="336" t="s">
        <v>2190</v>
      </c>
      <c r="T389" t="str">
        <f>IFERROR(VLOOKUP(ROWS($T$3:T389),$R$3:$S$992,2,0),"")</f>
        <v>Činnosti domácností poskyt.blíže neurčené služby pro vlastní potřebu</v>
      </c>
      <c r="U389">
        <f>IF(ISNUMBER(SEARCH('1Př1'!$A$34,N389)),MAX($M$2:M388)+1,0)</f>
        <v>387</v>
      </c>
      <c r="V389" s="336" t="s">
        <v>2190</v>
      </c>
      <c r="W389" t="str">
        <f>IFERROR(VLOOKUP(ROWS($W$3:W389),$U$3:$V$992,2,0),"")</f>
        <v>Činnosti domácností poskyt.blíže neurčené služby pro vlastní potřebu</v>
      </c>
      <c r="X389">
        <f>IF(ISNUMBER(SEARCH('1Př1'!$A$35,N389)),MAX($M$2:M388)+1,0)</f>
        <v>387</v>
      </c>
      <c r="Y389" s="336" t="s">
        <v>2190</v>
      </c>
      <c r="Z389" t="str">
        <f>IFERROR(VLOOKUP(ROWS($Z$3:Z389),$X$3:$Y$992,2,0),"")</f>
        <v>Činnosti domácností poskyt.blíže neurčené služby pro vlastní potřebu</v>
      </c>
    </row>
    <row r="390" spans="13:26" ht="12.75">
      <c r="M390" s="335">
        <f>IF(ISNUMBER(SEARCH(ZAKL_DATA!$B$29,N390)),MAX($M$2:M389)+1,0)</f>
        <v>388</v>
      </c>
      <c r="N390" s="336" t="s">
        <v>2192</v>
      </c>
      <c r="O390" s="353" t="s">
        <v>2193</v>
      </c>
      <c r="P390" s="338"/>
      <c r="Q390" s="339" t="str">
        <f>IFERROR(VLOOKUP(ROWS($Q$3:Q390),$M$3:$N$992,2,0),"")</f>
        <v>Zpracování a konzervování masa, kromě drůbežího</v>
      </c>
      <c r="R390">
        <f>IF(ISNUMBER(SEARCH('1Př1'!$A$33,N390)),MAX($M$2:M389)+1,0)</f>
        <v>388</v>
      </c>
      <c r="S390" s="336" t="s">
        <v>2192</v>
      </c>
      <c r="T390" t="str">
        <f>IFERROR(VLOOKUP(ROWS($T$3:T390),$R$3:$S$992,2,0),"")</f>
        <v>Zpracování a konzervování masa, kromě drůbežího</v>
      </c>
      <c r="U390">
        <f>IF(ISNUMBER(SEARCH('1Př1'!$A$34,N390)),MAX($M$2:M389)+1,0)</f>
        <v>388</v>
      </c>
      <c r="V390" s="336" t="s">
        <v>2192</v>
      </c>
      <c r="W390" t="str">
        <f>IFERROR(VLOOKUP(ROWS($W$3:W390),$U$3:$V$992,2,0),"")</f>
        <v>Zpracování a konzervování masa, kromě drůbežího</v>
      </c>
      <c r="X390">
        <f>IF(ISNUMBER(SEARCH('1Př1'!$A$35,N390)),MAX($M$2:M389)+1,0)</f>
        <v>388</v>
      </c>
      <c r="Y390" s="336" t="s">
        <v>2192</v>
      </c>
      <c r="Z390" t="str">
        <f>IFERROR(VLOOKUP(ROWS($Z$3:Z390),$X$3:$Y$992,2,0),"")</f>
        <v>Zpracování a konzervování masa, kromě drůbežího</v>
      </c>
    </row>
    <row r="391" spans="13:26" ht="12.75">
      <c r="M391" s="335">
        <f>IF(ISNUMBER(SEARCH(ZAKL_DATA!$B$29,N391)),MAX($M$2:M390)+1,0)</f>
        <v>389</v>
      </c>
      <c r="N391" s="336" t="s">
        <v>2194</v>
      </c>
      <c r="O391" s="353" t="s">
        <v>2195</v>
      </c>
      <c r="P391" s="338"/>
      <c r="Q391" s="339" t="str">
        <f>IFERROR(VLOOKUP(ROWS($Q$3:Q391),$M$3:$N$992,2,0),"")</f>
        <v>Zpracování a konzervování drůbežího masa</v>
      </c>
      <c r="R391">
        <f>IF(ISNUMBER(SEARCH('1Př1'!$A$33,N391)),MAX($M$2:M390)+1,0)</f>
        <v>389</v>
      </c>
      <c r="S391" s="336" t="s">
        <v>2194</v>
      </c>
      <c r="T391" t="str">
        <f>IFERROR(VLOOKUP(ROWS($T$3:T391),$R$3:$S$992,2,0),"")</f>
        <v>Zpracování a konzervování drůbežího masa</v>
      </c>
      <c r="U391">
        <f>IF(ISNUMBER(SEARCH('1Př1'!$A$34,N391)),MAX($M$2:M390)+1,0)</f>
        <v>389</v>
      </c>
      <c r="V391" s="336" t="s">
        <v>2194</v>
      </c>
      <c r="W391" t="str">
        <f>IFERROR(VLOOKUP(ROWS($W$3:W391),$U$3:$V$992,2,0),"")</f>
        <v>Zpracování a konzervování drůbežího masa</v>
      </c>
      <c r="X391">
        <f>IF(ISNUMBER(SEARCH('1Př1'!$A$35,N391)),MAX($M$2:M390)+1,0)</f>
        <v>389</v>
      </c>
      <c r="Y391" s="336" t="s">
        <v>2194</v>
      </c>
      <c r="Z391" t="str">
        <f>IFERROR(VLOOKUP(ROWS($Z$3:Z391),$X$3:$Y$992,2,0),"")</f>
        <v>Zpracování a konzervování drůbežího masa</v>
      </c>
    </row>
    <row r="392" spans="13:26" ht="12.75">
      <c r="M392" s="335">
        <f>IF(ISNUMBER(SEARCH(ZAKL_DATA!$B$29,N392)),MAX($M$2:M391)+1,0)</f>
        <v>390</v>
      </c>
      <c r="N392" s="336" t="s">
        <v>2196</v>
      </c>
      <c r="O392" s="353" t="s">
        <v>2197</v>
      </c>
      <c r="P392" s="338"/>
      <c r="Q392" s="339" t="str">
        <f>IFERROR(VLOOKUP(ROWS($Q$3:Q392),$M$3:$N$992,2,0),"")</f>
        <v>Výroba masných výrobků a výrobků z drůbežího masa</v>
      </c>
      <c r="R392">
        <f>IF(ISNUMBER(SEARCH('1Př1'!$A$33,N392)),MAX($M$2:M391)+1,0)</f>
        <v>390</v>
      </c>
      <c r="S392" s="336" t="s">
        <v>2196</v>
      </c>
      <c r="T392" t="str">
        <f>IFERROR(VLOOKUP(ROWS($T$3:T392),$R$3:$S$992,2,0),"")</f>
        <v>Výroba masných výrobků a výrobků z drůbežího masa</v>
      </c>
      <c r="U392">
        <f>IF(ISNUMBER(SEARCH('1Př1'!$A$34,N392)),MAX($M$2:M391)+1,0)</f>
        <v>390</v>
      </c>
      <c r="V392" s="336" t="s">
        <v>2196</v>
      </c>
      <c r="W392" t="str">
        <f>IFERROR(VLOOKUP(ROWS($W$3:W392),$U$3:$V$992,2,0),"")</f>
        <v>Výroba masných výrobků a výrobků z drůbežího masa</v>
      </c>
      <c r="X392">
        <f>IF(ISNUMBER(SEARCH('1Př1'!$A$35,N392)),MAX($M$2:M391)+1,0)</f>
        <v>390</v>
      </c>
      <c r="Y392" s="336" t="s">
        <v>2196</v>
      </c>
      <c r="Z392" t="str">
        <f>IFERROR(VLOOKUP(ROWS($Z$3:Z392),$X$3:$Y$992,2,0),"")</f>
        <v>Výroba masných výrobků a výrobků z drůbežího masa</v>
      </c>
    </row>
    <row r="393" spans="13:26" ht="12.75">
      <c r="M393" s="335">
        <f>IF(ISNUMBER(SEARCH(ZAKL_DATA!$B$29,N393)),MAX($M$2:M392)+1,0)</f>
        <v>391</v>
      </c>
      <c r="N393" s="336" t="s">
        <v>2198</v>
      </c>
      <c r="O393" s="353" t="s">
        <v>2199</v>
      </c>
      <c r="P393" s="338"/>
      <c r="Q393" s="339" t="str">
        <f>IFERROR(VLOOKUP(ROWS($Q$3:Q393),$M$3:$N$992,2,0),"")</f>
        <v>Zpracování a konzervování brambor</v>
      </c>
      <c r="R393">
        <f>IF(ISNUMBER(SEARCH('1Př1'!$A$33,N393)),MAX($M$2:M392)+1,0)</f>
        <v>391</v>
      </c>
      <c r="S393" s="336" t="s">
        <v>2198</v>
      </c>
      <c r="T393" t="str">
        <f>IFERROR(VLOOKUP(ROWS($T$3:T393),$R$3:$S$992,2,0),"")</f>
        <v>Zpracování a konzervování brambor</v>
      </c>
      <c r="U393">
        <f>IF(ISNUMBER(SEARCH('1Př1'!$A$34,N393)),MAX($M$2:M392)+1,0)</f>
        <v>391</v>
      </c>
      <c r="V393" s="336" t="s">
        <v>2198</v>
      </c>
      <c r="W393" t="str">
        <f>IFERROR(VLOOKUP(ROWS($W$3:W393),$U$3:$V$992,2,0),"")</f>
        <v>Zpracování a konzervování brambor</v>
      </c>
      <c r="X393">
        <f>IF(ISNUMBER(SEARCH('1Př1'!$A$35,N393)),MAX($M$2:M392)+1,0)</f>
        <v>391</v>
      </c>
      <c r="Y393" s="336" t="s">
        <v>2198</v>
      </c>
      <c r="Z393" t="str">
        <f>IFERROR(VLOOKUP(ROWS($Z$3:Z393),$X$3:$Y$992,2,0),"")</f>
        <v>Zpracování a konzervování brambor</v>
      </c>
    </row>
    <row r="394" spans="13:26" ht="12.75">
      <c r="M394" s="335">
        <f>IF(ISNUMBER(SEARCH(ZAKL_DATA!$B$29,N394)),MAX($M$2:M393)+1,0)</f>
        <v>392</v>
      </c>
      <c r="N394" s="336" t="s">
        <v>2200</v>
      </c>
      <c r="O394" s="353" t="s">
        <v>2201</v>
      </c>
      <c r="P394" s="338"/>
      <c r="Q394" s="339" t="str">
        <f>IFERROR(VLOOKUP(ROWS($Q$3:Q394),$M$3:$N$992,2,0),"")</f>
        <v>Výroba ovocných a zeleninových šťáv</v>
      </c>
      <c r="R394">
        <f>IF(ISNUMBER(SEARCH('1Př1'!$A$33,N394)),MAX($M$2:M393)+1,0)</f>
        <v>392</v>
      </c>
      <c r="S394" s="336" t="s">
        <v>2200</v>
      </c>
      <c r="T394" t="str">
        <f>IFERROR(VLOOKUP(ROWS($T$3:T394),$R$3:$S$992,2,0),"")</f>
        <v>Výroba ovocných a zeleninových šťáv</v>
      </c>
      <c r="U394">
        <f>IF(ISNUMBER(SEARCH('1Př1'!$A$34,N394)),MAX($M$2:M393)+1,0)</f>
        <v>392</v>
      </c>
      <c r="V394" s="336" t="s">
        <v>2200</v>
      </c>
      <c r="W394" t="str">
        <f>IFERROR(VLOOKUP(ROWS($W$3:W394),$U$3:$V$992,2,0),"")</f>
        <v>Výroba ovocných a zeleninových šťáv</v>
      </c>
      <c r="X394">
        <f>IF(ISNUMBER(SEARCH('1Př1'!$A$35,N394)),MAX($M$2:M393)+1,0)</f>
        <v>392</v>
      </c>
      <c r="Y394" s="336" t="s">
        <v>2200</v>
      </c>
      <c r="Z394" t="str">
        <f>IFERROR(VLOOKUP(ROWS($Z$3:Z394),$X$3:$Y$992,2,0),"")</f>
        <v>Výroba ovocných a zeleninových šťáv</v>
      </c>
    </row>
    <row r="395" spans="13:26" ht="12.75">
      <c r="M395" s="335">
        <f>IF(ISNUMBER(SEARCH(ZAKL_DATA!$B$29,N395)),MAX($M$2:M394)+1,0)</f>
        <v>393</v>
      </c>
      <c r="N395" s="336" t="s">
        <v>2202</v>
      </c>
      <c r="O395" s="353" t="s">
        <v>2203</v>
      </c>
      <c r="P395" s="338"/>
      <c r="Q395" s="339" t="str">
        <f>IFERROR(VLOOKUP(ROWS($Q$3:Q395),$M$3:$N$992,2,0),"")</f>
        <v>Ostatní zpracování a konzervování ovoce a zeleniny</v>
      </c>
      <c r="R395">
        <f>IF(ISNUMBER(SEARCH('1Př1'!$A$33,N395)),MAX($M$2:M394)+1,0)</f>
        <v>393</v>
      </c>
      <c r="S395" s="336" t="s">
        <v>2202</v>
      </c>
      <c r="T395" t="str">
        <f>IFERROR(VLOOKUP(ROWS($T$3:T395),$R$3:$S$992,2,0),"")</f>
        <v>Ostatní zpracování a konzervování ovoce a zeleniny</v>
      </c>
      <c r="U395">
        <f>IF(ISNUMBER(SEARCH('1Př1'!$A$34,N395)),MAX($M$2:M394)+1,0)</f>
        <v>393</v>
      </c>
      <c r="V395" s="336" t="s">
        <v>2202</v>
      </c>
      <c r="W395" t="str">
        <f>IFERROR(VLOOKUP(ROWS($W$3:W395),$U$3:$V$992,2,0),"")</f>
        <v>Ostatní zpracování a konzervování ovoce a zeleniny</v>
      </c>
      <c r="X395">
        <f>IF(ISNUMBER(SEARCH('1Př1'!$A$35,N395)),MAX($M$2:M394)+1,0)</f>
        <v>393</v>
      </c>
      <c r="Y395" s="336" t="s">
        <v>2202</v>
      </c>
      <c r="Z395" t="str">
        <f>IFERROR(VLOOKUP(ROWS($Z$3:Z395),$X$3:$Y$992,2,0),"")</f>
        <v>Ostatní zpracování a konzervování ovoce a zeleniny</v>
      </c>
    </row>
    <row r="396" spans="13:26" ht="12.75">
      <c r="M396" s="335">
        <f>IF(ISNUMBER(SEARCH(ZAKL_DATA!$B$29,N396)),MAX($M$2:M395)+1,0)</f>
        <v>394</v>
      </c>
      <c r="N396" s="336" t="s">
        <v>2204</v>
      </c>
      <c r="O396" s="353" t="s">
        <v>2205</v>
      </c>
      <c r="P396" s="338"/>
      <c r="Q396" s="339" t="str">
        <f>IFERROR(VLOOKUP(ROWS($Q$3:Q396),$M$3:$N$992,2,0),"")</f>
        <v>Výroba olejů a tuků</v>
      </c>
      <c r="R396">
        <f>IF(ISNUMBER(SEARCH('1Př1'!$A$33,N396)),MAX($M$2:M395)+1,0)</f>
        <v>394</v>
      </c>
      <c r="S396" s="336" t="s">
        <v>2204</v>
      </c>
      <c r="T396" t="str">
        <f>IFERROR(VLOOKUP(ROWS($T$3:T396),$R$3:$S$992,2,0),"")</f>
        <v>Výroba olejů a tuků</v>
      </c>
      <c r="U396">
        <f>IF(ISNUMBER(SEARCH('1Př1'!$A$34,N396)),MAX($M$2:M395)+1,0)</f>
        <v>394</v>
      </c>
      <c r="V396" s="336" t="s">
        <v>2204</v>
      </c>
      <c r="W396" t="str">
        <f>IFERROR(VLOOKUP(ROWS($W$3:W396),$U$3:$V$992,2,0),"")</f>
        <v>Výroba olejů a tuků</v>
      </c>
      <c r="X396">
        <f>IF(ISNUMBER(SEARCH('1Př1'!$A$35,N396)),MAX($M$2:M395)+1,0)</f>
        <v>394</v>
      </c>
      <c r="Y396" s="336" t="s">
        <v>2204</v>
      </c>
      <c r="Z396" t="str">
        <f>IFERROR(VLOOKUP(ROWS($Z$3:Z396),$X$3:$Y$992,2,0),"")</f>
        <v>Výroba olejů a tuků</v>
      </c>
    </row>
    <row r="397" spans="13:26" ht="12.75">
      <c r="M397" s="335">
        <f>IF(ISNUMBER(SEARCH(ZAKL_DATA!$B$29,N397)),MAX($M$2:M396)+1,0)</f>
        <v>395</v>
      </c>
      <c r="N397" s="336" t="s">
        <v>2206</v>
      </c>
      <c r="O397" s="353" t="s">
        <v>2207</v>
      </c>
      <c r="P397" s="338"/>
      <c r="Q397" s="339" t="str">
        <f>IFERROR(VLOOKUP(ROWS($Q$3:Q397),$M$3:$N$992,2,0),"")</f>
        <v>Výroba margarínu a podobných jedlých tuků</v>
      </c>
      <c r="R397">
        <f>IF(ISNUMBER(SEARCH('1Př1'!$A$33,N397)),MAX($M$2:M396)+1,0)</f>
        <v>395</v>
      </c>
      <c r="S397" s="336" t="s">
        <v>2206</v>
      </c>
      <c r="T397" t="str">
        <f>IFERROR(VLOOKUP(ROWS($T$3:T397),$R$3:$S$992,2,0),"")</f>
        <v>Výroba margarínu a podobných jedlých tuků</v>
      </c>
      <c r="U397">
        <f>IF(ISNUMBER(SEARCH('1Př1'!$A$34,N397)),MAX($M$2:M396)+1,0)</f>
        <v>395</v>
      </c>
      <c r="V397" s="336" t="s">
        <v>2206</v>
      </c>
      <c r="W397" t="str">
        <f>IFERROR(VLOOKUP(ROWS($W$3:W397),$U$3:$V$992,2,0),"")</f>
        <v>Výroba margarínu a podobných jedlých tuků</v>
      </c>
      <c r="X397">
        <f>IF(ISNUMBER(SEARCH('1Př1'!$A$35,N397)),MAX($M$2:M396)+1,0)</f>
        <v>395</v>
      </c>
      <c r="Y397" s="336" t="s">
        <v>2206</v>
      </c>
      <c r="Z397" t="str">
        <f>IFERROR(VLOOKUP(ROWS($Z$3:Z397),$X$3:$Y$992,2,0),"")</f>
        <v>Výroba margarínu a podobných jedlých tuků</v>
      </c>
    </row>
    <row r="398" spans="13:26" ht="12.75">
      <c r="M398" s="335">
        <f>IF(ISNUMBER(SEARCH(ZAKL_DATA!$B$29,N398)),MAX($M$2:M397)+1,0)</f>
        <v>396</v>
      </c>
      <c r="N398" s="336" t="s">
        <v>2208</v>
      </c>
      <c r="O398" s="353" t="s">
        <v>2209</v>
      </c>
      <c r="P398" s="338"/>
      <c r="Q398" s="339" t="str">
        <f>IFERROR(VLOOKUP(ROWS($Q$3:Q398),$M$3:$N$992,2,0),"")</f>
        <v>Zpracování mléka, výroba mléčných výrobků a sýrů</v>
      </c>
      <c r="R398">
        <f>IF(ISNUMBER(SEARCH('1Př1'!$A$33,N398)),MAX($M$2:M397)+1,0)</f>
        <v>396</v>
      </c>
      <c r="S398" s="336" t="s">
        <v>2208</v>
      </c>
      <c r="T398" t="str">
        <f>IFERROR(VLOOKUP(ROWS($T$3:T398),$R$3:$S$992,2,0),"")</f>
        <v>Zpracování mléka, výroba mléčných výrobků a sýrů</v>
      </c>
      <c r="U398">
        <f>IF(ISNUMBER(SEARCH('1Př1'!$A$34,N398)),MAX($M$2:M397)+1,0)</f>
        <v>396</v>
      </c>
      <c r="V398" s="336" t="s">
        <v>2208</v>
      </c>
      <c r="W398" t="str">
        <f>IFERROR(VLOOKUP(ROWS($W$3:W398),$U$3:$V$992,2,0),"")</f>
        <v>Zpracování mléka, výroba mléčných výrobků a sýrů</v>
      </c>
      <c r="X398">
        <f>IF(ISNUMBER(SEARCH('1Př1'!$A$35,N398)),MAX($M$2:M397)+1,0)</f>
        <v>396</v>
      </c>
      <c r="Y398" s="336" t="s">
        <v>2208</v>
      </c>
      <c r="Z398" t="str">
        <f>IFERROR(VLOOKUP(ROWS($Z$3:Z398),$X$3:$Y$992,2,0),"")</f>
        <v>Zpracování mléka, výroba mléčných výrobků a sýrů</v>
      </c>
    </row>
    <row r="399" spans="13:26" ht="12.75">
      <c r="M399" s="335">
        <f>IF(ISNUMBER(SEARCH(ZAKL_DATA!$B$29,N399)),MAX($M$2:M398)+1,0)</f>
        <v>397</v>
      </c>
      <c r="N399" s="336" t="s">
        <v>2210</v>
      </c>
      <c r="O399" s="353" t="s">
        <v>2211</v>
      </c>
      <c r="P399" s="338"/>
      <c r="Q399" s="339" t="str">
        <f>IFERROR(VLOOKUP(ROWS($Q$3:Q399),$M$3:$N$992,2,0),"")</f>
        <v>Výroba zmrzliny</v>
      </c>
      <c r="R399">
        <f>IF(ISNUMBER(SEARCH('1Př1'!$A$33,N399)),MAX($M$2:M398)+1,0)</f>
        <v>397</v>
      </c>
      <c r="S399" s="336" t="s">
        <v>2210</v>
      </c>
      <c r="T399" t="str">
        <f>IFERROR(VLOOKUP(ROWS($T$3:T399),$R$3:$S$992,2,0),"")</f>
        <v>Výroba zmrzliny</v>
      </c>
      <c r="U399">
        <f>IF(ISNUMBER(SEARCH('1Př1'!$A$34,N399)),MAX($M$2:M398)+1,0)</f>
        <v>397</v>
      </c>
      <c r="V399" s="336" t="s">
        <v>2210</v>
      </c>
      <c r="W399" t="str">
        <f>IFERROR(VLOOKUP(ROWS($W$3:W399),$U$3:$V$992,2,0),"")</f>
        <v>Výroba zmrzliny</v>
      </c>
      <c r="X399">
        <f>IF(ISNUMBER(SEARCH('1Př1'!$A$35,N399)),MAX($M$2:M398)+1,0)</f>
        <v>397</v>
      </c>
      <c r="Y399" s="336" t="s">
        <v>2210</v>
      </c>
      <c r="Z399" t="str">
        <f>IFERROR(VLOOKUP(ROWS($Z$3:Z399),$X$3:$Y$992,2,0),"")</f>
        <v>Výroba zmrzliny</v>
      </c>
    </row>
    <row r="400" spans="13:26" ht="12.75">
      <c r="M400" s="335">
        <f>IF(ISNUMBER(SEARCH(ZAKL_DATA!$B$29,N400)),MAX($M$2:M399)+1,0)</f>
        <v>398</v>
      </c>
      <c r="N400" s="336" t="s">
        <v>2212</v>
      </c>
      <c r="O400" s="353" t="s">
        <v>2213</v>
      </c>
      <c r="P400" s="338"/>
      <c r="Q400" s="339" t="str">
        <f>IFERROR(VLOOKUP(ROWS($Q$3:Q400),$M$3:$N$992,2,0),"")</f>
        <v>Výroba mlýnských výrobků</v>
      </c>
      <c r="R400">
        <f>IF(ISNUMBER(SEARCH('1Př1'!$A$33,N400)),MAX($M$2:M399)+1,0)</f>
        <v>398</v>
      </c>
      <c r="S400" s="336" t="s">
        <v>2212</v>
      </c>
      <c r="T400" t="str">
        <f>IFERROR(VLOOKUP(ROWS($T$3:T400),$R$3:$S$992,2,0),"")</f>
        <v>Výroba mlýnských výrobků</v>
      </c>
      <c r="U400">
        <f>IF(ISNUMBER(SEARCH('1Př1'!$A$34,N400)),MAX($M$2:M399)+1,0)</f>
        <v>398</v>
      </c>
      <c r="V400" s="336" t="s">
        <v>2212</v>
      </c>
      <c r="W400" t="str">
        <f>IFERROR(VLOOKUP(ROWS($W$3:W400),$U$3:$V$992,2,0),"")</f>
        <v>Výroba mlýnských výrobků</v>
      </c>
      <c r="X400">
        <f>IF(ISNUMBER(SEARCH('1Př1'!$A$35,N400)),MAX($M$2:M399)+1,0)</f>
        <v>398</v>
      </c>
      <c r="Y400" s="336" t="s">
        <v>2212</v>
      </c>
      <c r="Z400" t="str">
        <f>IFERROR(VLOOKUP(ROWS($Z$3:Z400),$X$3:$Y$992,2,0),"")</f>
        <v>Výroba mlýnských výrobků</v>
      </c>
    </row>
    <row r="401" spans="13:26" ht="12.75">
      <c r="M401" s="335">
        <f>IF(ISNUMBER(SEARCH(ZAKL_DATA!$B$29,N401)),MAX($M$2:M400)+1,0)</f>
        <v>399</v>
      </c>
      <c r="N401" s="336" t="s">
        <v>2214</v>
      </c>
      <c r="O401" s="353" t="s">
        <v>2215</v>
      </c>
      <c r="P401" s="338"/>
      <c r="Q401" s="339" t="str">
        <f>IFERROR(VLOOKUP(ROWS($Q$3:Q401),$M$3:$N$992,2,0),"")</f>
        <v>Výroba škrobárenských výrobků</v>
      </c>
      <c r="R401">
        <f>IF(ISNUMBER(SEARCH('1Př1'!$A$33,N401)),MAX($M$2:M400)+1,0)</f>
        <v>399</v>
      </c>
      <c r="S401" s="336" t="s">
        <v>2214</v>
      </c>
      <c r="T401" t="str">
        <f>IFERROR(VLOOKUP(ROWS($T$3:T401),$R$3:$S$992,2,0),"")</f>
        <v>Výroba škrobárenských výrobků</v>
      </c>
      <c r="U401">
        <f>IF(ISNUMBER(SEARCH('1Př1'!$A$34,N401)),MAX($M$2:M400)+1,0)</f>
        <v>399</v>
      </c>
      <c r="V401" s="336" t="s">
        <v>2214</v>
      </c>
      <c r="W401" t="str">
        <f>IFERROR(VLOOKUP(ROWS($W$3:W401),$U$3:$V$992,2,0),"")</f>
        <v>Výroba škrobárenských výrobků</v>
      </c>
      <c r="X401">
        <f>IF(ISNUMBER(SEARCH('1Př1'!$A$35,N401)),MAX($M$2:M400)+1,0)</f>
        <v>399</v>
      </c>
      <c r="Y401" s="336" t="s">
        <v>2214</v>
      </c>
      <c r="Z401" t="str">
        <f>IFERROR(VLOOKUP(ROWS($Z$3:Z401),$X$3:$Y$992,2,0),"")</f>
        <v>Výroba škrobárenských výrobků</v>
      </c>
    </row>
    <row r="402" spans="13:26" ht="12.75">
      <c r="M402" s="335">
        <f>IF(ISNUMBER(SEARCH(ZAKL_DATA!$B$29,N402)),MAX($M$2:M401)+1,0)</f>
        <v>400</v>
      </c>
      <c r="N402" s="336" t="s">
        <v>2216</v>
      </c>
      <c r="O402" s="353" t="s">
        <v>2217</v>
      </c>
      <c r="P402" s="338"/>
      <c r="Q402" s="339" t="str">
        <f>IFERROR(VLOOKUP(ROWS($Q$3:Q402),$M$3:$N$992,2,0),"")</f>
        <v>Výroba pekařských a cukrářských výrobků, kromě trvanlivých</v>
      </c>
      <c r="R402">
        <f>IF(ISNUMBER(SEARCH('1Př1'!$A$33,N402)),MAX($M$2:M401)+1,0)</f>
        <v>400</v>
      </c>
      <c r="S402" s="336" t="s">
        <v>2216</v>
      </c>
      <c r="T402" t="str">
        <f>IFERROR(VLOOKUP(ROWS($T$3:T402),$R$3:$S$992,2,0),"")</f>
        <v>Výroba pekařských a cukrářských výrobků, kromě trvanlivých</v>
      </c>
      <c r="U402">
        <f>IF(ISNUMBER(SEARCH('1Př1'!$A$34,N402)),MAX($M$2:M401)+1,0)</f>
        <v>400</v>
      </c>
      <c r="V402" s="336" t="s">
        <v>2216</v>
      </c>
      <c r="W402" t="str">
        <f>IFERROR(VLOOKUP(ROWS($W$3:W402),$U$3:$V$992,2,0),"")</f>
        <v>Výroba pekařských a cukrářských výrobků, kromě trvanlivých</v>
      </c>
      <c r="X402">
        <f>IF(ISNUMBER(SEARCH('1Př1'!$A$35,N402)),MAX($M$2:M401)+1,0)</f>
        <v>400</v>
      </c>
      <c r="Y402" s="336" t="s">
        <v>2216</v>
      </c>
      <c r="Z402" t="str">
        <f>IFERROR(VLOOKUP(ROWS($Z$3:Z402),$X$3:$Y$992,2,0),"")</f>
        <v>Výroba pekařských a cukrářských výrobků, kromě trvanlivých</v>
      </c>
    </row>
    <row r="403" spans="13:26" ht="12.75">
      <c r="M403" s="335">
        <f>IF(ISNUMBER(SEARCH(ZAKL_DATA!$B$29,N403)),MAX($M$2:M402)+1,0)</f>
        <v>401</v>
      </c>
      <c r="N403" s="336" t="s">
        <v>2218</v>
      </c>
      <c r="O403" s="353" t="s">
        <v>2219</v>
      </c>
      <c r="P403" s="338"/>
      <c r="Q403" s="339" t="str">
        <f>IFERROR(VLOOKUP(ROWS($Q$3:Q403),$M$3:$N$992,2,0),"")</f>
        <v>Výroba sucharů a sušenek; výroba trvanlivých cukrářských výrobků</v>
      </c>
      <c r="R403">
        <f>IF(ISNUMBER(SEARCH('1Př1'!$A$33,N403)),MAX($M$2:M402)+1,0)</f>
        <v>401</v>
      </c>
      <c r="S403" s="336" t="s">
        <v>2218</v>
      </c>
      <c r="T403" t="str">
        <f>IFERROR(VLOOKUP(ROWS($T$3:T403),$R$3:$S$992,2,0),"")</f>
        <v>Výroba sucharů a sušenek; výroba trvanlivých cukrářských výrobků</v>
      </c>
      <c r="U403">
        <f>IF(ISNUMBER(SEARCH('1Př1'!$A$34,N403)),MAX($M$2:M402)+1,0)</f>
        <v>401</v>
      </c>
      <c r="V403" s="336" t="s">
        <v>2218</v>
      </c>
      <c r="W403" t="str">
        <f>IFERROR(VLOOKUP(ROWS($W$3:W403),$U$3:$V$992,2,0),"")</f>
        <v>Výroba sucharů a sušenek; výroba trvanlivých cukrářských výrobků</v>
      </c>
      <c r="X403">
        <f>IF(ISNUMBER(SEARCH('1Př1'!$A$35,N403)),MAX($M$2:M402)+1,0)</f>
        <v>401</v>
      </c>
      <c r="Y403" s="336" t="s">
        <v>2218</v>
      </c>
      <c r="Z403" t="str">
        <f>IFERROR(VLOOKUP(ROWS($Z$3:Z403),$X$3:$Y$992,2,0),"")</f>
        <v>Výroba sucharů a sušenek; výroba trvanlivých cukrářských výrobků</v>
      </c>
    </row>
    <row r="404" spans="13:26" ht="12.75">
      <c r="M404" s="335">
        <f>IF(ISNUMBER(SEARCH(ZAKL_DATA!$B$29,N404)),MAX($M$2:M403)+1,0)</f>
        <v>402</v>
      </c>
      <c r="N404" s="336" t="s">
        <v>2220</v>
      </c>
      <c r="O404" s="353" t="s">
        <v>2221</v>
      </c>
      <c r="P404" s="338"/>
      <c r="Q404" s="339" t="str">
        <f>IFERROR(VLOOKUP(ROWS($Q$3:Q404),$M$3:$N$992,2,0),"")</f>
        <v>Výroba makaronů, nudlí, kuskusu a podobných moučných výrobků</v>
      </c>
      <c r="R404">
        <f>IF(ISNUMBER(SEARCH('1Př1'!$A$33,N404)),MAX($M$2:M403)+1,0)</f>
        <v>402</v>
      </c>
      <c r="S404" s="336" t="s">
        <v>2220</v>
      </c>
      <c r="T404" t="str">
        <f>IFERROR(VLOOKUP(ROWS($T$3:T404),$R$3:$S$992,2,0),"")</f>
        <v>Výroba makaronů, nudlí, kuskusu a podobných moučných výrobků</v>
      </c>
      <c r="U404">
        <f>IF(ISNUMBER(SEARCH('1Př1'!$A$34,N404)),MAX($M$2:M403)+1,0)</f>
        <v>402</v>
      </c>
      <c r="V404" s="336" t="s">
        <v>2220</v>
      </c>
      <c r="W404" t="str">
        <f>IFERROR(VLOOKUP(ROWS($W$3:W404),$U$3:$V$992,2,0),"")</f>
        <v>Výroba makaronů, nudlí, kuskusu a podobných moučných výrobků</v>
      </c>
      <c r="X404">
        <f>IF(ISNUMBER(SEARCH('1Př1'!$A$35,N404)),MAX($M$2:M403)+1,0)</f>
        <v>402</v>
      </c>
      <c r="Y404" s="336" t="s">
        <v>2220</v>
      </c>
      <c r="Z404" t="str">
        <f>IFERROR(VLOOKUP(ROWS($Z$3:Z404),$X$3:$Y$992,2,0),"")</f>
        <v>Výroba makaronů, nudlí, kuskusu a podobných moučných výrobků</v>
      </c>
    </row>
    <row r="405" spans="13:26" ht="12.75">
      <c r="M405" s="335">
        <f>IF(ISNUMBER(SEARCH(ZAKL_DATA!$B$29,N405)),MAX($M$2:M404)+1,0)</f>
        <v>403</v>
      </c>
      <c r="N405" s="336" t="s">
        <v>2222</v>
      </c>
      <c r="O405" s="353" t="s">
        <v>2223</v>
      </c>
      <c r="P405" s="338"/>
      <c r="Q405" s="339" t="str">
        <f>IFERROR(VLOOKUP(ROWS($Q$3:Q405),$M$3:$N$992,2,0),"")</f>
        <v>Výroba cukru</v>
      </c>
      <c r="R405">
        <f>IF(ISNUMBER(SEARCH('1Př1'!$A$33,N405)),MAX($M$2:M404)+1,0)</f>
        <v>403</v>
      </c>
      <c r="S405" s="336" t="s">
        <v>2222</v>
      </c>
      <c r="T405" t="str">
        <f>IFERROR(VLOOKUP(ROWS($T$3:T405),$R$3:$S$992,2,0),"")</f>
        <v>Výroba cukru</v>
      </c>
      <c r="U405">
        <f>IF(ISNUMBER(SEARCH('1Př1'!$A$34,N405)),MAX($M$2:M404)+1,0)</f>
        <v>403</v>
      </c>
      <c r="V405" s="336" t="s">
        <v>2222</v>
      </c>
      <c r="W405" t="str">
        <f>IFERROR(VLOOKUP(ROWS($W$3:W405),$U$3:$V$992,2,0),"")</f>
        <v>Výroba cukru</v>
      </c>
      <c r="X405">
        <f>IF(ISNUMBER(SEARCH('1Př1'!$A$35,N405)),MAX($M$2:M404)+1,0)</f>
        <v>403</v>
      </c>
      <c r="Y405" s="336" t="s">
        <v>2222</v>
      </c>
      <c r="Z405" t="str">
        <f>IFERROR(VLOOKUP(ROWS($Z$3:Z405),$X$3:$Y$992,2,0),"")</f>
        <v>Výroba cukru</v>
      </c>
    </row>
    <row r="406" spans="13:26" ht="12.75">
      <c r="M406" s="335">
        <f>IF(ISNUMBER(SEARCH(ZAKL_DATA!$B$29,N406)),MAX($M$2:M405)+1,0)</f>
        <v>404</v>
      </c>
      <c r="N406" s="336" t="s">
        <v>2224</v>
      </c>
      <c r="O406" s="353" t="s">
        <v>2225</v>
      </c>
      <c r="P406" s="338"/>
      <c r="Q406" s="339" t="str">
        <f>IFERROR(VLOOKUP(ROWS($Q$3:Q406),$M$3:$N$992,2,0),"")</f>
        <v>Výroba kakaa, čokolády a cukrovinek</v>
      </c>
      <c r="R406">
        <f>IF(ISNUMBER(SEARCH('1Př1'!$A$33,N406)),MAX($M$2:M405)+1,0)</f>
        <v>404</v>
      </c>
      <c r="S406" s="336" t="s">
        <v>2224</v>
      </c>
      <c r="T406" t="str">
        <f>IFERROR(VLOOKUP(ROWS($T$3:T406),$R$3:$S$992,2,0),"")</f>
        <v>Výroba kakaa, čokolády a cukrovinek</v>
      </c>
      <c r="U406">
        <f>IF(ISNUMBER(SEARCH('1Př1'!$A$34,N406)),MAX($M$2:M405)+1,0)</f>
        <v>404</v>
      </c>
      <c r="V406" s="336" t="s">
        <v>2224</v>
      </c>
      <c r="W406" t="str">
        <f>IFERROR(VLOOKUP(ROWS($W$3:W406),$U$3:$V$992,2,0),"")</f>
        <v>Výroba kakaa, čokolády a cukrovinek</v>
      </c>
      <c r="X406">
        <f>IF(ISNUMBER(SEARCH('1Př1'!$A$35,N406)),MAX($M$2:M405)+1,0)</f>
        <v>404</v>
      </c>
      <c r="Y406" s="336" t="s">
        <v>2224</v>
      </c>
      <c r="Z406" t="str">
        <f>IFERROR(VLOOKUP(ROWS($Z$3:Z406),$X$3:$Y$992,2,0),"")</f>
        <v>Výroba kakaa, čokolády a cukrovinek</v>
      </c>
    </row>
    <row r="407" spans="13:26" ht="12.75">
      <c r="M407" s="335">
        <f>IF(ISNUMBER(SEARCH(ZAKL_DATA!$B$29,N407)),MAX($M$2:M406)+1,0)</f>
        <v>405</v>
      </c>
      <c r="N407" s="336" t="s">
        <v>2226</v>
      </c>
      <c r="O407" s="353" t="s">
        <v>2227</v>
      </c>
      <c r="P407" s="338"/>
      <c r="Q407" s="339" t="str">
        <f>IFERROR(VLOOKUP(ROWS($Q$3:Q407),$M$3:$N$992,2,0),"")</f>
        <v>Zpracování čaje a kávy</v>
      </c>
      <c r="R407">
        <f>IF(ISNUMBER(SEARCH('1Př1'!$A$33,N407)),MAX($M$2:M406)+1,0)</f>
        <v>405</v>
      </c>
      <c r="S407" s="336" t="s">
        <v>2226</v>
      </c>
      <c r="T407" t="str">
        <f>IFERROR(VLOOKUP(ROWS($T$3:T407),$R$3:$S$992,2,0),"")</f>
        <v>Zpracování čaje a kávy</v>
      </c>
      <c r="U407">
        <f>IF(ISNUMBER(SEARCH('1Př1'!$A$34,N407)),MAX($M$2:M406)+1,0)</f>
        <v>405</v>
      </c>
      <c r="V407" s="336" t="s">
        <v>2226</v>
      </c>
      <c r="W407" t="str">
        <f>IFERROR(VLOOKUP(ROWS($W$3:W407),$U$3:$V$992,2,0),"")</f>
        <v>Zpracování čaje a kávy</v>
      </c>
      <c r="X407">
        <f>IF(ISNUMBER(SEARCH('1Př1'!$A$35,N407)),MAX($M$2:M406)+1,0)</f>
        <v>405</v>
      </c>
      <c r="Y407" s="336" t="s">
        <v>2226</v>
      </c>
      <c r="Z407" t="str">
        <f>IFERROR(VLOOKUP(ROWS($Z$3:Z407),$X$3:$Y$992,2,0),"")</f>
        <v>Zpracování čaje a kávy</v>
      </c>
    </row>
    <row r="408" spans="13:26" ht="12.75">
      <c r="M408" s="335">
        <f>IF(ISNUMBER(SEARCH(ZAKL_DATA!$B$29,N408)),MAX($M$2:M407)+1,0)</f>
        <v>406</v>
      </c>
      <c r="N408" s="336" t="s">
        <v>2228</v>
      </c>
      <c r="O408" s="353" t="s">
        <v>2229</v>
      </c>
      <c r="P408" s="338"/>
      <c r="Q408" s="339" t="str">
        <f>IFERROR(VLOOKUP(ROWS($Q$3:Q408),$M$3:$N$992,2,0),"")</f>
        <v>Výroba koření a aromatických výtažků</v>
      </c>
      <c r="R408">
        <f>IF(ISNUMBER(SEARCH('1Př1'!$A$33,N408)),MAX($M$2:M407)+1,0)</f>
        <v>406</v>
      </c>
      <c r="S408" s="336" t="s">
        <v>2228</v>
      </c>
      <c r="T408" t="str">
        <f>IFERROR(VLOOKUP(ROWS($T$3:T408),$R$3:$S$992,2,0),"")</f>
        <v>Výroba koření a aromatických výtažků</v>
      </c>
      <c r="U408">
        <f>IF(ISNUMBER(SEARCH('1Př1'!$A$34,N408)),MAX($M$2:M407)+1,0)</f>
        <v>406</v>
      </c>
      <c r="V408" s="336" t="s">
        <v>2228</v>
      </c>
      <c r="W408" t="str">
        <f>IFERROR(VLOOKUP(ROWS($W$3:W408),$U$3:$V$992,2,0),"")</f>
        <v>Výroba koření a aromatických výtažků</v>
      </c>
      <c r="X408">
        <f>IF(ISNUMBER(SEARCH('1Př1'!$A$35,N408)),MAX($M$2:M407)+1,0)</f>
        <v>406</v>
      </c>
      <c r="Y408" s="336" t="s">
        <v>2228</v>
      </c>
      <c r="Z408" t="str">
        <f>IFERROR(VLOOKUP(ROWS($Z$3:Z408),$X$3:$Y$992,2,0),"")</f>
        <v>Výroba koření a aromatických výtažků</v>
      </c>
    </row>
    <row r="409" spans="13:26" ht="12.75">
      <c r="M409" s="335">
        <f>IF(ISNUMBER(SEARCH(ZAKL_DATA!$B$29,N409)),MAX($M$2:M408)+1,0)</f>
        <v>407</v>
      </c>
      <c r="N409" s="336" t="s">
        <v>2230</v>
      </c>
      <c r="O409" s="353" t="s">
        <v>2231</v>
      </c>
      <c r="P409" s="338"/>
      <c r="Q409" s="339" t="str">
        <f>IFERROR(VLOOKUP(ROWS($Q$3:Q409),$M$3:$N$992,2,0),"")</f>
        <v>Výroba hotových pokrmů</v>
      </c>
      <c r="R409">
        <f>IF(ISNUMBER(SEARCH('1Př1'!$A$33,N409)),MAX($M$2:M408)+1,0)</f>
        <v>407</v>
      </c>
      <c r="S409" s="336" t="s">
        <v>2230</v>
      </c>
      <c r="T409" t="str">
        <f>IFERROR(VLOOKUP(ROWS($T$3:T409),$R$3:$S$992,2,0),"")</f>
        <v>Výroba hotových pokrmů</v>
      </c>
      <c r="U409">
        <f>IF(ISNUMBER(SEARCH('1Př1'!$A$34,N409)),MAX($M$2:M408)+1,0)</f>
        <v>407</v>
      </c>
      <c r="V409" s="336" t="s">
        <v>2230</v>
      </c>
      <c r="W409" t="str">
        <f>IFERROR(VLOOKUP(ROWS($W$3:W409),$U$3:$V$992,2,0),"")</f>
        <v>Výroba hotových pokrmů</v>
      </c>
      <c r="X409">
        <f>IF(ISNUMBER(SEARCH('1Př1'!$A$35,N409)),MAX($M$2:M408)+1,0)</f>
        <v>407</v>
      </c>
      <c r="Y409" s="336" t="s">
        <v>2230</v>
      </c>
      <c r="Z409" t="str">
        <f>IFERROR(VLOOKUP(ROWS($Z$3:Z409),$X$3:$Y$992,2,0),"")</f>
        <v>Výroba hotových pokrmů</v>
      </c>
    </row>
    <row r="410" spans="13:26" ht="12.75">
      <c r="M410" s="335">
        <f>IF(ISNUMBER(SEARCH(ZAKL_DATA!$B$29,N410)),MAX($M$2:M409)+1,0)</f>
        <v>408</v>
      </c>
      <c r="N410" s="336" t="s">
        <v>2232</v>
      </c>
      <c r="O410" s="353" t="s">
        <v>2233</v>
      </c>
      <c r="P410" s="338"/>
      <c r="Q410" s="339" t="str">
        <f>IFERROR(VLOOKUP(ROWS($Q$3:Q410),$M$3:$N$992,2,0),"")</f>
        <v>Výroba homogenizovaných potravinářských přípravků a dietních potravin</v>
      </c>
      <c r="R410">
        <f>IF(ISNUMBER(SEARCH('1Př1'!$A$33,N410)),MAX($M$2:M409)+1,0)</f>
        <v>408</v>
      </c>
      <c r="S410" s="336" t="s">
        <v>2232</v>
      </c>
      <c r="T410" t="str">
        <f>IFERROR(VLOOKUP(ROWS($T$3:T410),$R$3:$S$992,2,0),"")</f>
        <v>Výroba homogenizovaných potravinářských přípravků a dietních potravin</v>
      </c>
      <c r="U410">
        <f>IF(ISNUMBER(SEARCH('1Př1'!$A$34,N410)),MAX($M$2:M409)+1,0)</f>
        <v>408</v>
      </c>
      <c r="V410" s="336" t="s">
        <v>2232</v>
      </c>
      <c r="W410" t="str">
        <f>IFERROR(VLOOKUP(ROWS($W$3:W410),$U$3:$V$992,2,0),"")</f>
        <v>Výroba homogenizovaných potravinářských přípravků a dietních potravin</v>
      </c>
      <c r="X410">
        <f>IF(ISNUMBER(SEARCH('1Př1'!$A$35,N410)),MAX($M$2:M409)+1,0)</f>
        <v>408</v>
      </c>
      <c r="Y410" s="336" t="s">
        <v>2232</v>
      </c>
      <c r="Z410" t="str">
        <f>IFERROR(VLOOKUP(ROWS($Z$3:Z410),$X$3:$Y$992,2,0),"")</f>
        <v>Výroba homogenizovaných potravinářských přípravků a dietních potravin</v>
      </c>
    </row>
    <row r="411" spans="13:26" ht="12.75">
      <c r="M411" s="335">
        <f>IF(ISNUMBER(SEARCH(ZAKL_DATA!$B$29,N411)),MAX($M$2:M410)+1,0)</f>
        <v>409</v>
      </c>
      <c r="N411" s="336" t="s">
        <v>2234</v>
      </c>
      <c r="O411" s="353" t="s">
        <v>2235</v>
      </c>
      <c r="P411" s="338"/>
      <c r="Q411" s="339" t="str">
        <f>IFERROR(VLOOKUP(ROWS($Q$3:Q411),$M$3:$N$992,2,0),"")</f>
        <v>Výroba ostatních potravinářských výrobků j. n.</v>
      </c>
      <c r="R411">
        <f>IF(ISNUMBER(SEARCH('1Př1'!$A$33,N411)),MAX($M$2:M410)+1,0)</f>
        <v>409</v>
      </c>
      <c r="S411" s="336" t="s">
        <v>2234</v>
      </c>
      <c r="T411" t="str">
        <f>IFERROR(VLOOKUP(ROWS($T$3:T411),$R$3:$S$992,2,0),"")</f>
        <v>Výroba ostatních potravinářských výrobků j. n.</v>
      </c>
      <c r="U411">
        <f>IF(ISNUMBER(SEARCH('1Př1'!$A$34,N411)),MAX($M$2:M410)+1,0)</f>
        <v>409</v>
      </c>
      <c r="V411" s="336" t="s">
        <v>2234</v>
      </c>
      <c r="W411" t="str">
        <f>IFERROR(VLOOKUP(ROWS($W$3:W411),$U$3:$V$992,2,0),"")</f>
        <v>Výroba ostatních potravinářských výrobků j. n.</v>
      </c>
      <c r="X411">
        <f>IF(ISNUMBER(SEARCH('1Př1'!$A$35,N411)),MAX($M$2:M410)+1,0)</f>
        <v>409</v>
      </c>
      <c r="Y411" s="336" t="s">
        <v>2234</v>
      </c>
      <c r="Z411" t="str">
        <f>IFERROR(VLOOKUP(ROWS($Z$3:Z411),$X$3:$Y$992,2,0),"")</f>
        <v>Výroba ostatních potravinářských výrobků j. n.</v>
      </c>
    </row>
    <row r="412" spans="13:26" ht="12.75">
      <c r="M412" s="335">
        <f>IF(ISNUMBER(SEARCH(ZAKL_DATA!$B$29,N412)),MAX($M$2:M411)+1,0)</f>
        <v>410</v>
      </c>
      <c r="N412" s="336" t="s">
        <v>2236</v>
      </c>
      <c r="O412" s="353" t="s">
        <v>2237</v>
      </c>
      <c r="P412" s="338"/>
      <c r="Q412" s="339" t="str">
        <f>IFERROR(VLOOKUP(ROWS($Q$3:Q412),$M$3:$N$992,2,0),"")</f>
        <v>Výroba průmyslových krmiv pro hospodářská zvířata</v>
      </c>
      <c r="R412">
        <f>IF(ISNUMBER(SEARCH('1Př1'!$A$33,N412)),MAX($M$2:M411)+1,0)</f>
        <v>410</v>
      </c>
      <c r="S412" s="336" t="s">
        <v>2236</v>
      </c>
      <c r="T412" t="str">
        <f>IFERROR(VLOOKUP(ROWS($T$3:T412),$R$3:$S$992,2,0),"")</f>
        <v>Výroba průmyslových krmiv pro hospodářská zvířata</v>
      </c>
      <c r="U412">
        <f>IF(ISNUMBER(SEARCH('1Př1'!$A$34,N412)),MAX($M$2:M411)+1,0)</f>
        <v>410</v>
      </c>
      <c r="V412" s="336" t="s">
        <v>2236</v>
      </c>
      <c r="W412" t="str">
        <f>IFERROR(VLOOKUP(ROWS($W$3:W412),$U$3:$V$992,2,0),"")</f>
        <v>Výroba průmyslových krmiv pro hospodářská zvířata</v>
      </c>
      <c r="X412">
        <f>IF(ISNUMBER(SEARCH('1Př1'!$A$35,N412)),MAX($M$2:M411)+1,0)</f>
        <v>410</v>
      </c>
      <c r="Y412" s="336" t="s">
        <v>2236</v>
      </c>
      <c r="Z412" t="str">
        <f>IFERROR(VLOOKUP(ROWS($Z$3:Z412),$X$3:$Y$992,2,0),"")</f>
        <v>Výroba průmyslových krmiv pro hospodářská zvířata</v>
      </c>
    </row>
    <row r="413" spans="13:26" ht="12.75">
      <c r="M413" s="335">
        <f>IF(ISNUMBER(SEARCH(ZAKL_DATA!$B$29,N413)),MAX($M$2:M412)+1,0)</f>
        <v>411</v>
      </c>
      <c r="N413" s="336" t="s">
        <v>2238</v>
      </c>
      <c r="O413" s="353" t="s">
        <v>2239</v>
      </c>
      <c r="P413" s="338"/>
      <c r="Q413" s="339" t="str">
        <f>IFERROR(VLOOKUP(ROWS($Q$3:Q413),$M$3:$N$992,2,0),"")</f>
        <v>Výroba průmyslových krmiv pro zvířata v zájmovém chovu</v>
      </c>
      <c r="R413">
        <f>IF(ISNUMBER(SEARCH('1Př1'!$A$33,N413)),MAX($M$2:M412)+1,0)</f>
        <v>411</v>
      </c>
      <c r="S413" s="336" t="s">
        <v>2238</v>
      </c>
      <c r="T413" t="str">
        <f>IFERROR(VLOOKUP(ROWS($T$3:T413),$R$3:$S$992,2,0),"")</f>
        <v>Výroba průmyslových krmiv pro zvířata v zájmovém chovu</v>
      </c>
      <c r="U413">
        <f>IF(ISNUMBER(SEARCH('1Př1'!$A$34,N413)),MAX($M$2:M412)+1,0)</f>
        <v>411</v>
      </c>
      <c r="V413" s="336" t="s">
        <v>2238</v>
      </c>
      <c r="W413" t="str">
        <f>IFERROR(VLOOKUP(ROWS($W$3:W413),$U$3:$V$992,2,0),"")</f>
        <v>Výroba průmyslových krmiv pro zvířata v zájmovém chovu</v>
      </c>
      <c r="X413">
        <f>IF(ISNUMBER(SEARCH('1Př1'!$A$35,N413)),MAX($M$2:M412)+1,0)</f>
        <v>411</v>
      </c>
      <c r="Y413" s="336" t="s">
        <v>2238</v>
      </c>
      <c r="Z413" t="str">
        <f>IFERROR(VLOOKUP(ROWS($Z$3:Z413),$X$3:$Y$992,2,0),"")</f>
        <v>Výroba průmyslových krmiv pro zvířata v zájmovém chovu</v>
      </c>
    </row>
    <row r="414" spans="13:26" ht="12.75">
      <c r="M414" s="335">
        <f>IF(ISNUMBER(SEARCH(ZAKL_DATA!$B$29,N414)),MAX($M$2:M413)+1,0)</f>
        <v>412</v>
      </c>
      <c r="N414" s="336" t="s">
        <v>2240</v>
      </c>
      <c r="O414" s="353" t="s">
        <v>2241</v>
      </c>
      <c r="P414" s="338"/>
      <c r="Q414" s="339" t="str">
        <f>IFERROR(VLOOKUP(ROWS($Q$3:Q414),$M$3:$N$992,2,0),"")</f>
        <v>Destilace, rektifikace a míchání lihovin</v>
      </c>
      <c r="R414">
        <f>IF(ISNUMBER(SEARCH('1Př1'!$A$33,N414)),MAX($M$2:M413)+1,0)</f>
        <v>412</v>
      </c>
      <c r="S414" s="336" t="s">
        <v>2240</v>
      </c>
      <c r="T414" t="str">
        <f>IFERROR(VLOOKUP(ROWS($T$3:T414),$R$3:$S$992,2,0),"")</f>
        <v>Destilace, rektifikace a míchání lihovin</v>
      </c>
      <c r="U414">
        <f>IF(ISNUMBER(SEARCH('1Př1'!$A$34,N414)),MAX($M$2:M413)+1,0)</f>
        <v>412</v>
      </c>
      <c r="V414" s="336" t="s">
        <v>2240</v>
      </c>
      <c r="W414" t="str">
        <f>IFERROR(VLOOKUP(ROWS($W$3:W414),$U$3:$V$992,2,0),"")</f>
        <v>Destilace, rektifikace a míchání lihovin</v>
      </c>
      <c r="X414">
        <f>IF(ISNUMBER(SEARCH('1Př1'!$A$35,N414)),MAX($M$2:M413)+1,0)</f>
        <v>412</v>
      </c>
      <c r="Y414" s="336" t="s">
        <v>2240</v>
      </c>
      <c r="Z414" t="str">
        <f>IFERROR(VLOOKUP(ROWS($Z$3:Z414),$X$3:$Y$992,2,0),"")</f>
        <v>Destilace, rektifikace a míchání lihovin</v>
      </c>
    </row>
    <row r="415" spans="13:26" ht="12.75">
      <c r="M415" s="335">
        <f>IF(ISNUMBER(SEARCH(ZAKL_DATA!$B$29,N415)),MAX($M$2:M414)+1,0)</f>
        <v>413</v>
      </c>
      <c r="N415" s="336" t="s">
        <v>2242</v>
      </c>
      <c r="O415" s="353" t="s">
        <v>2243</v>
      </c>
      <c r="P415" s="338"/>
      <c r="Q415" s="339" t="str">
        <f>IFERROR(VLOOKUP(ROWS($Q$3:Q415),$M$3:$N$992,2,0),"")</f>
        <v>Výroba vína z vinných hroznů</v>
      </c>
      <c r="R415">
        <f>IF(ISNUMBER(SEARCH('1Př1'!$A$33,N415)),MAX($M$2:M414)+1,0)</f>
        <v>413</v>
      </c>
      <c r="S415" s="336" t="s">
        <v>2242</v>
      </c>
      <c r="T415" t="str">
        <f>IFERROR(VLOOKUP(ROWS($T$3:T415),$R$3:$S$992,2,0),"")</f>
        <v>Výroba vína z vinných hroznů</v>
      </c>
      <c r="U415">
        <f>IF(ISNUMBER(SEARCH('1Př1'!$A$34,N415)),MAX($M$2:M414)+1,0)</f>
        <v>413</v>
      </c>
      <c r="V415" s="336" t="s">
        <v>2242</v>
      </c>
      <c r="W415" t="str">
        <f>IFERROR(VLOOKUP(ROWS($W$3:W415),$U$3:$V$992,2,0),"")</f>
        <v>Výroba vína z vinných hroznů</v>
      </c>
      <c r="X415">
        <f>IF(ISNUMBER(SEARCH('1Př1'!$A$35,N415)),MAX($M$2:M414)+1,0)</f>
        <v>413</v>
      </c>
      <c r="Y415" s="336" t="s">
        <v>2242</v>
      </c>
      <c r="Z415" t="str">
        <f>IFERROR(VLOOKUP(ROWS($Z$3:Z415),$X$3:$Y$992,2,0),"")</f>
        <v>Výroba vína z vinných hroznů</v>
      </c>
    </row>
    <row r="416" spans="13:26" ht="12.75">
      <c r="M416" s="335">
        <f>IF(ISNUMBER(SEARCH(ZAKL_DATA!$B$29,N416)),MAX($M$2:M415)+1,0)</f>
        <v>414</v>
      </c>
      <c r="N416" s="336" t="s">
        <v>2244</v>
      </c>
      <c r="O416" s="353" t="s">
        <v>2245</v>
      </c>
      <c r="P416" s="338"/>
      <c r="Q416" s="339" t="str">
        <f>IFERROR(VLOOKUP(ROWS($Q$3:Q416),$M$3:$N$992,2,0),"")</f>
        <v>Výroba jablečného vína a jiných ovocných vín</v>
      </c>
      <c r="R416">
        <f>IF(ISNUMBER(SEARCH('1Př1'!$A$33,N416)),MAX($M$2:M415)+1,0)</f>
        <v>414</v>
      </c>
      <c r="S416" s="336" t="s">
        <v>2244</v>
      </c>
      <c r="T416" t="str">
        <f>IFERROR(VLOOKUP(ROWS($T$3:T416),$R$3:$S$992,2,0),"")</f>
        <v>Výroba jablečného vína a jiných ovocných vín</v>
      </c>
      <c r="U416">
        <f>IF(ISNUMBER(SEARCH('1Př1'!$A$34,N416)),MAX($M$2:M415)+1,0)</f>
        <v>414</v>
      </c>
      <c r="V416" s="336" t="s">
        <v>2244</v>
      </c>
      <c r="W416" t="str">
        <f>IFERROR(VLOOKUP(ROWS($W$3:W416),$U$3:$V$992,2,0),"")</f>
        <v>Výroba jablečného vína a jiných ovocných vín</v>
      </c>
      <c r="X416">
        <f>IF(ISNUMBER(SEARCH('1Př1'!$A$35,N416)),MAX($M$2:M415)+1,0)</f>
        <v>414</v>
      </c>
      <c r="Y416" s="336" t="s">
        <v>2244</v>
      </c>
      <c r="Z416" t="str">
        <f>IFERROR(VLOOKUP(ROWS($Z$3:Z416),$X$3:$Y$992,2,0),"")</f>
        <v>Výroba jablečného vína a jiných ovocných vín</v>
      </c>
    </row>
    <row r="417" spans="13:26" ht="12.75">
      <c r="M417" s="335">
        <f>IF(ISNUMBER(SEARCH(ZAKL_DATA!$B$29,N417)),MAX($M$2:M416)+1,0)</f>
        <v>415</v>
      </c>
      <c r="N417" s="336" t="s">
        <v>2246</v>
      </c>
      <c r="O417" s="353" t="s">
        <v>2247</v>
      </c>
      <c r="P417" s="338"/>
      <c r="Q417" s="339" t="str">
        <f>IFERROR(VLOOKUP(ROWS($Q$3:Q417),$M$3:$N$992,2,0),"")</f>
        <v>Výroba ostatních nedestilovaných kvašených nápojů</v>
      </c>
      <c r="R417">
        <f>IF(ISNUMBER(SEARCH('1Př1'!$A$33,N417)),MAX($M$2:M416)+1,0)</f>
        <v>415</v>
      </c>
      <c r="S417" s="336" t="s">
        <v>2246</v>
      </c>
      <c r="T417" t="str">
        <f>IFERROR(VLOOKUP(ROWS($T$3:T417),$R$3:$S$992,2,0),"")</f>
        <v>Výroba ostatních nedestilovaných kvašených nápojů</v>
      </c>
      <c r="U417">
        <f>IF(ISNUMBER(SEARCH('1Př1'!$A$34,N417)),MAX($M$2:M416)+1,0)</f>
        <v>415</v>
      </c>
      <c r="V417" s="336" t="s">
        <v>2246</v>
      </c>
      <c r="W417" t="str">
        <f>IFERROR(VLOOKUP(ROWS($W$3:W417),$U$3:$V$992,2,0),"")</f>
        <v>Výroba ostatních nedestilovaných kvašených nápojů</v>
      </c>
      <c r="X417">
        <f>IF(ISNUMBER(SEARCH('1Př1'!$A$35,N417)),MAX($M$2:M416)+1,0)</f>
        <v>415</v>
      </c>
      <c r="Y417" s="336" t="s">
        <v>2246</v>
      </c>
      <c r="Z417" t="str">
        <f>IFERROR(VLOOKUP(ROWS($Z$3:Z417),$X$3:$Y$992,2,0),"")</f>
        <v>Výroba ostatních nedestilovaných kvašených nápojů</v>
      </c>
    </row>
    <row r="418" spans="13:26" ht="12.75">
      <c r="M418" s="335">
        <f>IF(ISNUMBER(SEARCH(ZAKL_DATA!$B$29,N418)),MAX($M$2:M417)+1,0)</f>
        <v>416</v>
      </c>
      <c r="N418" s="336" t="s">
        <v>2248</v>
      </c>
      <c r="O418" s="353" t="s">
        <v>2249</v>
      </c>
      <c r="P418" s="338"/>
      <c r="Q418" s="339" t="str">
        <f>IFERROR(VLOOKUP(ROWS($Q$3:Q418),$M$3:$N$992,2,0),"")</f>
        <v>Výroba piva</v>
      </c>
      <c r="R418">
        <f>IF(ISNUMBER(SEARCH('1Př1'!$A$33,N418)),MAX($M$2:M417)+1,0)</f>
        <v>416</v>
      </c>
      <c r="S418" s="336" t="s">
        <v>2248</v>
      </c>
      <c r="T418" t="str">
        <f>IFERROR(VLOOKUP(ROWS($T$3:T418),$R$3:$S$992,2,0),"")</f>
        <v>Výroba piva</v>
      </c>
      <c r="U418">
        <f>IF(ISNUMBER(SEARCH('1Př1'!$A$34,N418)),MAX($M$2:M417)+1,0)</f>
        <v>416</v>
      </c>
      <c r="V418" s="336" t="s">
        <v>2248</v>
      </c>
      <c r="W418" t="str">
        <f>IFERROR(VLOOKUP(ROWS($W$3:W418),$U$3:$V$992,2,0),"")</f>
        <v>Výroba piva</v>
      </c>
      <c r="X418">
        <f>IF(ISNUMBER(SEARCH('1Př1'!$A$35,N418)),MAX($M$2:M417)+1,0)</f>
        <v>416</v>
      </c>
      <c r="Y418" s="336" t="s">
        <v>2248</v>
      </c>
      <c r="Z418" t="str">
        <f>IFERROR(VLOOKUP(ROWS($Z$3:Z418),$X$3:$Y$992,2,0),"")</f>
        <v>Výroba piva</v>
      </c>
    </row>
    <row r="419" spans="13:26" ht="12.75">
      <c r="M419" s="335">
        <f>IF(ISNUMBER(SEARCH(ZAKL_DATA!$B$29,N419)),MAX($M$2:M418)+1,0)</f>
        <v>417</v>
      </c>
      <c r="N419" s="336" t="s">
        <v>2250</v>
      </c>
      <c r="O419" s="353" t="s">
        <v>2251</v>
      </c>
      <c r="P419" s="338"/>
      <c r="Q419" s="339" t="str">
        <f>IFERROR(VLOOKUP(ROWS($Q$3:Q419),$M$3:$N$992,2,0),"")</f>
        <v>Výroba sladu</v>
      </c>
      <c r="R419">
        <f>IF(ISNUMBER(SEARCH('1Př1'!$A$33,N419)),MAX($M$2:M418)+1,0)</f>
        <v>417</v>
      </c>
      <c r="S419" s="336" t="s">
        <v>2250</v>
      </c>
      <c r="T419" t="str">
        <f>IFERROR(VLOOKUP(ROWS($T$3:T419),$R$3:$S$992,2,0),"")</f>
        <v>Výroba sladu</v>
      </c>
      <c r="U419">
        <f>IF(ISNUMBER(SEARCH('1Př1'!$A$34,N419)),MAX($M$2:M418)+1,0)</f>
        <v>417</v>
      </c>
      <c r="V419" s="336" t="s">
        <v>2250</v>
      </c>
      <c r="W419" t="str">
        <f>IFERROR(VLOOKUP(ROWS($W$3:W419),$U$3:$V$992,2,0),"")</f>
        <v>Výroba sladu</v>
      </c>
      <c r="X419">
        <f>IF(ISNUMBER(SEARCH('1Př1'!$A$35,N419)),MAX($M$2:M418)+1,0)</f>
        <v>417</v>
      </c>
      <c r="Y419" s="336" t="s">
        <v>2250</v>
      </c>
      <c r="Z419" t="str">
        <f>IFERROR(VLOOKUP(ROWS($Z$3:Z419),$X$3:$Y$992,2,0),"")</f>
        <v>Výroba sladu</v>
      </c>
    </row>
    <row r="420" spans="13:26" ht="12.75">
      <c r="M420" s="335">
        <f>IF(ISNUMBER(SEARCH(ZAKL_DATA!$B$29,N420)),MAX($M$2:M419)+1,0)</f>
        <v>418</v>
      </c>
      <c r="N420" s="336" t="s">
        <v>2252</v>
      </c>
      <c r="O420" s="353" t="s">
        <v>2253</v>
      </c>
      <c r="P420" s="338"/>
      <c r="Q420" s="339" t="str">
        <f>IFERROR(VLOOKUP(ROWS($Q$3:Q420),$M$3:$N$992,2,0),"")</f>
        <v>Výroba nealkohol.nápojů;stáčení minerálních a ostatních vod do lahví</v>
      </c>
      <c r="R420">
        <f>IF(ISNUMBER(SEARCH('1Př1'!$A$33,N420)),MAX($M$2:M419)+1,0)</f>
        <v>418</v>
      </c>
      <c r="S420" s="336" t="s">
        <v>2252</v>
      </c>
      <c r="T420" t="str">
        <f>IFERROR(VLOOKUP(ROWS($T$3:T420),$R$3:$S$992,2,0),"")</f>
        <v>Výroba nealkohol.nápojů;stáčení minerálních a ostatních vod do lahví</v>
      </c>
      <c r="U420">
        <f>IF(ISNUMBER(SEARCH('1Př1'!$A$34,N420)),MAX($M$2:M419)+1,0)</f>
        <v>418</v>
      </c>
      <c r="V420" s="336" t="s">
        <v>2252</v>
      </c>
      <c r="W420" t="str">
        <f>IFERROR(VLOOKUP(ROWS($W$3:W420),$U$3:$V$992,2,0),"")</f>
        <v>Výroba nealkohol.nápojů;stáčení minerálních a ostatních vod do lahví</v>
      </c>
      <c r="X420">
        <f>IF(ISNUMBER(SEARCH('1Př1'!$A$35,N420)),MAX($M$2:M419)+1,0)</f>
        <v>418</v>
      </c>
      <c r="Y420" s="336" t="s">
        <v>2252</v>
      </c>
      <c r="Z420" t="str">
        <f>IFERROR(VLOOKUP(ROWS($Z$3:Z420),$X$3:$Y$992,2,0),"")</f>
        <v>Výroba nealkohol.nápojů;stáčení minerálních a ostatních vod do lahví</v>
      </c>
    </row>
    <row r="421" spans="13:26" ht="12.75">
      <c r="M421" s="335">
        <f>IF(ISNUMBER(SEARCH(ZAKL_DATA!$B$29,N421)),MAX($M$2:M420)+1,0)</f>
        <v>419</v>
      </c>
      <c r="N421" s="336" t="s">
        <v>2254</v>
      </c>
      <c r="O421" s="353" t="s">
        <v>2255</v>
      </c>
      <c r="P421" s="338"/>
      <c r="Q421" s="339" t="str">
        <f>IFERROR(VLOOKUP(ROWS($Q$3:Q421),$M$3:$N$992,2,0),"")</f>
        <v>Výroba pletených a háčkovaných materiálů</v>
      </c>
      <c r="R421">
        <f>IF(ISNUMBER(SEARCH('1Př1'!$A$33,N421)),MAX($M$2:M420)+1,0)</f>
        <v>419</v>
      </c>
      <c r="S421" s="336" t="s">
        <v>2254</v>
      </c>
      <c r="T421" t="str">
        <f>IFERROR(VLOOKUP(ROWS($T$3:T421),$R$3:$S$992,2,0),"")</f>
        <v>Výroba pletených a háčkovaných materiálů</v>
      </c>
      <c r="U421">
        <f>IF(ISNUMBER(SEARCH('1Př1'!$A$34,N421)),MAX($M$2:M420)+1,0)</f>
        <v>419</v>
      </c>
      <c r="V421" s="336" t="s">
        <v>2254</v>
      </c>
      <c r="W421" t="str">
        <f>IFERROR(VLOOKUP(ROWS($W$3:W421),$U$3:$V$992,2,0),"")</f>
        <v>Výroba pletených a háčkovaných materiálů</v>
      </c>
      <c r="X421">
        <f>IF(ISNUMBER(SEARCH('1Př1'!$A$35,N421)),MAX($M$2:M420)+1,0)</f>
        <v>419</v>
      </c>
      <c r="Y421" s="336" t="s">
        <v>2254</v>
      </c>
      <c r="Z421" t="str">
        <f>IFERROR(VLOOKUP(ROWS($Z$3:Z421),$X$3:$Y$992,2,0),"")</f>
        <v>Výroba pletených a háčkovaných materiálů</v>
      </c>
    </row>
    <row r="422" spans="13:26" ht="12.75">
      <c r="M422" s="335">
        <f>IF(ISNUMBER(SEARCH(ZAKL_DATA!$B$29,N422)),MAX($M$2:M421)+1,0)</f>
        <v>420</v>
      </c>
      <c r="N422" s="336" t="s">
        <v>2256</v>
      </c>
      <c r="O422" s="353" t="s">
        <v>2257</v>
      </c>
      <c r="P422" s="338"/>
      <c r="Q422" s="339" t="str">
        <f>IFERROR(VLOOKUP(ROWS($Q$3:Q422),$M$3:$N$992,2,0),"")</f>
        <v>Výroba konfekčních textilních výrobků, kromě oděvů</v>
      </c>
      <c r="R422">
        <f>IF(ISNUMBER(SEARCH('1Př1'!$A$33,N422)),MAX($M$2:M421)+1,0)</f>
        <v>420</v>
      </c>
      <c r="S422" s="336" t="s">
        <v>2256</v>
      </c>
      <c r="T422" t="str">
        <f>IFERROR(VLOOKUP(ROWS($T$3:T422),$R$3:$S$992,2,0),"")</f>
        <v>Výroba konfekčních textilních výrobků, kromě oděvů</v>
      </c>
      <c r="U422">
        <f>IF(ISNUMBER(SEARCH('1Př1'!$A$34,N422)),MAX($M$2:M421)+1,0)</f>
        <v>420</v>
      </c>
      <c r="V422" s="336" t="s">
        <v>2256</v>
      </c>
      <c r="W422" t="str">
        <f>IFERROR(VLOOKUP(ROWS($W$3:W422),$U$3:$V$992,2,0),"")</f>
        <v>Výroba konfekčních textilních výrobků, kromě oděvů</v>
      </c>
      <c r="X422">
        <f>IF(ISNUMBER(SEARCH('1Př1'!$A$35,N422)),MAX($M$2:M421)+1,0)</f>
        <v>420</v>
      </c>
      <c r="Y422" s="336" t="s">
        <v>2256</v>
      </c>
      <c r="Z422" t="str">
        <f>IFERROR(VLOOKUP(ROWS($Z$3:Z422),$X$3:$Y$992,2,0),"")</f>
        <v>Výroba konfekčních textilních výrobků, kromě oděvů</v>
      </c>
    </row>
    <row r="423" spans="13:26" ht="12.75">
      <c r="M423" s="335">
        <f>IF(ISNUMBER(SEARCH(ZAKL_DATA!$B$29,N423)),MAX($M$2:M422)+1,0)</f>
        <v>421</v>
      </c>
      <c r="N423" s="336" t="s">
        <v>2258</v>
      </c>
      <c r="O423" s="353" t="s">
        <v>2259</v>
      </c>
      <c r="P423" s="338"/>
      <c r="Q423" s="339" t="str">
        <f>IFERROR(VLOOKUP(ROWS($Q$3:Q423),$M$3:$N$992,2,0),"")</f>
        <v>Výroba koberců a kobercových předložek</v>
      </c>
      <c r="R423">
        <f>IF(ISNUMBER(SEARCH('1Př1'!$A$33,N423)),MAX($M$2:M422)+1,0)</f>
        <v>421</v>
      </c>
      <c r="S423" s="336" t="s">
        <v>2258</v>
      </c>
      <c r="T423" t="str">
        <f>IFERROR(VLOOKUP(ROWS($T$3:T423),$R$3:$S$992,2,0),"")</f>
        <v>Výroba koberců a kobercových předložek</v>
      </c>
      <c r="U423">
        <f>IF(ISNUMBER(SEARCH('1Př1'!$A$34,N423)),MAX($M$2:M422)+1,0)</f>
        <v>421</v>
      </c>
      <c r="V423" s="336" t="s">
        <v>2258</v>
      </c>
      <c r="W423" t="str">
        <f>IFERROR(VLOOKUP(ROWS($W$3:W423),$U$3:$V$992,2,0),"")</f>
        <v>Výroba koberců a kobercových předložek</v>
      </c>
      <c r="X423">
        <f>IF(ISNUMBER(SEARCH('1Př1'!$A$35,N423)),MAX($M$2:M422)+1,0)</f>
        <v>421</v>
      </c>
      <c r="Y423" s="336" t="s">
        <v>2258</v>
      </c>
      <c r="Z423" t="str">
        <f>IFERROR(VLOOKUP(ROWS($Z$3:Z423),$X$3:$Y$992,2,0),"")</f>
        <v>Výroba koberců a kobercových předložek</v>
      </c>
    </row>
    <row r="424" spans="13:26" ht="12.75">
      <c r="M424" s="335">
        <f>IF(ISNUMBER(SEARCH(ZAKL_DATA!$B$29,N424)),MAX($M$2:M423)+1,0)</f>
        <v>422</v>
      </c>
      <c r="N424" s="336" t="s">
        <v>2260</v>
      </c>
      <c r="O424" s="353" t="s">
        <v>2261</v>
      </c>
      <c r="P424" s="338"/>
      <c r="Q424" s="339" t="str">
        <f>IFERROR(VLOOKUP(ROWS($Q$3:Q424),$M$3:$N$992,2,0),"")</f>
        <v>Výroba lan, provazů a síťovaných výrobků</v>
      </c>
      <c r="R424">
        <f>IF(ISNUMBER(SEARCH('1Př1'!$A$33,N424)),MAX($M$2:M423)+1,0)</f>
        <v>422</v>
      </c>
      <c r="S424" s="336" t="s">
        <v>2260</v>
      </c>
      <c r="T424" t="str">
        <f>IFERROR(VLOOKUP(ROWS($T$3:T424),$R$3:$S$992,2,0),"")</f>
        <v>Výroba lan, provazů a síťovaných výrobků</v>
      </c>
      <c r="U424">
        <f>IF(ISNUMBER(SEARCH('1Př1'!$A$34,N424)),MAX($M$2:M423)+1,0)</f>
        <v>422</v>
      </c>
      <c r="V424" s="336" t="s">
        <v>2260</v>
      </c>
      <c r="W424" t="str">
        <f>IFERROR(VLOOKUP(ROWS($W$3:W424),$U$3:$V$992,2,0),"")</f>
        <v>Výroba lan, provazů a síťovaných výrobků</v>
      </c>
      <c r="X424">
        <f>IF(ISNUMBER(SEARCH('1Př1'!$A$35,N424)),MAX($M$2:M423)+1,0)</f>
        <v>422</v>
      </c>
      <c r="Y424" s="336" t="s">
        <v>2260</v>
      </c>
      <c r="Z424" t="str">
        <f>IFERROR(VLOOKUP(ROWS($Z$3:Z424),$X$3:$Y$992,2,0),"")</f>
        <v>Výroba lan, provazů a síťovaných výrobků</v>
      </c>
    </row>
    <row r="425" spans="13:26" ht="12.75">
      <c r="M425" s="335">
        <f>IF(ISNUMBER(SEARCH(ZAKL_DATA!$B$29,N425)),MAX($M$2:M424)+1,0)</f>
        <v>423</v>
      </c>
      <c r="N425" s="336" t="s">
        <v>2262</v>
      </c>
      <c r="O425" s="353" t="s">
        <v>2263</v>
      </c>
      <c r="P425" s="338"/>
      <c r="Q425" s="339" t="str">
        <f>IFERROR(VLOOKUP(ROWS($Q$3:Q425),$M$3:$N$992,2,0),"")</f>
        <v>Výroba netkaných textilií a výrobků z nich, kromě oděvů</v>
      </c>
      <c r="R425">
        <f>IF(ISNUMBER(SEARCH('1Př1'!$A$33,N425)),MAX($M$2:M424)+1,0)</f>
        <v>423</v>
      </c>
      <c r="S425" s="336" t="s">
        <v>2262</v>
      </c>
      <c r="T425" t="str">
        <f>IFERROR(VLOOKUP(ROWS($T$3:T425),$R$3:$S$992,2,0),"")</f>
        <v>Výroba netkaných textilií a výrobků z nich, kromě oděvů</v>
      </c>
      <c r="U425">
        <f>IF(ISNUMBER(SEARCH('1Př1'!$A$34,N425)),MAX($M$2:M424)+1,0)</f>
        <v>423</v>
      </c>
      <c r="V425" s="336" t="s">
        <v>2262</v>
      </c>
      <c r="W425" t="str">
        <f>IFERROR(VLOOKUP(ROWS($W$3:W425),$U$3:$V$992,2,0),"")</f>
        <v>Výroba netkaných textilií a výrobků z nich, kromě oděvů</v>
      </c>
      <c r="X425">
        <f>IF(ISNUMBER(SEARCH('1Př1'!$A$35,N425)),MAX($M$2:M424)+1,0)</f>
        <v>423</v>
      </c>
      <c r="Y425" s="336" t="s">
        <v>2262</v>
      </c>
      <c r="Z425" t="str">
        <f>IFERROR(VLOOKUP(ROWS($Z$3:Z425),$X$3:$Y$992,2,0),"")</f>
        <v>Výroba netkaných textilií a výrobků z nich, kromě oděvů</v>
      </c>
    </row>
    <row r="426" spans="13:26" ht="12.75">
      <c r="M426" s="335">
        <f>IF(ISNUMBER(SEARCH(ZAKL_DATA!$B$29,N426)),MAX($M$2:M425)+1,0)</f>
        <v>424</v>
      </c>
      <c r="N426" s="336" t="s">
        <v>2264</v>
      </c>
      <c r="O426" s="353" t="s">
        <v>2265</v>
      </c>
      <c r="P426" s="338"/>
      <c r="Q426" s="339" t="str">
        <f>IFERROR(VLOOKUP(ROWS($Q$3:Q426),$M$3:$N$992,2,0),"")</f>
        <v>Výroba ostatních technických a průmyslových textilií</v>
      </c>
      <c r="R426">
        <f>IF(ISNUMBER(SEARCH('1Př1'!$A$33,N426)),MAX($M$2:M425)+1,0)</f>
        <v>424</v>
      </c>
      <c r="S426" s="336" t="s">
        <v>2264</v>
      </c>
      <c r="T426" t="str">
        <f>IFERROR(VLOOKUP(ROWS($T$3:T426),$R$3:$S$992,2,0),"")</f>
        <v>Výroba ostatních technických a průmyslových textilií</v>
      </c>
      <c r="U426">
        <f>IF(ISNUMBER(SEARCH('1Př1'!$A$34,N426)),MAX($M$2:M425)+1,0)</f>
        <v>424</v>
      </c>
      <c r="V426" s="336" t="s">
        <v>2264</v>
      </c>
      <c r="W426" t="str">
        <f>IFERROR(VLOOKUP(ROWS($W$3:W426),$U$3:$V$992,2,0),"")</f>
        <v>Výroba ostatních technických a průmyslových textilií</v>
      </c>
      <c r="X426">
        <f>IF(ISNUMBER(SEARCH('1Př1'!$A$35,N426)),MAX($M$2:M425)+1,0)</f>
        <v>424</v>
      </c>
      <c r="Y426" s="336" t="s">
        <v>2264</v>
      </c>
      <c r="Z426" t="str">
        <f>IFERROR(VLOOKUP(ROWS($Z$3:Z426),$X$3:$Y$992,2,0),"")</f>
        <v>Výroba ostatních technických a průmyslových textilií</v>
      </c>
    </row>
    <row r="427" spans="13:26" ht="12.75">
      <c r="M427" s="335">
        <f>IF(ISNUMBER(SEARCH(ZAKL_DATA!$B$29,N427)),MAX($M$2:M426)+1,0)</f>
        <v>425</v>
      </c>
      <c r="N427" s="336" t="s">
        <v>2266</v>
      </c>
      <c r="O427" s="353" t="s">
        <v>2267</v>
      </c>
      <c r="P427" s="338"/>
      <c r="Q427" s="339" t="str">
        <f>IFERROR(VLOOKUP(ROWS($Q$3:Q427),$M$3:$N$992,2,0),"")</f>
        <v>Výroba ostatních textilií j. n.</v>
      </c>
      <c r="R427">
        <f>IF(ISNUMBER(SEARCH('1Př1'!$A$33,N427)),MAX($M$2:M426)+1,0)</f>
        <v>425</v>
      </c>
      <c r="S427" s="336" t="s">
        <v>2266</v>
      </c>
      <c r="T427" t="str">
        <f>IFERROR(VLOOKUP(ROWS($T$3:T427),$R$3:$S$992,2,0),"")</f>
        <v>Výroba ostatních textilií j. n.</v>
      </c>
      <c r="U427">
        <f>IF(ISNUMBER(SEARCH('1Př1'!$A$34,N427)),MAX($M$2:M426)+1,0)</f>
        <v>425</v>
      </c>
      <c r="V427" s="336" t="s">
        <v>2266</v>
      </c>
      <c r="W427" t="str">
        <f>IFERROR(VLOOKUP(ROWS($W$3:W427),$U$3:$V$992,2,0),"")</f>
        <v>Výroba ostatních textilií j. n.</v>
      </c>
      <c r="X427">
        <f>IF(ISNUMBER(SEARCH('1Př1'!$A$35,N427)),MAX($M$2:M426)+1,0)</f>
        <v>425</v>
      </c>
      <c r="Y427" s="336" t="s">
        <v>2266</v>
      </c>
      <c r="Z427" t="str">
        <f>IFERROR(VLOOKUP(ROWS($Z$3:Z427),$X$3:$Y$992,2,0),"")</f>
        <v>Výroba ostatních textilií j. n.</v>
      </c>
    </row>
    <row r="428" spans="13:26" ht="12.75">
      <c r="M428" s="335">
        <f>IF(ISNUMBER(SEARCH(ZAKL_DATA!$B$29,N428)),MAX($M$2:M427)+1,0)</f>
        <v>426</v>
      </c>
      <c r="N428" s="336" t="s">
        <v>2268</v>
      </c>
      <c r="O428" s="353" t="s">
        <v>2269</v>
      </c>
      <c r="P428" s="338"/>
      <c r="Q428" s="339" t="str">
        <f>IFERROR(VLOOKUP(ROWS($Q$3:Q428),$M$3:$N$992,2,0),"")</f>
        <v>Výroba kožených oděvů</v>
      </c>
      <c r="R428">
        <f>IF(ISNUMBER(SEARCH('1Př1'!$A$33,N428)),MAX($M$2:M427)+1,0)</f>
        <v>426</v>
      </c>
      <c r="S428" s="336" t="s">
        <v>2268</v>
      </c>
      <c r="T428" t="str">
        <f>IFERROR(VLOOKUP(ROWS($T$3:T428),$R$3:$S$992,2,0),"")</f>
        <v>Výroba kožených oděvů</v>
      </c>
      <c r="U428">
        <f>IF(ISNUMBER(SEARCH('1Př1'!$A$34,N428)),MAX($M$2:M427)+1,0)</f>
        <v>426</v>
      </c>
      <c r="V428" s="336" t="s">
        <v>2268</v>
      </c>
      <c r="W428" t="str">
        <f>IFERROR(VLOOKUP(ROWS($W$3:W428),$U$3:$V$992,2,0),"")</f>
        <v>Výroba kožených oděvů</v>
      </c>
      <c r="X428">
        <f>IF(ISNUMBER(SEARCH('1Př1'!$A$35,N428)),MAX($M$2:M427)+1,0)</f>
        <v>426</v>
      </c>
      <c r="Y428" s="336" t="s">
        <v>2268</v>
      </c>
      <c r="Z428" t="str">
        <f>IFERROR(VLOOKUP(ROWS($Z$3:Z428),$X$3:$Y$992,2,0),"")</f>
        <v>Výroba kožených oděvů</v>
      </c>
    </row>
    <row r="429" spans="13:26" ht="12.75">
      <c r="M429" s="335">
        <f>IF(ISNUMBER(SEARCH(ZAKL_DATA!$B$29,N429)),MAX($M$2:M428)+1,0)</f>
        <v>427</v>
      </c>
      <c r="N429" s="336" t="s">
        <v>2270</v>
      </c>
      <c r="O429" s="353" t="s">
        <v>2271</v>
      </c>
      <c r="P429" s="338"/>
      <c r="Q429" s="339" t="str">
        <f>IFERROR(VLOOKUP(ROWS($Q$3:Q429),$M$3:$N$992,2,0),"")</f>
        <v>Výroba pracovních oděvů</v>
      </c>
      <c r="R429">
        <f>IF(ISNUMBER(SEARCH('1Př1'!$A$33,N429)),MAX($M$2:M428)+1,0)</f>
        <v>427</v>
      </c>
      <c r="S429" s="336" t="s">
        <v>2270</v>
      </c>
      <c r="T429" t="str">
        <f>IFERROR(VLOOKUP(ROWS($T$3:T429),$R$3:$S$992,2,0),"")</f>
        <v>Výroba pracovních oděvů</v>
      </c>
      <c r="U429">
        <f>IF(ISNUMBER(SEARCH('1Př1'!$A$34,N429)),MAX($M$2:M428)+1,0)</f>
        <v>427</v>
      </c>
      <c r="V429" s="336" t="s">
        <v>2270</v>
      </c>
      <c r="W429" t="str">
        <f>IFERROR(VLOOKUP(ROWS($W$3:W429),$U$3:$V$992,2,0),"")</f>
        <v>Výroba pracovních oděvů</v>
      </c>
      <c r="X429">
        <f>IF(ISNUMBER(SEARCH('1Př1'!$A$35,N429)),MAX($M$2:M428)+1,0)</f>
        <v>427</v>
      </c>
      <c r="Y429" s="336" t="s">
        <v>2270</v>
      </c>
      <c r="Z429" t="str">
        <f>IFERROR(VLOOKUP(ROWS($Z$3:Z429),$X$3:$Y$992,2,0),"")</f>
        <v>Výroba pracovních oděvů</v>
      </c>
    </row>
    <row r="430" spans="13:26" ht="12.75">
      <c r="M430" s="335">
        <f>IF(ISNUMBER(SEARCH(ZAKL_DATA!$B$29,N430)),MAX($M$2:M429)+1,0)</f>
        <v>428</v>
      </c>
      <c r="N430" s="336" t="s">
        <v>2272</v>
      </c>
      <c r="O430" s="353" t="s">
        <v>2273</v>
      </c>
      <c r="P430" s="338"/>
      <c r="Q430" s="339" t="str">
        <f>IFERROR(VLOOKUP(ROWS($Q$3:Q430),$M$3:$N$992,2,0),"")</f>
        <v>Výroba ostatních svrchních oděvů</v>
      </c>
      <c r="R430">
        <f>IF(ISNUMBER(SEARCH('1Př1'!$A$33,N430)),MAX($M$2:M429)+1,0)</f>
        <v>428</v>
      </c>
      <c r="S430" s="336" t="s">
        <v>2272</v>
      </c>
      <c r="T430" t="str">
        <f>IFERROR(VLOOKUP(ROWS($T$3:T430),$R$3:$S$992,2,0),"")</f>
        <v>Výroba ostatních svrchních oděvů</v>
      </c>
      <c r="U430">
        <f>IF(ISNUMBER(SEARCH('1Př1'!$A$34,N430)),MAX($M$2:M429)+1,0)</f>
        <v>428</v>
      </c>
      <c r="V430" s="336" t="s">
        <v>2272</v>
      </c>
      <c r="W430" t="str">
        <f>IFERROR(VLOOKUP(ROWS($W$3:W430),$U$3:$V$992,2,0),"")</f>
        <v>Výroba ostatních svrchních oděvů</v>
      </c>
      <c r="X430">
        <f>IF(ISNUMBER(SEARCH('1Př1'!$A$35,N430)),MAX($M$2:M429)+1,0)</f>
        <v>428</v>
      </c>
      <c r="Y430" s="336" t="s">
        <v>2272</v>
      </c>
      <c r="Z430" t="str">
        <f>IFERROR(VLOOKUP(ROWS($Z$3:Z430),$X$3:$Y$992,2,0),"")</f>
        <v>Výroba ostatních svrchních oděvů</v>
      </c>
    </row>
    <row r="431" spans="13:26" ht="12.75">
      <c r="M431" s="335">
        <f>IF(ISNUMBER(SEARCH(ZAKL_DATA!$B$29,N431)),MAX($M$2:M430)+1,0)</f>
        <v>429</v>
      </c>
      <c r="N431" s="336" t="s">
        <v>2274</v>
      </c>
      <c r="O431" s="353" t="s">
        <v>2275</v>
      </c>
      <c r="P431" s="338"/>
      <c r="Q431" s="339" t="str">
        <f>IFERROR(VLOOKUP(ROWS($Q$3:Q431),$M$3:$N$992,2,0),"")</f>
        <v>Výroba osobního prádla</v>
      </c>
      <c r="R431">
        <f>IF(ISNUMBER(SEARCH('1Př1'!$A$33,N431)),MAX($M$2:M430)+1,0)</f>
        <v>429</v>
      </c>
      <c r="S431" s="336" t="s">
        <v>2274</v>
      </c>
      <c r="T431" t="str">
        <f>IFERROR(VLOOKUP(ROWS($T$3:T431),$R$3:$S$992,2,0),"")</f>
        <v>Výroba osobního prádla</v>
      </c>
      <c r="U431">
        <f>IF(ISNUMBER(SEARCH('1Př1'!$A$34,N431)),MAX($M$2:M430)+1,0)</f>
        <v>429</v>
      </c>
      <c r="V431" s="336" t="s">
        <v>2274</v>
      </c>
      <c r="W431" t="str">
        <f>IFERROR(VLOOKUP(ROWS($W$3:W431),$U$3:$V$992,2,0),"")</f>
        <v>Výroba osobního prádla</v>
      </c>
      <c r="X431">
        <f>IF(ISNUMBER(SEARCH('1Př1'!$A$35,N431)),MAX($M$2:M430)+1,0)</f>
        <v>429</v>
      </c>
      <c r="Y431" s="336" t="s">
        <v>2274</v>
      </c>
      <c r="Z431" t="str">
        <f>IFERROR(VLOOKUP(ROWS($Z$3:Z431),$X$3:$Y$992,2,0),"")</f>
        <v>Výroba osobního prádla</v>
      </c>
    </row>
    <row r="432" spans="13:26" ht="12.75">
      <c r="M432" s="335">
        <f>IF(ISNUMBER(SEARCH(ZAKL_DATA!$B$29,N432)),MAX($M$2:M431)+1,0)</f>
        <v>430</v>
      </c>
      <c r="N432" s="336" t="s">
        <v>2276</v>
      </c>
      <c r="O432" s="353" t="s">
        <v>2277</v>
      </c>
      <c r="P432" s="338"/>
      <c r="Q432" s="339" t="str">
        <f>IFERROR(VLOOKUP(ROWS($Q$3:Q432),$M$3:$N$992,2,0),"")</f>
        <v>Výroba ostatních oděvů a oděvních doplňků</v>
      </c>
      <c r="R432">
        <f>IF(ISNUMBER(SEARCH('1Př1'!$A$33,N432)),MAX($M$2:M431)+1,0)</f>
        <v>430</v>
      </c>
      <c r="S432" s="336" t="s">
        <v>2276</v>
      </c>
      <c r="T432" t="str">
        <f>IFERROR(VLOOKUP(ROWS($T$3:T432),$R$3:$S$992,2,0),"")</f>
        <v>Výroba ostatních oděvů a oděvních doplňků</v>
      </c>
      <c r="U432">
        <f>IF(ISNUMBER(SEARCH('1Př1'!$A$34,N432)),MAX($M$2:M431)+1,0)</f>
        <v>430</v>
      </c>
      <c r="V432" s="336" t="s">
        <v>2276</v>
      </c>
      <c r="W432" t="str">
        <f>IFERROR(VLOOKUP(ROWS($W$3:W432),$U$3:$V$992,2,0),"")</f>
        <v>Výroba ostatních oděvů a oděvních doplňků</v>
      </c>
      <c r="X432">
        <f>IF(ISNUMBER(SEARCH('1Př1'!$A$35,N432)),MAX($M$2:M431)+1,0)</f>
        <v>430</v>
      </c>
      <c r="Y432" s="336" t="s">
        <v>2276</v>
      </c>
      <c r="Z432" t="str">
        <f>IFERROR(VLOOKUP(ROWS($Z$3:Z432),$X$3:$Y$992,2,0),"")</f>
        <v>Výroba ostatních oděvů a oděvních doplňků</v>
      </c>
    </row>
    <row r="433" spans="13:26" ht="12.75">
      <c r="M433" s="335">
        <f>IF(ISNUMBER(SEARCH(ZAKL_DATA!$B$29,N433)),MAX($M$2:M432)+1,0)</f>
        <v>431</v>
      </c>
      <c r="N433" s="336" t="s">
        <v>2278</v>
      </c>
      <c r="O433" s="353" t="s">
        <v>2279</v>
      </c>
      <c r="P433" s="338"/>
      <c r="Q433" s="339" t="str">
        <f>IFERROR(VLOOKUP(ROWS($Q$3:Q433),$M$3:$N$992,2,0),"")</f>
        <v>Výroba pletených a háčkovaných punčochových výrobků</v>
      </c>
      <c r="R433">
        <f>IF(ISNUMBER(SEARCH('1Př1'!$A$33,N433)),MAX($M$2:M432)+1,0)</f>
        <v>431</v>
      </c>
      <c r="S433" s="336" t="s">
        <v>2278</v>
      </c>
      <c r="T433" t="str">
        <f>IFERROR(VLOOKUP(ROWS($T$3:T433),$R$3:$S$992,2,0),"")</f>
        <v>Výroba pletených a háčkovaných punčochových výrobků</v>
      </c>
      <c r="U433">
        <f>IF(ISNUMBER(SEARCH('1Př1'!$A$34,N433)),MAX($M$2:M432)+1,0)</f>
        <v>431</v>
      </c>
      <c r="V433" s="336" t="s">
        <v>2278</v>
      </c>
      <c r="W433" t="str">
        <f>IFERROR(VLOOKUP(ROWS($W$3:W433),$U$3:$V$992,2,0),"")</f>
        <v>Výroba pletených a háčkovaných punčochových výrobků</v>
      </c>
      <c r="X433">
        <f>IF(ISNUMBER(SEARCH('1Př1'!$A$35,N433)),MAX($M$2:M432)+1,0)</f>
        <v>431</v>
      </c>
      <c r="Y433" s="336" t="s">
        <v>2278</v>
      </c>
      <c r="Z433" t="str">
        <f>IFERROR(VLOOKUP(ROWS($Z$3:Z433),$X$3:$Y$992,2,0),"")</f>
        <v>Výroba pletených a háčkovaných punčochových výrobků</v>
      </c>
    </row>
    <row r="434" spans="13:26" ht="12.75">
      <c r="M434" s="335">
        <f>IF(ISNUMBER(SEARCH(ZAKL_DATA!$B$29,N434)),MAX($M$2:M433)+1,0)</f>
        <v>432</v>
      </c>
      <c r="N434" s="336" t="s">
        <v>2280</v>
      </c>
      <c r="O434" s="353" t="s">
        <v>2281</v>
      </c>
      <c r="P434" s="338"/>
      <c r="Q434" s="339" t="str">
        <f>IFERROR(VLOOKUP(ROWS($Q$3:Q434),$M$3:$N$992,2,0),"")</f>
        <v>Výroba ostatních pletených a háčkovaných oděvů</v>
      </c>
      <c r="R434">
        <f>IF(ISNUMBER(SEARCH('1Př1'!$A$33,N434)),MAX($M$2:M433)+1,0)</f>
        <v>432</v>
      </c>
      <c r="S434" s="336" t="s">
        <v>2280</v>
      </c>
      <c r="T434" t="str">
        <f>IFERROR(VLOOKUP(ROWS($T$3:T434),$R$3:$S$992,2,0),"")</f>
        <v>Výroba ostatních pletených a háčkovaných oděvů</v>
      </c>
      <c r="U434">
        <f>IF(ISNUMBER(SEARCH('1Př1'!$A$34,N434)),MAX($M$2:M433)+1,0)</f>
        <v>432</v>
      </c>
      <c r="V434" s="336" t="s">
        <v>2280</v>
      </c>
      <c r="W434" t="str">
        <f>IFERROR(VLOOKUP(ROWS($W$3:W434),$U$3:$V$992,2,0),"")</f>
        <v>Výroba ostatních pletených a háčkovaných oděvů</v>
      </c>
      <c r="X434">
        <f>IF(ISNUMBER(SEARCH('1Př1'!$A$35,N434)),MAX($M$2:M433)+1,0)</f>
        <v>432</v>
      </c>
      <c r="Y434" s="336" t="s">
        <v>2280</v>
      </c>
      <c r="Z434" t="str">
        <f>IFERROR(VLOOKUP(ROWS($Z$3:Z434),$X$3:$Y$992,2,0),"")</f>
        <v>Výroba ostatních pletených a háčkovaných oděvů</v>
      </c>
    </row>
    <row r="435" spans="13:26" ht="12.75">
      <c r="M435" s="335">
        <f>IF(ISNUMBER(SEARCH(ZAKL_DATA!$B$29,N435)),MAX($M$2:M434)+1,0)</f>
        <v>433</v>
      </c>
      <c r="N435" s="336" t="s">
        <v>2282</v>
      </c>
      <c r="O435" s="353" t="s">
        <v>2283</v>
      </c>
      <c r="P435" s="338"/>
      <c r="Q435" s="339" t="str">
        <f>IFERROR(VLOOKUP(ROWS($Q$3:Q435),$M$3:$N$992,2,0),"")</f>
        <v>Chov drobných hospodářských zvířat</v>
      </c>
      <c r="R435">
        <f>IF(ISNUMBER(SEARCH('1Př1'!$A$33,N435)),MAX($M$2:M434)+1,0)</f>
        <v>433</v>
      </c>
      <c r="S435" s="336" t="s">
        <v>2282</v>
      </c>
      <c r="T435" t="str">
        <f>IFERROR(VLOOKUP(ROWS($T$3:T435),$R$3:$S$992,2,0),"")</f>
        <v>Chov drobných hospodářských zvířat</v>
      </c>
      <c r="U435">
        <f>IF(ISNUMBER(SEARCH('1Př1'!$A$34,N435)),MAX($M$2:M434)+1,0)</f>
        <v>433</v>
      </c>
      <c r="V435" s="336" t="s">
        <v>2282</v>
      </c>
      <c r="W435" t="str">
        <f>IFERROR(VLOOKUP(ROWS($W$3:W435),$U$3:$V$992,2,0),"")</f>
        <v>Chov drobných hospodářských zvířat</v>
      </c>
      <c r="X435">
        <f>IF(ISNUMBER(SEARCH('1Př1'!$A$35,N435)),MAX($M$2:M434)+1,0)</f>
        <v>433</v>
      </c>
      <c r="Y435" s="336" t="s">
        <v>2282</v>
      </c>
      <c r="Z435" t="str">
        <f>IFERROR(VLOOKUP(ROWS($Z$3:Z435),$X$3:$Y$992,2,0),"")</f>
        <v>Chov drobných hospodářských zvířat</v>
      </c>
    </row>
    <row r="436" spans="13:26" ht="12.75">
      <c r="M436" s="335">
        <f>IF(ISNUMBER(SEARCH(ZAKL_DATA!$B$29,N436)),MAX($M$2:M435)+1,0)</f>
        <v>434</v>
      </c>
      <c r="N436" s="336" t="s">
        <v>2284</v>
      </c>
      <c r="O436" s="353" t="s">
        <v>2285</v>
      </c>
      <c r="P436" s="338"/>
      <c r="Q436" s="339" t="str">
        <f>IFERROR(VLOOKUP(ROWS($Q$3:Q436),$M$3:$N$992,2,0),"")</f>
        <v>Chov kožešinových zvířat</v>
      </c>
      <c r="R436">
        <f>IF(ISNUMBER(SEARCH('1Př1'!$A$33,N436)),MAX($M$2:M435)+1,0)</f>
        <v>434</v>
      </c>
      <c r="S436" s="336" t="s">
        <v>2284</v>
      </c>
      <c r="T436" t="str">
        <f>IFERROR(VLOOKUP(ROWS($T$3:T436),$R$3:$S$992,2,0),"")</f>
        <v>Chov kožešinových zvířat</v>
      </c>
      <c r="U436">
        <f>IF(ISNUMBER(SEARCH('1Př1'!$A$34,N436)),MAX($M$2:M435)+1,0)</f>
        <v>434</v>
      </c>
      <c r="V436" s="336" t="s">
        <v>2284</v>
      </c>
      <c r="W436" t="str">
        <f>IFERROR(VLOOKUP(ROWS($W$3:W436),$U$3:$V$992,2,0),"")</f>
        <v>Chov kožešinových zvířat</v>
      </c>
      <c r="X436">
        <f>IF(ISNUMBER(SEARCH('1Př1'!$A$35,N436)),MAX($M$2:M435)+1,0)</f>
        <v>434</v>
      </c>
      <c r="Y436" s="336" t="s">
        <v>2284</v>
      </c>
      <c r="Z436" t="str">
        <f>IFERROR(VLOOKUP(ROWS($Z$3:Z436),$X$3:$Y$992,2,0),"")</f>
        <v>Chov kožešinových zvířat</v>
      </c>
    </row>
    <row r="437" spans="13:26" ht="12.75">
      <c r="M437" s="335">
        <f>IF(ISNUMBER(SEARCH(ZAKL_DATA!$B$29,N437)),MAX($M$2:M436)+1,0)</f>
        <v>435</v>
      </c>
      <c r="N437" s="336" t="s">
        <v>2286</v>
      </c>
      <c r="O437" s="353" t="s">
        <v>2287</v>
      </c>
      <c r="P437" s="338"/>
      <c r="Q437" s="339" t="str">
        <f>IFERROR(VLOOKUP(ROWS($Q$3:Q437),$M$3:$N$992,2,0),"")</f>
        <v>Chov zvířat pro zájmový chov</v>
      </c>
      <c r="R437">
        <f>IF(ISNUMBER(SEARCH('1Př1'!$A$33,N437)),MAX($M$2:M436)+1,0)</f>
        <v>435</v>
      </c>
      <c r="S437" s="336" t="s">
        <v>2286</v>
      </c>
      <c r="T437" t="str">
        <f>IFERROR(VLOOKUP(ROWS($T$3:T437),$R$3:$S$992,2,0),"")</f>
        <v>Chov zvířat pro zájmový chov</v>
      </c>
      <c r="U437">
        <f>IF(ISNUMBER(SEARCH('1Př1'!$A$34,N437)),MAX($M$2:M436)+1,0)</f>
        <v>435</v>
      </c>
      <c r="V437" s="336" t="s">
        <v>2286</v>
      </c>
      <c r="W437" t="str">
        <f>IFERROR(VLOOKUP(ROWS($W$3:W437),$U$3:$V$992,2,0),"")</f>
        <v>Chov zvířat pro zájmový chov</v>
      </c>
      <c r="X437">
        <f>IF(ISNUMBER(SEARCH('1Př1'!$A$35,N437)),MAX($M$2:M436)+1,0)</f>
        <v>435</v>
      </c>
      <c r="Y437" s="336" t="s">
        <v>2286</v>
      </c>
      <c r="Z437" t="str">
        <f>IFERROR(VLOOKUP(ROWS($Z$3:Z437),$X$3:$Y$992,2,0),"")</f>
        <v>Chov zvířat pro zájmový chov</v>
      </c>
    </row>
    <row r="438" spans="13:26" ht="12.75">
      <c r="M438" s="335">
        <f>IF(ISNUMBER(SEARCH(ZAKL_DATA!$B$29,N438)),MAX($M$2:M437)+1,0)</f>
        <v>436</v>
      </c>
      <c r="N438" s="336" t="s">
        <v>2288</v>
      </c>
      <c r="O438" s="353" t="s">
        <v>2289</v>
      </c>
      <c r="P438" s="338"/>
      <c r="Q438" s="339" t="str">
        <f>IFERROR(VLOOKUP(ROWS($Q$3:Q438),$M$3:$N$992,2,0),"")</f>
        <v>Chov ostatních zvířat j. n.</v>
      </c>
      <c r="R438">
        <f>IF(ISNUMBER(SEARCH('1Př1'!$A$33,N438)),MAX($M$2:M437)+1,0)</f>
        <v>436</v>
      </c>
      <c r="S438" s="336" t="s">
        <v>2288</v>
      </c>
      <c r="T438" t="str">
        <f>IFERROR(VLOOKUP(ROWS($T$3:T438),$R$3:$S$992,2,0),"")</f>
        <v>Chov ostatních zvířat j. n.</v>
      </c>
      <c r="U438">
        <f>IF(ISNUMBER(SEARCH('1Př1'!$A$34,N438)),MAX($M$2:M437)+1,0)</f>
        <v>436</v>
      </c>
      <c r="V438" s="336" t="s">
        <v>2288</v>
      </c>
      <c r="W438" t="str">
        <f>IFERROR(VLOOKUP(ROWS($W$3:W438),$U$3:$V$992,2,0),"")</f>
        <v>Chov ostatních zvířat j. n.</v>
      </c>
      <c r="X438">
        <f>IF(ISNUMBER(SEARCH('1Př1'!$A$35,N438)),MAX($M$2:M437)+1,0)</f>
        <v>436</v>
      </c>
      <c r="Y438" s="336" t="s">
        <v>2288</v>
      </c>
      <c r="Z438" t="str">
        <f>IFERROR(VLOOKUP(ROWS($Z$3:Z438),$X$3:$Y$992,2,0),"")</f>
        <v>Chov ostatních zvířat j. n.</v>
      </c>
    </row>
    <row r="439" spans="13:26" ht="12.75">
      <c r="M439" s="335">
        <f>IF(ISNUMBER(SEARCH(ZAKL_DATA!$B$29,N439)),MAX($M$2:M438)+1,0)</f>
        <v>437</v>
      </c>
      <c r="N439" s="336" t="s">
        <v>2290</v>
      </c>
      <c r="O439" s="353" t="s">
        <v>2291</v>
      </c>
      <c r="P439" s="338"/>
      <c r="Q439" s="339" t="str">
        <f>IFERROR(VLOOKUP(ROWS($Q$3:Q439),$M$3:$N$992,2,0),"")</f>
        <v>Činění a úprava usní (vyčiněných kůží); zpracování a barvení kožešin</v>
      </c>
      <c r="R439">
        <f>IF(ISNUMBER(SEARCH('1Př1'!$A$33,N439)),MAX($M$2:M438)+1,0)</f>
        <v>437</v>
      </c>
      <c r="S439" s="336" t="s">
        <v>2290</v>
      </c>
      <c r="T439" t="str">
        <f>IFERROR(VLOOKUP(ROWS($T$3:T439),$R$3:$S$992,2,0),"")</f>
        <v>Činění a úprava usní (vyčiněných kůží); zpracování a barvení kožešin</v>
      </c>
      <c r="U439">
        <f>IF(ISNUMBER(SEARCH('1Př1'!$A$34,N439)),MAX($M$2:M438)+1,0)</f>
        <v>437</v>
      </c>
      <c r="V439" s="336" t="s">
        <v>2290</v>
      </c>
      <c r="W439" t="str">
        <f>IFERROR(VLOOKUP(ROWS($W$3:W439),$U$3:$V$992,2,0),"")</f>
        <v>Činění a úprava usní (vyčiněných kůží); zpracování a barvení kožešin</v>
      </c>
      <c r="X439">
        <f>IF(ISNUMBER(SEARCH('1Př1'!$A$35,N439)),MAX($M$2:M438)+1,0)</f>
        <v>437</v>
      </c>
      <c r="Y439" s="336" t="s">
        <v>2290</v>
      </c>
      <c r="Z439" t="str">
        <f>IFERROR(VLOOKUP(ROWS($Z$3:Z439),$X$3:$Y$992,2,0),"")</f>
        <v>Činění a úprava usní (vyčiněných kůží); zpracování a barvení kožešin</v>
      </c>
    </row>
    <row r="440" spans="13:26" ht="12.75">
      <c r="M440" s="335">
        <f>IF(ISNUMBER(SEARCH(ZAKL_DATA!$B$29,N440)),MAX($M$2:M439)+1,0)</f>
        <v>438</v>
      </c>
      <c r="N440" s="336" t="s">
        <v>2292</v>
      </c>
      <c r="O440" s="353" t="s">
        <v>2293</v>
      </c>
      <c r="P440" s="338"/>
      <c r="Q440" s="339" t="str">
        <f>IFERROR(VLOOKUP(ROWS($Q$3:Q440),$M$3:$N$992,2,0),"")</f>
        <v>Výroba brašnářských, sedlářských a podobných výrobků</v>
      </c>
      <c r="R440">
        <f>IF(ISNUMBER(SEARCH('1Př1'!$A$33,N440)),MAX($M$2:M439)+1,0)</f>
        <v>438</v>
      </c>
      <c r="S440" s="336" t="s">
        <v>2292</v>
      </c>
      <c r="T440" t="str">
        <f>IFERROR(VLOOKUP(ROWS($T$3:T440),$R$3:$S$992,2,0),"")</f>
        <v>Výroba brašnářských, sedlářských a podobných výrobků</v>
      </c>
      <c r="U440">
        <f>IF(ISNUMBER(SEARCH('1Př1'!$A$34,N440)),MAX($M$2:M439)+1,0)</f>
        <v>438</v>
      </c>
      <c r="V440" s="336" t="s">
        <v>2292</v>
      </c>
      <c r="W440" t="str">
        <f>IFERROR(VLOOKUP(ROWS($W$3:W440),$U$3:$V$992,2,0),"")</f>
        <v>Výroba brašnářských, sedlářských a podobných výrobků</v>
      </c>
      <c r="X440">
        <f>IF(ISNUMBER(SEARCH('1Př1'!$A$35,N440)),MAX($M$2:M439)+1,0)</f>
        <v>438</v>
      </c>
      <c r="Y440" s="336" t="s">
        <v>2292</v>
      </c>
      <c r="Z440" t="str">
        <f>IFERROR(VLOOKUP(ROWS($Z$3:Z440),$X$3:$Y$992,2,0),"")</f>
        <v>Výroba brašnářských, sedlářských a podobných výrobků</v>
      </c>
    </row>
    <row r="441" spans="13:26" ht="12.75">
      <c r="M441" s="335">
        <f>IF(ISNUMBER(SEARCH(ZAKL_DATA!$B$29,N441)),MAX($M$2:M440)+1,0)</f>
        <v>439</v>
      </c>
      <c r="N441" s="336" t="s">
        <v>2294</v>
      </c>
      <c r="O441" s="353" t="s">
        <v>2295</v>
      </c>
      <c r="P441" s="338"/>
      <c r="Q441" s="339" t="str">
        <f>IFERROR(VLOOKUP(ROWS($Q$3:Q441),$M$3:$N$992,2,0),"")</f>
        <v>Výroba dýh a desek na bázi dřeva</v>
      </c>
      <c r="R441">
        <f>IF(ISNUMBER(SEARCH('1Př1'!$A$33,N441)),MAX($M$2:M440)+1,0)</f>
        <v>439</v>
      </c>
      <c r="S441" s="336" t="s">
        <v>2294</v>
      </c>
      <c r="T441" t="str">
        <f>IFERROR(VLOOKUP(ROWS($T$3:T441),$R$3:$S$992,2,0),"")</f>
        <v>Výroba dýh a desek na bázi dřeva</v>
      </c>
      <c r="U441">
        <f>IF(ISNUMBER(SEARCH('1Př1'!$A$34,N441)),MAX($M$2:M440)+1,0)</f>
        <v>439</v>
      </c>
      <c r="V441" s="336" t="s">
        <v>2294</v>
      </c>
      <c r="W441" t="str">
        <f>IFERROR(VLOOKUP(ROWS($W$3:W441),$U$3:$V$992,2,0),"")</f>
        <v>Výroba dýh a desek na bázi dřeva</v>
      </c>
      <c r="X441">
        <f>IF(ISNUMBER(SEARCH('1Př1'!$A$35,N441)),MAX($M$2:M440)+1,0)</f>
        <v>439</v>
      </c>
      <c r="Y441" s="336" t="s">
        <v>2294</v>
      </c>
      <c r="Z441" t="str">
        <f>IFERROR(VLOOKUP(ROWS($Z$3:Z441),$X$3:$Y$992,2,0),"")</f>
        <v>Výroba dýh a desek na bázi dřeva</v>
      </c>
    </row>
    <row r="442" spans="13:26" ht="12.75">
      <c r="M442" s="335">
        <f>IF(ISNUMBER(SEARCH(ZAKL_DATA!$B$29,N442)),MAX($M$2:M441)+1,0)</f>
        <v>440</v>
      </c>
      <c r="N442" s="336" t="s">
        <v>2296</v>
      </c>
      <c r="O442" s="353" t="s">
        <v>2297</v>
      </c>
      <c r="P442" s="338"/>
      <c r="Q442" s="339" t="str">
        <f>IFERROR(VLOOKUP(ROWS($Q$3:Q442),$M$3:$N$992,2,0),"")</f>
        <v>Výroba sestavených parketových podlah</v>
      </c>
      <c r="R442">
        <f>IF(ISNUMBER(SEARCH('1Př1'!$A$33,N442)),MAX($M$2:M441)+1,0)</f>
        <v>440</v>
      </c>
      <c r="S442" s="336" t="s">
        <v>2296</v>
      </c>
      <c r="T442" t="str">
        <f>IFERROR(VLOOKUP(ROWS($T$3:T442),$R$3:$S$992,2,0),"")</f>
        <v>Výroba sestavených parketových podlah</v>
      </c>
      <c r="U442">
        <f>IF(ISNUMBER(SEARCH('1Př1'!$A$34,N442)),MAX($M$2:M441)+1,0)</f>
        <v>440</v>
      </c>
      <c r="V442" s="336" t="s">
        <v>2296</v>
      </c>
      <c r="W442" t="str">
        <f>IFERROR(VLOOKUP(ROWS($W$3:W442),$U$3:$V$992,2,0),"")</f>
        <v>Výroba sestavených parketových podlah</v>
      </c>
      <c r="X442">
        <f>IF(ISNUMBER(SEARCH('1Př1'!$A$35,N442)),MAX($M$2:M441)+1,0)</f>
        <v>440</v>
      </c>
      <c r="Y442" s="336" t="s">
        <v>2296</v>
      </c>
      <c r="Z442" t="str">
        <f>IFERROR(VLOOKUP(ROWS($Z$3:Z442),$X$3:$Y$992,2,0),"")</f>
        <v>Výroba sestavených parketových podlah</v>
      </c>
    </row>
    <row r="443" spans="13:26" ht="12.75">
      <c r="M443" s="335">
        <f>IF(ISNUMBER(SEARCH(ZAKL_DATA!$B$29,N443)),MAX($M$2:M442)+1,0)</f>
        <v>441</v>
      </c>
      <c r="N443" s="336" t="s">
        <v>2298</v>
      </c>
      <c r="O443" s="353" t="s">
        <v>2299</v>
      </c>
      <c r="P443" s="338"/>
      <c r="Q443" s="339" t="str">
        <f>IFERROR(VLOOKUP(ROWS($Q$3:Q443),$M$3:$N$992,2,0),"")</f>
        <v>Výroba ostatních výrobků stavebního truhlářství a tesařství</v>
      </c>
      <c r="R443">
        <f>IF(ISNUMBER(SEARCH('1Př1'!$A$33,N443)),MAX($M$2:M442)+1,0)</f>
        <v>441</v>
      </c>
      <c r="S443" s="336" t="s">
        <v>2298</v>
      </c>
      <c r="T443" t="str">
        <f>IFERROR(VLOOKUP(ROWS($T$3:T443),$R$3:$S$992,2,0),"")</f>
        <v>Výroba ostatních výrobků stavebního truhlářství a tesařství</v>
      </c>
      <c r="U443">
        <f>IF(ISNUMBER(SEARCH('1Př1'!$A$34,N443)),MAX($M$2:M442)+1,0)</f>
        <v>441</v>
      </c>
      <c r="V443" s="336" t="s">
        <v>2298</v>
      </c>
      <c r="W443" t="str">
        <f>IFERROR(VLOOKUP(ROWS($W$3:W443),$U$3:$V$992,2,0),"")</f>
        <v>Výroba ostatních výrobků stavebního truhlářství a tesařství</v>
      </c>
      <c r="X443">
        <f>IF(ISNUMBER(SEARCH('1Př1'!$A$35,N443)),MAX($M$2:M442)+1,0)</f>
        <v>441</v>
      </c>
      <c r="Y443" s="336" t="s">
        <v>2298</v>
      </c>
      <c r="Z443" t="str">
        <f>IFERROR(VLOOKUP(ROWS($Z$3:Z443),$X$3:$Y$992,2,0),"")</f>
        <v>Výroba ostatních výrobků stavebního truhlářství a tesařství</v>
      </c>
    </row>
    <row r="444" spans="13:26" ht="12.75">
      <c r="M444" s="335">
        <f>IF(ISNUMBER(SEARCH(ZAKL_DATA!$B$29,N444)),MAX($M$2:M443)+1,0)</f>
        <v>442</v>
      </c>
      <c r="N444" s="336" t="s">
        <v>2300</v>
      </c>
      <c r="O444" s="353" t="s">
        <v>2301</v>
      </c>
      <c r="P444" s="338"/>
      <c r="Q444" s="339" t="str">
        <f>IFERROR(VLOOKUP(ROWS($Q$3:Q444),$M$3:$N$992,2,0),"")</f>
        <v>Výroba dřevěných obalů</v>
      </c>
      <c r="R444">
        <f>IF(ISNUMBER(SEARCH('1Př1'!$A$33,N444)),MAX($M$2:M443)+1,0)</f>
        <v>442</v>
      </c>
      <c r="S444" s="336" t="s">
        <v>2300</v>
      </c>
      <c r="T444" t="str">
        <f>IFERROR(VLOOKUP(ROWS($T$3:T444),$R$3:$S$992,2,0),"")</f>
        <v>Výroba dřevěných obalů</v>
      </c>
      <c r="U444">
        <f>IF(ISNUMBER(SEARCH('1Př1'!$A$34,N444)),MAX($M$2:M443)+1,0)</f>
        <v>442</v>
      </c>
      <c r="V444" s="336" t="s">
        <v>2300</v>
      </c>
      <c r="W444" t="str">
        <f>IFERROR(VLOOKUP(ROWS($W$3:W444),$U$3:$V$992,2,0),"")</f>
        <v>Výroba dřevěných obalů</v>
      </c>
      <c r="X444">
        <f>IF(ISNUMBER(SEARCH('1Př1'!$A$35,N444)),MAX($M$2:M443)+1,0)</f>
        <v>442</v>
      </c>
      <c r="Y444" s="336" t="s">
        <v>2300</v>
      </c>
      <c r="Z444" t="str">
        <f>IFERROR(VLOOKUP(ROWS($Z$3:Z444),$X$3:$Y$992,2,0),"")</f>
        <v>Výroba dřevěných obalů</v>
      </c>
    </row>
    <row r="445" spans="13:26" ht="12.75">
      <c r="M445" s="335">
        <f>IF(ISNUMBER(SEARCH(ZAKL_DATA!$B$29,N445)),MAX($M$2:M444)+1,0)</f>
        <v>443</v>
      </c>
      <c r="N445" s="336" t="s">
        <v>2302</v>
      </c>
      <c r="O445" s="353" t="s">
        <v>2303</v>
      </c>
      <c r="P445" s="338"/>
      <c r="Q445" s="339" t="str">
        <f>IFERROR(VLOOKUP(ROWS($Q$3:Q445),$M$3:$N$992,2,0),"")</f>
        <v>Výroba ost.dřevěných,korkových,proutěných a slaměných výr.,kromě nábytku</v>
      </c>
      <c r="R445">
        <f>IF(ISNUMBER(SEARCH('1Př1'!$A$33,N445)),MAX($M$2:M444)+1,0)</f>
        <v>443</v>
      </c>
      <c r="S445" s="336" t="s">
        <v>2302</v>
      </c>
      <c r="T445" t="str">
        <f>IFERROR(VLOOKUP(ROWS($T$3:T445),$R$3:$S$992,2,0),"")</f>
        <v>Výroba ost.dřevěných,korkových,proutěných a slaměných výr.,kromě nábytku</v>
      </c>
      <c r="U445">
        <f>IF(ISNUMBER(SEARCH('1Př1'!$A$34,N445)),MAX($M$2:M444)+1,0)</f>
        <v>443</v>
      </c>
      <c r="V445" s="336" t="s">
        <v>2302</v>
      </c>
      <c r="W445" t="str">
        <f>IFERROR(VLOOKUP(ROWS($W$3:W445),$U$3:$V$992,2,0),"")</f>
        <v>Výroba ost.dřevěných,korkových,proutěných a slaměných výr.,kromě nábytku</v>
      </c>
      <c r="X445">
        <f>IF(ISNUMBER(SEARCH('1Př1'!$A$35,N445)),MAX($M$2:M444)+1,0)</f>
        <v>443</v>
      </c>
      <c r="Y445" s="336" t="s">
        <v>2302</v>
      </c>
      <c r="Z445" t="str">
        <f>IFERROR(VLOOKUP(ROWS($Z$3:Z445),$X$3:$Y$992,2,0),"")</f>
        <v>Výroba ost.dřevěných,korkových,proutěných a slaměných výr.,kromě nábytku</v>
      </c>
    </row>
    <row r="446" spans="13:26" ht="12.75">
      <c r="M446" s="335">
        <f>IF(ISNUMBER(SEARCH(ZAKL_DATA!$B$29,N446)),MAX($M$2:M445)+1,0)</f>
        <v>444</v>
      </c>
      <c r="N446" s="336" t="s">
        <v>2304</v>
      </c>
      <c r="O446" s="353" t="s">
        <v>2305</v>
      </c>
      <c r="P446" s="338"/>
      <c r="Q446" s="339" t="str">
        <f>IFERROR(VLOOKUP(ROWS($Q$3:Q446),$M$3:$N$992,2,0),"")</f>
        <v>Výroba buničiny</v>
      </c>
      <c r="R446">
        <f>IF(ISNUMBER(SEARCH('1Př1'!$A$33,N446)),MAX($M$2:M445)+1,0)</f>
        <v>444</v>
      </c>
      <c r="S446" s="336" t="s">
        <v>2304</v>
      </c>
      <c r="T446" t="str">
        <f>IFERROR(VLOOKUP(ROWS($T$3:T446),$R$3:$S$992,2,0),"")</f>
        <v>Výroba buničiny</v>
      </c>
      <c r="U446">
        <f>IF(ISNUMBER(SEARCH('1Př1'!$A$34,N446)),MAX($M$2:M445)+1,0)</f>
        <v>444</v>
      </c>
      <c r="V446" s="336" t="s">
        <v>2304</v>
      </c>
      <c r="W446" t="str">
        <f>IFERROR(VLOOKUP(ROWS($W$3:W446),$U$3:$V$992,2,0),"")</f>
        <v>Výroba buničiny</v>
      </c>
      <c r="X446">
        <f>IF(ISNUMBER(SEARCH('1Př1'!$A$35,N446)),MAX($M$2:M445)+1,0)</f>
        <v>444</v>
      </c>
      <c r="Y446" s="336" t="s">
        <v>2304</v>
      </c>
      <c r="Z446" t="str">
        <f>IFERROR(VLOOKUP(ROWS($Z$3:Z446),$X$3:$Y$992,2,0),"")</f>
        <v>Výroba buničiny</v>
      </c>
    </row>
    <row r="447" spans="13:26" ht="12.75">
      <c r="M447" s="335">
        <f>IF(ISNUMBER(SEARCH(ZAKL_DATA!$B$29,N447)),MAX($M$2:M446)+1,0)</f>
        <v>445</v>
      </c>
      <c r="N447" s="336" t="s">
        <v>2306</v>
      </c>
      <c r="O447" s="353" t="s">
        <v>2307</v>
      </c>
      <c r="P447" s="338"/>
      <c r="Q447" s="339" t="str">
        <f>IFERROR(VLOOKUP(ROWS($Q$3:Q447),$M$3:$N$992,2,0),"")</f>
        <v>Výroba papíru a lepenky</v>
      </c>
      <c r="R447">
        <f>IF(ISNUMBER(SEARCH('1Př1'!$A$33,N447)),MAX($M$2:M446)+1,0)</f>
        <v>445</v>
      </c>
      <c r="S447" s="336" t="s">
        <v>2306</v>
      </c>
      <c r="T447" t="str">
        <f>IFERROR(VLOOKUP(ROWS($T$3:T447),$R$3:$S$992,2,0),"")</f>
        <v>Výroba papíru a lepenky</v>
      </c>
      <c r="U447">
        <f>IF(ISNUMBER(SEARCH('1Př1'!$A$34,N447)),MAX($M$2:M446)+1,0)</f>
        <v>445</v>
      </c>
      <c r="V447" s="336" t="s">
        <v>2306</v>
      </c>
      <c r="W447" t="str">
        <f>IFERROR(VLOOKUP(ROWS($W$3:W447),$U$3:$V$992,2,0),"")</f>
        <v>Výroba papíru a lepenky</v>
      </c>
      <c r="X447">
        <f>IF(ISNUMBER(SEARCH('1Př1'!$A$35,N447)),MAX($M$2:M446)+1,0)</f>
        <v>445</v>
      </c>
      <c r="Y447" s="336" t="s">
        <v>2306</v>
      </c>
      <c r="Z447" t="str">
        <f>IFERROR(VLOOKUP(ROWS($Z$3:Z447),$X$3:$Y$992,2,0),"")</f>
        <v>Výroba papíru a lepenky</v>
      </c>
    </row>
    <row r="448" spans="13:26" ht="12.75">
      <c r="M448" s="335">
        <f>IF(ISNUMBER(SEARCH(ZAKL_DATA!$B$29,N448)),MAX($M$2:M447)+1,0)</f>
        <v>446</v>
      </c>
      <c r="N448" s="336" t="s">
        <v>2308</v>
      </c>
      <c r="O448" s="353" t="s">
        <v>2309</v>
      </c>
      <c r="P448" s="338"/>
      <c r="Q448" s="339" t="str">
        <f>IFERROR(VLOOKUP(ROWS($Q$3:Q448),$M$3:$N$992,2,0),"")</f>
        <v>Výroba vlnitého papíru a lepenky, papírových a lepenkových obalů</v>
      </c>
      <c r="R448">
        <f>IF(ISNUMBER(SEARCH('1Př1'!$A$33,N448)),MAX($M$2:M447)+1,0)</f>
        <v>446</v>
      </c>
      <c r="S448" s="336" t="s">
        <v>2308</v>
      </c>
      <c r="T448" t="str">
        <f>IFERROR(VLOOKUP(ROWS($T$3:T448),$R$3:$S$992,2,0),"")</f>
        <v>Výroba vlnitého papíru a lepenky, papírových a lepenkových obalů</v>
      </c>
      <c r="U448">
        <f>IF(ISNUMBER(SEARCH('1Př1'!$A$34,N448)),MAX($M$2:M447)+1,0)</f>
        <v>446</v>
      </c>
      <c r="V448" s="336" t="s">
        <v>2308</v>
      </c>
      <c r="W448" t="str">
        <f>IFERROR(VLOOKUP(ROWS($W$3:W448),$U$3:$V$992,2,0),"")</f>
        <v>Výroba vlnitého papíru a lepenky, papírových a lepenkových obalů</v>
      </c>
      <c r="X448">
        <f>IF(ISNUMBER(SEARCH('1Př1'!$A$35,N448)),MAX($M$2:M447)+1,0)</f>
        <v>446</v>
      </c>
      <c r="Y448" s="336" t="s">
        <v>2308</v>
      </c>
      <c r="Z448" t="str">
        <f>IFERROR(VLOOKUP(ROWS($Z$3:Z448),$X$3:$Y$992,2,0),"")</f>
        <v>Výroba vlnitého papíru a lepenky, papírových a lepenkových obalů</v>
      </c>
    </row>
    <row r="449" spans="13:26" ht="12.75">
      <c r="M449" s="335">
        <f>IF(ISNUMBER(SEARCH(ZAKL_DATA!$B$29,N449)),MAX($M$2:M448)+1,0)</f>
        <v>447</v>
      </c>
      <c r="N449" s="336" t="s">
        <v>2310</v>
      </c>
      <c r="O449" s="353" t="s">
        <v>2311</v>
      </c>
      <c r="P449" s="338"/>
      <c r="Q449" s="339" t="str">
        <f>IFERROR(VLOOKUP(ROWS($Q$3:Q449),$M$3:$N$992,2,0),"")</f>
        <v>Výroba domácích potřeb, hygienických a toaletních výrobků z papíru</v>
      </c>
      <c r="R449">
        <f>IF(ISNUMBER(SEARCH('1Př1'!$A$33,N449)),MAX($M$2:M448)+1,0)</f>
        <v>447</v>
      </c>
      <c r="S449" s="336" t="s">
        <v>2310</v>
      </c>
      <c r="T449" t="str">
        <f>IFERROR(VLOOKUP(ROWS($T$3:T449),$R$3:$S$992,2,0),"")</f>
        <v>Výroba domácích potřeb, hygienických a toaletních výrobků z papíru</v>
      </c>
      <c r="U449">
        <f>IF(ISNUMBER(SEARCH('1Př1'!$A$34,N449)),MAX($M$2:M448)+1,0)</f>
        <v>447</v>
      </c>
      <c r="V449" s="336" t="s">
        <v>2310</v>
      </c>
      <c r="W449" t="str">
        <f>IFERROR(VLOOKUP(ROWS($W$3:W449),$U$3:$V$992,2,0),"")</f>
        <v>Výroba domácích potřeb, hygienických a toaletních výrobků z papíru</v>
      </c>
      <c r="X449">
        <f>IF(ISNUMBER(SEARCH('1Př1'!$A$35,N449)),MAX($M$2:M448)+1,0)</f>
        <v>447</v>
      </c>
      <c r="Y449" s="336" t="s">
        <v>2310</v>
      </c>
      <c r="Z449" t="str">
        <f>IFERROR(VLOOKUP(ROWS($Z$3:Z449),$X$3:$Y$992,2,0),"")</f>
        <v>Výroba domácích potřeb, hygienických a toaletních výrobků z papíru</v>
      </c>
    </row>
    <row r="450" spans="13:26" ht="12.75">
      <c r="M450" s="335">
        <f>IF(ISNUMBER(SEARCH(ZAKL_DATA!$B$29,N450)),MAX($M$2:M449)+1,0)</f>
        <v>448</v>
      </c>
      <c r="N450" s="336" t="s">
        <v>2312</v>
      </c>
      <c r="O450" s="353" t="s">
        <v>2313</v>
      </c>
      <c r="P450" s="338"/>
      <c r="Q450" s="339" t="str">
        <f>IFERROR(VLOOKUP(ROWS($Q$3:Q450),$M$3:$N$992,2,0),"")</f>
        <v>Výroba kancelářských potřeb z papíru</v>
      </c>
      <c r="R450">
        <f>IF(ISNUMBER(SEARCH('1Př1'!$A$33,N450)),MAX($M$2:M449)+1,0)</f>
        <v>448</v>
      </c>
      <c r="S450" s="336" t="s">
        <v>2312</v>
      </c>
      <c r="T450" t="str">
        <f>IFERROR(VLOOKUP(ROWS($T$3:T450),$R$3:$S$992,2,0),"")</f>
        <v>Výroba kancelářských potřeb z papíru</v>
      </c>
      <c r="U450">
        <f>IF(ISNUMBER(SEARCH('1Př1'!$A$34,N450)),MAX($M$2:M449)+1,0)</f>
        <v>448</v>
      </c>
      <c r="V450" s="336" t="s">
        <v>2312</v>
      </c>
      <c r="W450" t="str">
        <f>IFERROR(VLOOKUP(ROWS($W$3:W450),$U$3:$V$992,2,0),"")</f>
        <v>Výroba kancelářských potřeb z papíru</v>
      </c>
      <c r="X450">
        <f>IF(ISNUMBER(SEARCH('1Př1'!$A$35,N450)),MAX($M$2:M449)+1,0)</f>
        <v>448</v>
      </c>
      <c r="Y450" s="336" t="s">
        <v>2312</v>
      </c>
      <c r="Z450" t="str">
        <f>IFERROR(VLOOKUP(ROWS($Z$3:Z450),$X$3:$Y$992,2,0),"")</f>
        <v>Výroba kancelářských potřeb z papíru</v>
      </c>
    </row>
    <row r="451" spans="13:26" ht="12.75">
      <c r="M451" s="335">
        <f>IF(ISNUMBER(SEARCH(ZAKL_DATA!$B$29,N451)),MAX($M$2:M450)+1,0)</f>
        <v>449</v>
      </c>
      <c r="N451" s="336" t="s">
        <v>2314</v>
      </c>
      <c r="O451" s="353" t="s">
        <v>2315</v>
      </c>
      <c r="P451" s="338"/>
      <c r="Q451" s="339" t="str">
        <f>IFERROR(VLOOKUP(ROWS($Q$3:Q451),$M$3:$N$992,2,0),"")</f>
        <v>Výroba tapet</v>
      </c>
      <c r="R451">
        <f>IF(ISNUMBER(SEARCH('1Př1'!$A$33,N451)),MAX($M$2:M450)+1,0)</f>
        <v>449</v>
      </c>
      <c r="S451" s="336" t="s">
        <v>2314</v>
      </c>
      <c r="T451" t="str">
        <f>IFERROR(VLOOKUP(ROWS($T$3:T451),$R$3:$S$992,2,0),"")</f>
        <v>Výroba tapet</v>
      </c>
      <c r="U451">
        <f>IF(ISNUMBER(SEARCH('1Př1'!$A$34,N451)),MAX($M$2:M450)+1,0)</f>
        <v>449</v>
      </c>
      <c r="V451" s="336" t="s">
        <v>2314</v>
      </c>
      <c r="W451" t="str">
        <f>IFERROR(VLOOKUP(ROWS($W$3:W451),$U$3:$V$992,2,0),"")</f>
        <v>Výroba tapet</v>
      </c>
      <c r="X451">
        <f>IF(ISNUMBER(SEARCH('1Př1'!$A$35,N451)),MAX($M$2:M450)+1,0)</f>
        <v>449</v>
      </c>
      <c r="Y451" s="336" t="s">
        <v>2314</v>
      </c>
      <c r="Z451" t="str">
        <f>IFERROR(VLOOKUP(ROWS($Z$3:Z451),$X$3:$Y$992,2,0),"")</f>
        <v>Výroba tapet</v>
      </c>
    </row>
    <row r="452" spans="13:26" ht="12.75">
      <c r="M452" s="335">
        <f>IF(ISNUMBER(SEARCH(ZAKL_DATA!$B$29,N452)),MAX($M$2:M451)+1,0)</f>
        <v>450</v>
      </c>
      <c r="N452" s="336" t="s">
        <v>2316</v>
      </c>
      <c r="O452" s="353" t="s">
        <v>2317</v>
      </c>
      <c r="P452" s="338"/>
      <c r="Q452" s="339" t="str">
        <f>IFERROR(VLOOKUP(ROWS($Q$3:Q452),$M$3:$N$992,2,0),"")</f>
        <v>Výroba ostatních výrobků z papíru a lepenky</v>
      </c>
      <c r="R452">
        <f>IF(ISNUMBER(SEARCH('1Př1'!$A$33,N452)),MAX($M$2:M451)+1,0)</f>
        <v>450</v>
      </c>
      <c r="S452" s="336" t="s">
        <v>2316</v>
      </c>
      <c r="T452" t="str">
        <f>IFERROR(VLOOKUP(ROWS($T$3:T452),$R$3:$S$992,2,0),"")</f>
        <v>Výroba ostatních výrobků z papíru a lepenky</v>
      </c>
      <c r="U452">
        <f>IF(ISNUMBER(SEARCH('1Př1'!$A$34,N452)),MAX($M$2:M451)+1,0)</f>
        <v>450</v>
      </c>
      <c r="V452" s="336" t="s">
        <v>2316</v>
      </c>
      <c r="W452" t="str">
        <f>IFERROR(VLOOKUP(ROWS($W$3:W452),$U$3:$V$992,2,0),"")</f>
        <v>Výroba ostatních výrobků z papíru a lepenky</v>
      </c>
      <c r="X452">
        <f>IF(ISNUMBER(SEARCH('1Př1'!$A$35,N452)),MAX($M$2:M451)+1,0)</f>
        <v>450</v>
      </c>
      <c r="Y452" s="336" t="s">
        <v>2316</v>
      </c>
      <c r="Z452" t="str">
        <f>IFERROR(VLOOKUP(ROWS($Z$3:Z452),$X$3:$Y$992,2,0),"")</f>
        <v>Výroba ostatních výrobků z papíru a lepenky</v>
      </c>
    </row>
    <row r="453" spans="13:26" ht="12.75">
      <c r="M453" s="335">
        <f>IF(ISNUMBER(SEARCH(ZAKL_DATA!$B$29,N453)),MAX($M$2:M452)+1,0)</f>
        <v>451</v>
      </c>
      <c r="N453" s="336" t="s">
        <v>2318</v>
      </c>
      <c r="O453" s="353" t="s">
        <v>2319</v>
      </c>
      <c r="P453" s="338"/>
      <c r="Q453" s="339" t="str">
        <f>IFERROR(VLOOKUP(ROWS($Q$3:Q453),$M$3:$N$992,2,0),"")</f>
        <v>Tisk novin</v>
      </c>
      <c r="R453">
        <f>IF(ISNUMBER(SEARCH('1Př1'!$A$33,N453)),MAX($M$2:M452)+1,0)</f>
        <v>451</v>
      </c>
      <c r="S453" s="336" t="s">
        <v>2318</v>
      </c>
      <c r="T453" t="str">
        <f>IFERROR(VLOOKUP(ROWS($T$3:T453),$R$3:$S$992,2,0),"")</f>
        <v>Tisk novin</v>
      </c>
      <c r="U453">
        <f>IF(ISNUMBER(SEARCH('1Př1'!$A$34,N453)),MAX($M$2:M452)+1,0)</f>
        <v>451</v>
      </c>
      <c r="V453" s="336" t="s">
        <v>2318</v>
      </c>
      <c r="W453" t="str">
        <f>IFERROR(VLOOKUP(ROWS($W$3:W453),$U$3:$V$992,2,0),"")</f>
        <v>Tisk novin</v>
      </c>
      <c r="X453">
        <f>IF(ISNUMBER(SEARCH('1Př1'!$A$35,N453)),MAX($M$2:M452)+1,0)</f>
        <v>451</v>
      </c>
      <c r="Y453" s="336" t="s">
        <v>2318</v>
      </c>
      <c r="Z453" t="str">
        <f>IFERROR(VLOOKUP(ROWS($Z$3:Z453),$X$3:$Y$992,2,0),"")</f>
        <v>Tisk novin</v>
      </c>
    </row>
    <row r="454" spans="13:26" ht="12.75">
      <c r="M454" s="335">
        <f>IF(ISNUMBER(SEARCH(ZAKL_DATA!$B$29,N454)),MAX($M$2:M453)+1,0)</f>
        <v>452</v>
      </c>
      <c r="N454" s="336" t="s">
        <v>2320</v>
      </c>
      <c r="O454" s="353" t="s">
        <v>2321</v>
      </c>
      <c r="P454" s="338"/>
      <c r="Q454" s="339" t="str">
        <f>IFERROR(VLOOKUP(ROWS($Q$3:Q454),$M$3:$N$992,2,0),"")</f>
        <v>Tisk ostatní, kromě novin</v>
      </c>
      <c r="R454">
        <f>IF(ISNUMBER(SEARCH('1Př1'!$A$33,N454)),MAX($M$2:M453)+1,0)</f>
        <v>452</v>
      </c>
      <c r="S454" s="336" t="s">
        <v>2320</v>
      </c>
      <c r="T454" t="str">
        <f>IFERROR(VLOOKUP(ROWS($T$3:T454),$R$3:$S$992,2,0),"")</f>
        <v>Tisk ostatní, kromě novin</v>
      </c>
      <c r="U454">
        <f>IF(ISNUMBER(SEARCH('1Př1'!$A$34,N454)),MAX($M$2:M453)+1,0)</f>
        <v>452</v>
      </c>
      <c r="V454" s="336" t="s">
        <v>2320</v>
      </c>
      <c r="W454" t="str">
        <f>IFERROR(VLOOKUP(ROWS($W$3:W454),$U$3:$V$992,2,0),"")</f>
        <v>Tisk ostatní, kromě novin</v>
      </c>
      <c r="X454">
        <f>IF(ISNUMBER(SEARCH('1Př1'!$A$35,N454)),MAX($M$2:M453)+1,0)</f>
        <v>452</v>
      </c>
      <c r="Y454" s="336" t="s">
        <v>2320</v>
      </c>
      <c r="Z454" t="str">
        <f>IFERROR(VLOOKUP(ROWS($Z$3:Z454),$X$3:$Y$992,2,0),"")</f>
        <v>Tisk ostatní, kromě novin</v>
      </c>
    </row>
    <row r="455" spans="13:26" ht="12.75">
      <c r="M455" s="335">
        <f>IF(ISNUMBER(SEARCH(ZAKL_DATA!$B$29,N455)),MAX($M$2:M454)+1,0)</f>
        <v>453</v>
      </c>
      <c r="N455" s="336" t="s">
        <v>2322</v>
      </c>
      <c r="O455" s="353" t="s">
        <v>2323</v>
      </c>
      <c r="P455" s="338"/>
      <c r="Q455" s="339" t="str">
        <f>IFERROR(VLOOKUP(ROWS($Q$3:Q455),$M$3:$N$992,2,0),"")</f>
        <v>Příprava tisku a digitálních dat</v>
      </c>
      <c r="R455">
        <f>IF(ISNUMBER(SEARCH('1Př1'!$A$33,N455)),MAX($M$2:M454)+1,0)</f>
        <v>453</v>
      </c>
      <c r="S455" s="336" t="s">
        <v>2322</v>
      </c>
      <c r="T455" t="str">
        <f>IFERROR(VLOOKUP(ROWS($T$3:T455),$R$3:$S$992,2,0),"")</f>
        <v>Příprava tisku a digitálních dat</v>
      </c>
      <c r="U455">
        <f>IF(ISNUMBER(SEARCH('1Př1'!$A$34,N455)),MAX($M$2:M454)+1,0)</f>
        <v>453</v>
      </c>
      <c r="V455" s="336" t="s">
        <v>2322</v>
      </c>
      <c r="W455" t="str">
        <f>IFERROR(VLOOKUP(ROWS($W$3:W455),$U$3:$V$992,2,0),"")</f>
        <v>Příprava tisku a digitálních dat</v>
      </c>
      <c r="X455">
        <f>IF(ISNUMBER(SEARCH('1Př1'!$A$35,N455)),MAX($M$2:M454)+1,0)</f>
        <v>453</v>
      </c>
      <c r="Y455" s="336" t="s">
        <v>2322</v>
      </c>
      <c r="Z455" t="str">
        <f>IFERROR(VLOOKUP(ROWS($Z$3:Z455),$X$3:$Y$992,2,0),"")</f>
        <v>Příprava tisku a digitálních dat</v>
      </c>
    </row>
    <row r="456" spans="13:26" ht="12.75">
      <c r="M456" s="335">
        <f>IF(ISNUMBER(SEARCH(ZAKL_DATA!$B$29,N456)),MAX($M$2:M455)+1,0)</f>
        <v>454</v>
      </c>
      <c r="N456" s="336" t="s">
        <v>2324</v>
      </c>
      <c r="O456" s="353" t="s">
        <v>2325</v>
      </c>
      <c r="P456" s="338"/>
      <c r="Q456" s="339" t="str">
        <f>IFERROR(VLOOKUP(ROWS($Q$3:Q456),$M$3:$N$992,2,0),"")</f>
        <v>Vázání a související činnosti</v>
      </c>
      <c r="R456">
        <f>IF(ISNUMBER(SEARCH('1Př1'!$A$33,N456)),MAX($M$2:M455)+1,0)</f>
        <v>454</v>
      </c>
      <c r="S456" s="336" t="s">
        <v>2324</v>
      </c>
      <c r="T456" t="str">
        <f>IFERROR(VLOOKUP(ROWS($T$3:T456),$R$3:$S$992,2,0),"")</f>
        <v>Vázání a související činnosti</v>
      </c>
      <c r="U456">
        <f>IF(ISNUMBER(SEARCH('1Př1'!$A$34,N456)),MAX($M$2:M455)+1,0)</f>
        <v>454</v>
      </c>
      <c r="V456" s="336" t="s">
        <v>2324</v>
      </c>
      <c r="W456" t="str">
        <f>IFERROR(VLOOKUP(ROWS($W$3:W456),$U$3:$V$992,2,0),"")</f>
        <v>Vázání a související činnosti</v>
      </c>
      <c r="X456">
        <f>IF(ISNUMBER(SEARCH('1Př1'!$A$35,N456)),MAX($M$2:M455)+1,0)</f>
        <v>454</v>
      </c>
      <c r="Y456" s="336" t="s">
        <v>2324</v>
      </c>
      <c r="Z456" t="str">
        <f>IFERROR(VLOOKUP(ROWS($Z$3:Z456),$X$3:$Y$992,2,0),"")</f>
        <v>Vázání a související činnosti</v>
      </c>
    </row>
    <row r="457" spans="13:26" ht="12.75">
      <c r="M457" s="335">
        <f>IF(ISNUMBER(SEARCH(ZAKL_DATA!$B$29,N457)),MAX($M$2:M456)+1,0)</f>
        <v>455</v>
      </c>
      <c r="N457" s="336" t="s">
        <v>2326</v>
      </c>
      <c r="O457" s="353" t="s">
        <v>2327</v>
      </c>
      <c r="P457" s="338"/>
      <c r="Q457" s="339" t="str">
        <f>IFERROR(VLOOKUP(ROWS($Q$3:Q457),$M$3:$N$992,2,0),"")</f>
        <v>Výroba technických plynů</v>
      </c>
      <c r="R457">
        <f>IF(ISNUMBER(SEARCH('1Př1'!$A$33,N457)),MAX($M$2:M456)+1,0)</f>
        <v>455</v>
      </c>
      <c r="S457" s="336" t="s">
        <v>2326</v>
      </c>
      <c r="T457" t="str">
        <f>IFERROR(VLOOKUP(ROWS($T$3:T457),$R$3:$S$992,2,0),"")</f>
        <v>Výroba technických plynů</v>
      </c>
      <c r="U457">
        <f>IF(ISNUMBER(SEARCH('1Př1'!$A$34,N457)),MAX($M$2:M456)+1,0)</f>
        <v>455</v>
      </c>
      <c r="V457" s="336" t="s">
        <v>2326</v>
      </c>
      <c r="W457" t="str">
        <f>IFERROR(VLOOKUP(ROWS($W$3:W457),$U$3:$V$992,2,0),"")</f>
        <v>Výroba technických plynů</v>
      </c>
      <c r="X457">
        <f>IF(ISNUMBER(SEARCH('1Př1'!$A$35,N457)),MAX($M$2:M456)+1,0)</f>
        <v>455</v>
      </c>
      <c r="Y457" s="336" t="s">
        <v>2326</v>
      </c>
      <c r="Z457" t="str">
        <f>IFERROR(VLOOKUP(ROWS($Z$3:Z457),$X$3:$Y$992,2,0),"")</f>
        <v>Výroba technických plynů</v>
      </c>
    </row>
    <row r="458" spans="13:26" ht="12.75">
      <c r="M458" s="335">
        <f>IF(ISNUMBER(SEARCH(ZAKL_DATA!$B$29,N458)),MAX($M$2:M457)+1,0)</f>
        <v>456</v>
      </c>
      <c r="N458" s="336" t="s">
        <v>2328</v>
      </c>
      <c r="O458" s="353" t="s">
        <v>2329</v>
      </c>
      <c r="P458" s="338"/>
      <c r="Q458" s="339" t="str">
        <f>IFERROR(VLOOKUP(ROWS($Q$3:Q458),$M$3:$N$992,2,0),"")</f>
        <v>Výroba barviv a pigmentů</v>
      </c>
      <c r="R458">
        <f>IF(ISNUMBER(SEARCH('1Př1'!$A$33,N458)),MAX($M$2:M457)+1,0)</f>
        <v>456</v>
      </c>
      <c r="S458" s="336" t="s">
        <v>2328</v>
      </c>
      <c r="T458" t="str">
        <f>IFERROR(VLOOKUP(ROWS($T$3:T458),$R$3:$S$992,2,0),"")</f>
        <v>Výroba barviv a pigmentů</v>
      </c>
      <c r="U458">
        <f>IF(ISNUMBER(SEARCH('1Př1'!$A$34,N458)),MAX($M$2:M457)+1,0)</f>
        <v>456</v>
      </c>
      <c r="V458" s="336" t="s">
        <v>2328</v>
      </c>
      <c r="W458" t="str">
        <f>IFERROR(VLOOKUP(ROWS($W$3:W458),$U$3:$V$992,2,0),"")</f>
        <v>Výroba barviv a pigmentů</v>
      </c>
      <c r="X458">
        <f>IF(ISNUMBER(SEARCH('1Př1'!$A$35,N458)),MAX($M$2:M457)+1,0)</f>
        <v>456</v>
      </c>
      <c r="Y458" s="336" t="s">
        <v>2328</v>
      </c>
      <c r="Z458" t="str">
        <f>IFERROR(VLOOKUP(ROWS($Z$3:Z458),$X$3:$Y$992,2,0),"")</f>
        <v>Výroba barviv a pigmentů</v>
      </c>
    </row>
    <row r="459" spans="13:26" ht="12.75">
      <c r="M459" s="335">
        <f>IF(ISNUMBER(SEARCH(ZAKL_DATA!$B$29,N459)),MAX($M$2:M458)+1,0)</f>
        <v>457</v>
      </c>
      <c r="N459" s="336" t="s">
        <v>2330</v>
      </c>
      <c r="O459" s="353" t="s">
        <v>2331</v>
      </c>
      <c r="P459" s="338"/>
      <c r="Q459" s="339" t="str">
        <f>IFERROR(VLOOKUP(ROWS($Q$3:Q459),$M$3:$N$992,2,0),"")</f>
        <v>Výroba jiných základních anorganických chemických látek</v>
      </c>
      <c r="R459">
        <f>IF(ISNUMBER(SEARCH('1Př1'!$A$33,N459)),MAX($M$2:M458)+1,0)</f>
        <v>457</v>
      </c>
      <c r="S459" s="336" t="s">
        <v>2330</v>
      </c>
      <c r="T459" t="str">
        <f>IFERROR(VLOOKUP(ROWS($T$3:T459),$R$3:$S$992,2,0),"")</f>
        <v>Výroba jiných základních anorganických chemických látek</v>
      </c>
      <c r="U459">
        <f>IF(ISNUMBER(SEARCH('1Př1'!$A$34,N459)),MAX($M$2:M458)+1,0)</f>
        <v>457</v>
      </c>
      <c r="V459" s="336" t="s">
        <v>2330</v>
      </c>
      <c r="W459" t="str">
        <f>IFERROR(VLOOKUP(ROWS($W$3:W459),$U$3:$V$992,2,0),"")</f>
        <v>Výroba jiných základních anorganických chemických látek</v>
      </c>
      <c r="X459">
        <f>IF(ISNUMBER(SEARCH('1Př1'!$A$35,N459)),MAX($M$2:M458)+1,0)</f>
        <v>457</v>
      </c>
      <c r="Y459" s="336" t="s">
        <v>2330</v>
      </c>
      <c r="Z459" t="str">
        <f>IFERROR(VLOOKUP(ROWS($Z$3:Z459),$X$3:$Y$992,2,0),"")</f>
        <v>Výroba jiných základních anorganických chemických látek</v>
      </c>
    </row>
    <row r="460" spans="13:26" ht="12.75">
      <c r="M460" s="335">
        <f>IF(ISNUMBER(SEARCH(ZAKL_DATA!$B$29,N460)),MAX($M$2:M459)+1,0)</f>
        <v>458</v>
      </c>
      <c r="N460" s="336" t="s">
        <v>2332</v>
      </c>
      <c r="O460" s="353" t="s">
        <v>2333</v>
      </c>
      <c r="P460" s="338"/>
      <c r="Q460" s="339" t="str">
        <f>IFERROR(VLOOKUP(ROWS($Q$3:Q460),$M$3:$N$992,2,0),"")</f>
        <v>Výroba jiných základních organických chemických látek</v>
      </c>
      <c r="R460">
        <f>IF(ISNUMBER(SEARCH('1Př1'!$A$33,N460)),MAX($M$2:M459)+1,0)</f>
        <v>458</v>
      </c>
      <c r="S460" s="336" t="s">
        <v>2332</v>
      </c>
      <c r="T460" t="str">
        <f>IFERROR(VLOOKUP(ROWS($T$3:T460),$R$3:$S$992,2,0),"")</f>
        <v>Výroba jiných základních organických chemických látek</v>
      </c>
      <c r="U460">
        <f>IF(ISNUMBER(SEARCH('1Př1'!$A$34,N460)),MAX($M$2:M459)+1,0)</f>
        <v>458</v>
      </c>
      <c r="V460" s="336" t="s">
        <v>2332</v>
      </c>
      <c r="W460" t="str">
        <f>IFERROR(VLOOKUP(ROWS($W$3:W460),$U$3:$V$992,2,0),"")</f>
        <v>Výroba jiných základních organických chemických látek</v>
      </c>
      <c r="X460">
        <f>IF(ISNUMBER(SEARCH('1Př1'!$A$35,N460)),MAX($M$2:M459)+1,0)</f>
        <v>458</v>
      </c>
      <c r="Y460" s="336" t="s">
        <v>2332</v>
      </c>
      <c r="Z460" t="str">
        <f>IFERROR(VLOOKUP(ROWS($Z$3:Z460),$X$3:$Y$992,2,0),"")</f>
        <v>Výroba jiných základních organických chemických látek</v>
      </c>
    </row>
    <row r="461" spans="13:26" ht="12.75">
      <c r="M461" s="335">
        <f>IF(ISNUMBER(SEARCH(ZAKL_DATA!$B$29,N461)),MAX($M$2:M460)+1,0)</f>
        <v>459</v>
      </c>
      <c r="N461" s="336" t="s">
        <v>2334</v>
      </c>
      <c r="O461" s="353" t="s">
        <v>2335</v>
      </c>
      <c r="P461" s="338"/>
      <c r="Q461" s="339" t="str">
        <f>IFERROR(VLOOKUP(ROWS($Q$3:Q461),$M$3:$N$992,2,0),"")</f>
        <v>Výroba hnojiv a dusíkatých sloučenin</v>
      </c>
      <c r="R461">
        <f>IF(ISNUMBER(SEARCH('1Př1'!$A$33,N461)),MAX($M$2:M460)+1,0)</f>
        <v>459</v>
      </c>
      <c r="S461" s="336" t="s">
        <v>2334</v>
      </c>
      <c r="T461" t="str">
        <f>IFERROR(VLOOKUP(ROWS($T$3:T461),$R$3:$S$992,2,0),"")</f>
        <v>Výroba hnojiv a dusíkatých sloučenin</v>
      </c>
      <c r="U461">
        <f>IF(ISNUMBER(SEARCH('1Př1'!$A$34,N461)),MAX($M$2:M460)+1,0)</f>
        <v>459</v>
      </c>
      <c r="V461" s="336" t="s">
        <v>2334</v>
      </c>
      <c r="W461" t="str">
        <f>IFERROR(VLOOKUP(ROWS($W$3:W461),$U$3:$V$992,2,0),"")</f>
        <v>Výroba hnojiv a dusíkatých sloučenin</v>
      </c>
      <c r="X461">
        <f>IF(ISNUMBER(SEARCH('1Př1'!$A$35,N461)),MAX($M$2:M460)+1,0)</f>
        <v>459</v>
      </c>
      <c r="Y461" s="336" t="s">
        <v>2334</v>
      </c>
      <c r="Z461" t="str">
        <f>IFERROR(VLOOKUP(ROWS($Z$3:Z461),$X$3:$Y$992,2,0),"")</f>
        <v>Výroba hnojiv a dusíkatých sloučenin</v>
      </c>
    </row>
    <row r="462" spans="13:26" ht="12.75">
      <c r="M462" s="335">
        <f>IF(ISNUMBER(SEARCH(ZAKL_DATA!$B$29,N462)),MAX($M$2:M461)+1,0)</f>
        <v>460</v>
      </c>
      <c r="N462" s="336" t="s">
        <v>2336</v>
      </c>
      <c r="O462" s="353" t="s">
        <v>2337</v>
      </c>
      <c r="P462" s="338"/>
      <c r="Q462" s="339" t="str">
        <f>IFERROR(VLOOKUP(ROWS($Q$3:Q462),$M$3:$N$992,2,0),"")</f>
        <v>Výroba plastů v primárních formách</v>
      </c>
      <c r="R462">
        <f>IF(ISNUMBER(SEARCH('1Př1'!$A$33,N462)),MAX($M$2:M461)+1,0)</f>
        <v>460</v>
      </c>
      <c r="S462" s="336" t="s">
        <v>2336</v>
      </c>
      <c r="T462" t="str">
        <f>IFERROR(VLOOKUP(ROWS($T$3:T462),$R$3:$S$992,2,0),"")</f>
        <v>Výroba plastů v primárních formách</v>
      </c>
      <c r="U462">
        <f>IF(ISNUMBER(SEARCH('1Př1'!$A$34,N462)),MAX($M$2:M461)+1,0)</f>
        <v>460</v>
      </c>
      <c r="V462" s="336" t="s">
        <v>2336</v>
      </c>
      <c r="W462" t="str">
        <f>IFERROR(VLOOKUP(ROWS($W$3:W462),$U$3:$V$992,2,0),"")</f>
        <v>Výroba plastů v primárních formách</v>
      </c>
      <c r="X462">
        <f>IF(ISNUMBER(SEARCH('1Př1'!$A$35,N462)),MAX($M$2:M461)+1,0)</f>
        <v>460</v>
      </c>
      <c r="Y462" s="336" t="s">
        <v>2336</v>
      </c>
      <c r="Z462" t="str">
        <f>IFERROR(VLOOKUP(ROWS($Z$3:Z462),$X$3:$Y$992,2,0),"")</f>
        <v>Výroba plastů v primárních formách</v>
      </c>
    </row>
    <row r="463" spans="13:26" ht="12.75">
      <c r="M463" s="335">
        <f>IF(ISNUMBER(SEARCH(ZAKL_DATA!$B$29,N463)),MAX($M$2:M462)+1,0)</f>
        <v>461</v>
      </c>
      <c r="N463" s="336" t="s">
        <v>2338</v>
      </c>
      <c r="O463" s="353" t="s">
        <v>2339</v>
      </c>
      <c r="P463" s="338"/>
      <c r="Q463" s="339" t="str">
        <f>IFERROR(VLOOKUP(ROWS($Q$3:Q463),$M$3:$N$992,2,0),"")</f>
        <v>Výroba syntetického kaučuku v primárních formách</v>
      </c>
      <c r="R463">
        <f>IF(ISNUMBER(SEARCH('1Př1'!$A$33,N463)),MAX($M$2:M462)+1,0)</f>
        <v>461</v>
      </c>
      <c r="S463" s="336" t="s">
        <v>2338</v>
      </c>
      <c r="T463" t="str">
        <f>IFERROR(VLOOKUP(ROWS($T$3:T463),$R$3:$S$992,2,0),"")</f>
        <v>Výroba syntetického kaučuku v primárních formách</v>
      </c>
      <c r="U463">
        <f>IF(ISNUMBER(SEARCH('1Př1'!$A$34,N463)),MAX($M$2:M462)+1,0)</f>
        <v>461</v>
      </c>
      <c r="V463" s="336" t="s">
        <v>2338</v>
      </c>
      <c r="W463" t="str">
        <f>IFERROR(VLOOKUP(ROWS($W$3:W463),$U$3:$V$992,2,0),"")</f>
        <v>Výroba syntetického kaučuku v primárních formách</v>
      </c>
      <c r="X463">
        <f>IF(ISNUMBER(SEARCH('1Př1'!$A$35,N463)),MAX($M$2:M462)+1,0)</f>
        <v>461</v>
      </c>
      <c r="Y463" s="336" t="s">
        <v>2338</v>
      </c>
      <c r="Z463" t="str">
        <f>IFERROR(VLOOKUP(ROWS($Z$3:Z463),$X$3:$Y$992,2,0),"")</f>
        <v>Výroba syntetického kaučuku v primárních formách</v>
      </c>
    </row>
    <row r="464" spans="13:26" ht="12.75">
      <c r="M464" s="335">
        <f>IF(ISNUMBER(SEARCH(ZAKL_DATA!$B$29,N464)),MAX($M$2:M463)+1,0)</f>
        <v>462</v>
      </c>
      <c r="N464" s="336" t="s">
        <v>2340</v>
      </c>
      <c r="O464" s="353" t="s">
        <v>2341</v>
      </c>
      <c r="P464" s="338"/>
      <c r="Q464" s="339" t="str">
        <f>IFERROR(VLOOKUP(ROWS($Q$3:Q464),$M$3:$N$992,2,0),"")</f>
        <v>Výroba mýdel a detergentů, čisticích a lešticích prostředků</v>
      </c>
      <c r="R464">
        <f>IF(ISNUMBER(SEARCH('1Př1'!$A$33,N464)),MAX($M$2:M463)+1,0)</f>
        <v>462</v>
      </c>
      <c r="S464" s="336" t="s">
        <v>2340</v>
      </c>
      <c r="T464" t="str">
        <f>IFERROR(VLOOKUP(ROWS($T$3:T464),$R$3:$S$992,2,0),"")</f>
        <v>Výroba mýdel a detergentů, čisticích a lešticích prostředků</v>
      </c>
      <c r="U464">
        <f>IF(ISNUMBER(SEARCH('1Př1'!$A$34,N464)),MAX($M$2:M463)+1,0)</f>
        <v>462</v>
      </c>
      <c r="V464" s="336" t="s">
        <v>2340</v>
      </c>
      <c r="W464" t="str">
        <f>IFERROR(VLOOKUP(ROWS($W$3:W464),$U$3:$V$992,2,0),"")</f>
        <v>Výroba mýdel a detergentů, čisticích a lešticích prostředků</v>
      </c>
      <c r="X464">
        <f>IF(ISNUMBER(SEARCH('1Př1'!$A$35,N464)),MAX($M$2:M463)+1,0)</f>
        <v>462</v>
      </c>
      <c r="Y464" s="336" t="s">
        <v>2340</v>
      </c>
      <c r="Z464" t="str">
        <f>IFERROR(VLOOKUP(ROWS($Z$3:Z464),$X$3:$Y$992,2,0),"")</f>
        <v>Výroba mýdel a detergentů, čisticích a lešticích prostředků</v>
      </c>
    </row>
    <row r="465" spans="13:26" ht="12.75">
      <c r="M465" s="335">
        <f>IF(ISNUMBER(SEARCH(ZAKL_DATA!$B$29,N465)),MAX($M$2:M464)+1,0)</f>
        <v>463</v>
      </c>
      <c r="N465" s="336" t="s">
        <v>2342</v>
      </c>
      <c r="O465" s="353" t="s">
        <v>2343</v>
      </c>
      <c r="P465" s="338"/>
      <c r="Q465" s="339" t="str">
        <f>IFERROR(VLOOKUP(ROWS($Q$3:Q465),$M$3:$N$992,2,0),"")</f>
        <v>Výroba parfémů a toaletních přípravků</v>
      </c>
      <c r="R465">
        <f>IF(ISNUMBER(SEARCH('1Př1'!$A$33,N465)),MAX($M$2:M464)+1,0)</f>
        <v>463</v>
      </c>
      <c r="S465" s="336" t="s">
        <v>2342</v>
      </c>
      <c r="T465" t="str">
        <f>IFERROR(VLOOKUP(ROWS($T$3:T465),$R$3:$S$992,2,0),"")</f>
        <v>Výroba parfémů a toaletních přípravků</v>
      </c>
      <c r="U465">
        <f>IF(ISNUMBER(SEARCH('1Př1'!$A$34,N465)),MAX($M$2:M464)+1,0)</f>
        <v>463</v>
      </c>
      <c r="V465" s="336" t="s">
        <v>2342</v>
      </c>
      <c r="W465" t="str">
        <f>IFERROR(VLOOKUP(ROWS($W$3:W465),$U$3:$V$992,2,0),"")</f>
        <v>Výroba parfémů a toaletních přípravků</v>
      </c>
      <c r="X465">
        <f>IF(ISNUMBER(SEARCH('1Př1'!$A$35,N465)),MAX($M$2:M464)+1,0)</f>
        <v>463</v>
      </c>
      <c r="Y465" s="336" t="s">
        <v>2342</v>
      </c>
      <c r="Z465" t="str">
        <f>IFERROR(VLOOKUP(ROWS($Z$3:Z465),$X$3:$Y$992,2,0),"")</f>
        <v>Výroba parfémů a toaletních přípravků</v>
      </c>
    </row>
    <row r="466" spans="13:26" ht="12.75">
      <c r="M466" s="335">
        <f>IF(ISNUMBER(SEARCH(ZAKL_DATA!$B$29,N466)),MAX($M$2:M465)+1,0)</f>
        <v>464</v>
      </c>
      <c r="N466" s="336" t="s">
        <v>2344</v>
      </c>
      <c r="O466" s="353" t="s">
        <v>2345</v>
      </c>
      <c r="P466" s="338"/>
      <c r="Q466" s="339" t="str">
        <f>IFERROR(VLOOKUP(ROWS($Q$3:Q466),$M$3:$N$992,2,0),"")</f>
        <v>Výroba výbušnin</v>
      </c>
      <c r="R466">
        <f>IF(ISNUMBER(SEARCH('1Př1'!$A$33,N466)),MAX($M$2:M465)+1,0)</f>
        <v>464</v>
      </c>
      <c r="S466" s="336" t="s">
        <v>2344</v>
      </c>
      <c r="T466" t="str">
        <f>IFERROR(VLOOKUP(ROWS($T$3:T466),$R$3:$S$992,2,0),"")</f>
        <v>Výroba výbušnin</v>
      </c>
      <c r="U466">
        <f>IF(ISNUMBER(SEARCH('1Př1'!$A$34,N466)),MAX($M$2:M465)+1,0)</f>
        <v>464</v>
      </c>
      <c r="V466" s="336" t="s">
        <v>2344</v>
      </c>
      <c r="W466" t="str">
        <f>IFERROR(VLOOKUP(ROWS($W$3:W466),$U$3:$V$992,2,0),"")</f>
        <v>Výroba výbušnin</v>
      </c>
      <c r="X466">
        <f>IF(ISNUMBER(SEARCH('1Př1'!$A$35,N466)),MAX($M$2:M465)+1,0)</f>
        <v>464</v>
      </c>
      <c r="Y466" s="336" t="s">
        <v>2344</v>
      </c>
      <c r="Z466" t="str">
        <f>IFERROR(VLOOKUP(ROWS($Z$3:Z466),$X$3:$Y$992,2,0),"")</f>
        <v>Výroba výbušnin</v>
      </c>
    </row>
    <row r="467" spans="13:26" ht="12.75">
      <c r="M467" s="335">
        <f>IF(ISNUMBER(SEARCH(ZAKL_DATA!$B$29,N467)),MAX($M$2:M466)+1,0)</f>
        <v>465</v>
      </c>
      <c r="N467" s="336" t="s">
        <v>2346</v>
      </c>
      <c r="O467" s="353" t="s">
        <v>2347</v>
      </c>
      <c r="P467" s="338"/>
      <c r="Q467" s="339" t="str">
        <f>IFERROR(VLOOKUP(ROWS($Q$3:Q467),$M$3:$N$992,2,0),"")</f>
        <v>Výroba klihů</v>
      </c>
      <c r="R467">
        <f>IF(ISNUMBER(SEARCH('1Př1'!$A$33,N467)),MAX($M$2:M466)+1,0)</f>
        <v>465</v>
      </c>
      <c r="S467" s="336" t="s">
        <v>2346</v>
      </c>
      <c r="T467" t="str">
        <f>IFERROR(VLOOKUP(ROWS($T$3:T467),$R$3:$S$992,2,0),"")</f>
        <v>Výroba klihů</v>
      </c>
      <c r="U467">
        <f>IF(ISNUMBER(SEARCH('1Př1'!$A$34,N467)),MAX($M$2:M466)+1,0)</f>
        <v>465</v>
      </c>
      <c r="V467" s="336" t="s">
        <v>2346</v>
      </c>
      <c r="W467" t="str">
        <f>IFERROR(VLOOKUP(ROWS($W$3:W467),$U$3:$V$992,2,0),"")</f>
        <v>Výroba klihů</v>
      </c>
      <c r="X467">
        <f>IF(ISNUMBER(SEARCH('1Př1'!$A$35,N467)),MAX($M$2:M466)+1,0)</f>
        <v>465</v>
      </c>
      <c r="Y467" s="336" t="s">
        <v>2346</v>
      </c>
      <c r="Z467" t="str">
        <f>IFERROR(VLOOKUP(ROWS($Z$3:Z467),$X$3:$Y$992,2,0),"")</f>
        <v>Výroba klihů</v>
      </c>
    </row>
    <row r="468" spans="13:26" ht="12.75">
      <c r="M468" s="335">
        <f>IF(ISNUMBER(SEARCH(ZAKL_DATA!$B$29,N468)),MAX($M$2:M467)+1,0)</f>
        <v>466</v>
      </c>
      <c r="N468" s="336" t="s">
        <v>2348</v>
      </c>
      <c r="O468" s="353" t="s">
        <v>2349</v>
      </c>
      <c r="P468" s="338"/>
      <c r="Q468" s="339" t="str">
        <f>IFERROR(VLOOKUP(ROWS($Q$3:Q468),$M$3:$N$992,2,0),"")</f>
        <v>Výroba vonných silic</v>
      </c>
      <c r="R468">
        <f>IF(ISNUMBER(SEARCH('1Př1'!$A$33,N468)),MAX($M$2:M467)+1,0)</f>
        <v>466</v>
      </c>
      <c r="S468" s="336" t="s">
        <v>2348</v>
      </c>
      <c r="T468" t="str">
        <f>IFERROR(VLOOKUP(ROWS($T$3:T468),$R$3:$S$992,2,0),"")</f>
        <v>Výroba vonných silic</v>
      </c>
      <c r="U468">
        <f>IF(ISNUMBER(SEARCH('1Př1'!$A$34,N468)),MAX($M$2:M467)+1,0)</f>
        <v>466</v>
      </c>
      <c r="V468" s="336" t="s">
        <v>2348</v>
      </c>
      <c r="W468" t="str">
        <f>IFERROR(VLOOKUP(ROWS($W$3:W468),$U$3:$V$992,2,0),"")</f>
        <v>Výroba vonných silic</v>
      </c>
      <c r="X468">
        <f>IF(ISNUMBER(SEARCH('1Př1'!$A$35,N468)),MAX($M$2:M467)+1,0)</f>
        <v>466</v>
      </c>
      <c r="Y468" s="336" t="s">
        <v>2348</v>
      </c>
      <c r="Z468" t="str">
        <f>IFERROR(VLOOKUP(ROWS($Z$3:Z468),$X$3:$Y$992,2,0),"")</f>
        <v>Výroba vonných silic</v>
      </c>
    </row>
    <row r="469" spans="13:26" ht="12.75">
      <c r="M469" s="335">
        <f>IF(ISNUMBER(SEARCH(ZAKL_DATA!$B$29,N469)),MAX($M$2:M468)+1,0)</f>
        <v>467</v>
      </c>
      <c r="N469" s="336" t="s">
        <v>2350</v>
      </c>
      <c r="O469" s="353" t="s">
        <v>2351</v>
      </c>
      <c r="P469" s="338"/>
      <c r="Q469" s="339" t="str">
        <f>IFERROR(VLOOKUP(ROWS($Q$3:Q469),$M$3:$N$992,2,0),"")</f>
        <v>Výroba ostatních chemických výrobků j. n.</v>
      </c>
      <c r="R469">
        <f>IF(ISNUMBER(SEARCH('1Př1'!$A$33,N469)),MAX($M$2:M468)+1,0)</f>
        <v>467</v>
      </c>
      <c r="S469" s="336" t="s">
        <v>2350</v>
      </c>
      <c r="T469" t="str">
        <f>IFERROR(VLOOKUP(ROWS($T$3:T469),$R$3:$S$992,2,0),"")</f>
        <v>Výroba ostatních chemických výrobků j. n.</v>
      </c>
      <c r="U469">
        <f>IF(ISNUMBER(SEARCH('1Př1'!$A$34,N469)),MAX($M$2:M468)+1,0)</f>
        <v>467</v>
      </c>
      <c r="V469" s="336" t="s">
        <v>2350</v>
      </c>
      <c r="W469" t="str">
        <f>IFERROR(VLOOKUP(ROWS($W$3:W469),$U$3:$V$992,2,0),"")</f>
        <v>Výroba ostatních chemických výrobků j. n.</v>
      </c>
      <c r="X469">
        <f>IF(ISNUMBER(SEARCH('1Př1'!$A$35,N469)),MAX($M$2:M468)+1,0)</f>
        <v>467</v>
      </c>
      <c r="Y469" s="336" t="s">
        <v>2350</v>
      </c>
      <c r="Z469" t="str">
        <f>IFERROR(VLOOKUP(ROWS($Z$3:Z469),$X$3:$Y$992,2,0),"")</f>
        <v>Výroba ostatních chemických výrobků j. n.</v>
      </c>
    </row>
    <row r="470" spans="13:26" ht="12.75">
      <c r="M470" s="335">
        <f>IF(ISNUMBER(SEARCH(ZAKL_DATA!$B$29,N470)),MAX($M$2:M469)+1,0)</f>
        <v>468</v>
      </c>
      <c r="N470" s="336" t="s">
        <v>2352</v>
      </c>
      <c r="O470" s="353" t="s">
        <v>2353</v>
      </c>
      <c r="P470" s="338"/>
      <c r="Q470" s="339" t="str">
        <f>IFERROR(VLOOKUP(ROWS($Q$3:Q470),$M$3:$N$992,2,0),"")</f>
        <v>Výroba pryžových plášťů a duší; protektorování pneumatik</v>
      </c>
      <c r="R470">
        <f>IF(ISNUMBER(SEARCH('1Př1'!$A$33,N470)),MAX($M$2:M469)+1,0)</f>
        <v>468</v>
      </c>
      <c r="S470" s="336" t="s">
        <v>2352</v>
      </c>
      <c r="T470" t="str">
        <f>IFERROR(VLOOKUP(ROWS($T$3:T470),$R$3:$S$992,2,0),"")</f>
        <v>Výroba pryžových plášťů a duší; protektorování pneumatik</v>
      </c>
      <c r="U470">
        <f>IF(ISNUMBER(SEARCH('1Př1'!$A$34,N470)),MAX($M$2:M469)+1,0)</f>
        <v>468</v>
      </c>
      <c r="V470" s="336" t="s">
        <v>2352</v>
      </c>
      <c r="W470" t="str">
        <f>IFERROR(VLOOKUP(ROWS($W$3:W470),$U$3:$V$992,2,0),"")</f>
        <v>Výroba pryžových plášťů a duší; protektorování pneumatik</v>
      </c>
      <c r="X470">
        <f>IF(ISNUMBER(SEARCH('1Př1'!$A$35,N470)),MAX($M$2:M469)+1,0)</f>
        <v>468</v>
      </c>
      <c r="Y470" s="336" t="s">
        <v>2352</v>
      </c>
      <c r="Z470" t="str">
        <f>IFERROR(VLOOKUP(ROWS($Z$3:Z470),$X$3:$Y$992,2,0),"")</f>
        <v>Výroba pryžových plášťů a duší; protektorování pneumatik</v>
      </c>
    </row>
    <row r="471" spans="13:26" ht="12.75">
      <c r="M471" s="335">
        <f>IF(ISNUMBER(SEARCH(ZAKL_DATA!$B$29,N471)),MAX($M$2:M470)+1,0)</f>
        <v>469</v>
      </c>
      <c r="N471" s="336" t="s">
        <v>2354</v>
      </c>
      <c r="O471" s="353" t="s">
        <v>2355</v>
      </c>
      <c r="P471" s="338"/>
      <c r="Q471" s="339" t="str">
        <f>IFERROR(VLOOKUP(ROWS($Q$3:Q471),$M$3:$N$992,2,0),"")</f>
        <v>Výroba ostatních pryžových výrobků</v>
      </c>
      <c r="R471">
        <f>IF(ISNUMBER(SEARCH('1Př1'!$A$33,N471)),MAX($M$2:M470)+1,0)</f>
        <v>469</v>
      </c>
      <c r="S471" s="336" t="s">
        <v>2354</v>
      </c>
      <c r="T471" t="str">
        <f>IFERROR(VLOOKUP(ROWS($T$3:T471),$R$3:$S$992,2,0),"")</f>
        <v>Výroba ostatních pryžových výrobků</v>
      </c>
      <c r="U471">
        <f>IF(ISNUMBER(SEARCH('1Př1'!$A$34,N471)),MAX($M$2:M470)+1,0)</f>
        <v>469</v>
      </c>
      <c r="V471" s="336" t="s">
        <v>2354</v>
      </c>
      <c r="W471" t="str">
        <f>IFERROR(VLOOKUP(ROWS($W$3:W471),$U$3:$V$992,2,0),"")</f>
        <v>Výroba ostatních pryžových výrobků</v>
      </c>
      <c r="X471">
        <f>IF(ISNUMBER(SEARCH('1Př1'!$A$35,N471)),MAX($M$2:M470)+1,0)</f>
        <v>469</v>
      </c>
      <c r="Y471" s="336" t="s">
        <v>2354</v>
      </c>
      <c r="Z471" t="str">
        <f>IFERROR(VLOOKUP(ROWS($Z$3:Z471),$X$3:$Y$992,2,0),"")</f>
        <v>Výroba ostatních pryžových výrobků</v>
      </c>
    </row>
    <row r="472" spans="13:26" ht="12.75">
      <c r="M472" s="335">
        <f>IF(ISNUMBER(SEARCH(ZAKL_DATA!$B$29,N472)),MAX($M$2:M471)+1,0)</f>
        <v>470</v>
      </c>
      <c r="N472" s="336" t="s">
        <v>2356</v>
      </c>
      <c r="O472" s="353" t="s">
        <v>2357</v>
      </c>
      <c r="P472" s="338"/>
      <c r="Q472" s="339" t="str">
        <f>IFERROR(VLOOKUP(ROWS($Q$3:Q472),$M$3:$N$992,2,0),"")</f>
        <v>Výroba plastových desek, fólií, hadic, trubek a profilů</v>
      </c>
      <c r="R472">
        <f>IF(ISNUMBER(SEARCH('1Př1'!$A$33,N472)),MAX($M$2:M471)+1,0)</f>
        <v>470</v>
      </c>
      <c r="S472" s="336" t="s">
        <v>2356</v>
      </c>
      <c r="T472" t="str">
        <f>IFERROR(VLOOKUP(ROWS($T$3:T472),$R$3:$S$992,2,0),"")</f>
        <v>Výroba plastových desek, fólií, hadic, trubek a profilů</v>
      </c>
      <c r="U472">
        <f>IF(ISNUMBER(SEARCH('1Př1'!$A$34,N472)),MAX($M$2:M471)+1,0)</f>
        <v>470</v>
      </c>
      <c r="V472" s="336" t="s">
        <v>2356</v>
      </c>
      <c r="W472" t="str">
        <f>IFERROR(VLOOKUP(ROWS($W$3:W472),$U$3:$V$992,2,0),"")</f>
        <v>Výroba plastových desek, fólií, hadic, trubek a profilů</v>
      </c>
      <c r="X472">
        <f>IF(ISNUMBER(SEARCH('1Př1'!$A$35,N472)),MAX($M$2:M471)+1,0)</f>
        <v>470</v>
      </c>
      <c r="Y472" s="336" t="s">
        <v>2356</v>
      </c>
      <c r="Z472" t="str">
        <f>IFERROR(VLOOKUP(ROWS($Z$3:Z472),$X$3:$Y$992,2,0),"")</f>
        <v>Výroba plastových desek, fólií, hadic, trubek a profilů</v>
      </c>
    </row>
    <row r="473" spans="13:26" ht="12.75">
      <c r="M473" s="335">
        <f>IF(ISNUMBER(SEARCH(ZAKL_DATA!$B$29,N473)),MAX($M$2:M472)+1,0)</f>
        <v>471</v>
      </c>
      <c r="N473" s="336" t="s">
        <v>2358</v>
      </c>
      <c r="O473" s="353" t="s">
        <v>2359</v>
      </c>
      <c r="P473" s="338"/>
      <c r="Q473" s="339" t="str">
        <f>IFERROR(VLOOKUP(ROWS($Q$3:Q473),$M$3:$N$992,2,0),"")</f>
        <v>Výroba plastových obalů</v>
      </c>
      <c r="R473">
        <f>IF(ISNUMBER(SEARCH('1Př1'!$A$33,N473)),MAX($M$2:M472)+1,0)</f>
        <v>471</v>
      </c>
      <c r="S473" s="336" t="s">
        <v>2358</v>
      </c>
      <c r="T473" t="str">
        <f>IFERROR(VLOOKUP(ROWS($T$3:T473),$R$3:$S$992,2,0),"")</f>
        <v>Výroba plastových obalů</v>
      </c>
      <c r="U473">
        <f>IF(ISNUMBER(SEARCH('1Př1'!$A$34,N473)),MAX($M$2:M472)+1,0)</f>
        <v>471</v>
      </c>
      <c r="V473" s="336" t="s">
        <v>2358</v>
      </c>
      <c r="W473" t="str">
        <f>IFERROR(VLOOKUP(ROWS($W$3:W473),$U$3:$V$992,2,0),"")</f>
        <v>Výroba plastových obalů</v>
      </c>
      <c r="X473">
        <f>IF(ISNUMBER(SEARCH('1Př1'!$A$35,N473)),MAX($M$2:M472)+1,0)</f>
        <v>471</v>
      </c>
      <c r="Y473" s="336" t="s">
        <v>2358</v>
      </c>
      <c r="Z473" t="str">
        <f>IFERROR(VLOOKUP(ROWS($Z$3:Z473),$X$3:$Y$992,2,0),"")</f>
        <v>Výroba plastových obalů</v>
      </c>
    </row>
    <row r="474" spans="13:26" ht="12.75">
      <c r="M474" s="335">
        <f>IF(ISNUMBER(SEARCH(ZAKL_DATA!$B$29,N474)),MAX($M$2:M473)+1,0)</f>
        <v>472</v>
      </c>
      <c r="N474" s="336" t="s">
        <v>2360</v>
      </c>
      <c r="O474" s="353" t="s">
        <v>2361</v>
      </c>
      <c r="P474" s="338"/>
      <c r="Q474" s="339" t="str">
        <f>IFERROR(VLOOKUP(ROWS($Q$3:Q474),$M$3:$N$992,2,0),"")</f>
        <v>Výroba plastových výrobků pro stavebnictví</v>
      </c>
      <c r="R474">
        <f>IF(ISNUMBER(SEARCH('1Př1'!$A$33,N474)),MAX($M$2:M473)+1,0)</f>
        <v>472</v>
      </c>
      <c r="S474" s="336" t="s">
        <v>2360</v>
      </c>
      <c r="T474" t="str">
        <f>IFERROR(VLOOKUP(ROWS($T$3:T474),$R$3:$S$992,2,0),"")</f>
        <v>Výroba plastových výrobků pro stavebnictví</v>
      </c>
      <c r="U474">
        <f>IF(ISNUMBER(SEARCH('1Př1'!$A$34,N474)),MAX($M$2:M473)+1,0)</f>
        <v>472</v>
      </c>
      <c r="V474" s="336" t="s">
        <v>2360</v>
      </c>
      <c r="W474" t="str">
        <f>IFERROR(VLOOKUP(ROWS($W$3:W474),$U$3:$V$992,2,0),"")</f>
        <v>Výroba plastových výrobků pro stavebnictví</v>
      </c>
      <c r="X474">
        <f>IF(ISNUMBER(SEARCH('1Př1'!$A$35,N474)),MAX($M$2:M473)+1,0)</f>
        <v>472</v>
      </c>
      <c r="Y474" s="336" t="s">
        <v>2360</v>
      </c>
      <c r="Z474" t="str">
        <f>IFERROR(VLOOKUP(ROWS($Z$3:Z474),$X$3:$Y$992,2,0),"")</f>
        <v>Výroba plastových výrobků pro stavebnictví</v>
      </c>
    </row>
    <row r="475" spans="13:26" ht="12.75">
      <c r="M475" s="335">
        <f>IF(ISNUMBER(SEARCH(ZAKL_DATA!$B$29,N475)),MAX($M$2:M474)+1,0)</f>
        <v>473</v>
      </c>
      <c r="N475" s="336" t="s">
        <v>2362</v>
      </c>
      <c r="O475" s="353" t="s">
        <v>2363</v>
      </c>
      <c r="P475" s="338"/>
      <c r="Q475" s="339" t="str">
        <f>IFERROR(VLOOKUP(ROWS($Q$3:Q475),$M$3:$N$992,2,0),"")</f>
        <v>Výroba ostatních plastových výrobků</v>
      </c>
      <c r="R475">
        <f>IF(ISNUMBER(SEARCH('1Př1'!$A$33,N475)),MAX($M$2:M474)+1,0)</f>
        <v>473</v>
      </c>
      <c r="S475" s="336" t="s">
        <v>2362</v>
      </c>
      <c r="T475" t="str">
        <f>IFERROR(VLOOKUP(ROWS($T$3:T475),$R$3:$S$992,2,0),"")</f>
        <v>Výroba ostatních plastových výrobků</v>
      </c>
      <c r="U475">
        <f>IF(ISNUMBER(SEARCH('1Př1'!$A$34,N475)),MAX($M$2:M474)+1,0)</f>
        <v>473</v>
      </c>
      <c r="V475" s="336" t="s">
        <v>2362</v>
      </c>
      <c r="W475" t="str">
        <f>IFERROR(VLOOKUP(ROWS($W$3:W475),$U$3:$V$992,2,0),"")</f>
        <v>Výroba ostatních plastových výrobků</v>
      </c>
      <c r="X475">
        <f>IF(ISNUMBER(SEARCH('1Př1'!$A$35,N475)),MAX($M$2:M474)+1,0)</f>
        <v>473</v>
      </c>
      <c r="Y475" s="336" t="s">
        <v>2362</v>
      </c>
      <c r="Z475" t="str">
        <f>IFERROR(VLOOKUP(ROWS($Z$3:Z475),$X$3:$Y$992,2,0),"")</f>
        <v>Výroba ostatních plastových výrobků</v>
      </c>
    </row>
    <row r="476" spans="13:26" ht="12.75">
      <c r="M476" s="335">
        <f>IF(ISNUMBER(SEARCH(ZAKL_DATA!$B$29,N476)),MAX($M$2:M475)+1,0)</f>
        <v>474</v>
      </c>
      <c r="N476" s="336" t="s">
        <v>2364</v>
      </c>
      <c r="O476" s="353" t="s">
        <v>2365</v>
      </c>
      <c r="P476" s="338"/>
      <c r="Q476" s="339" t="str">
        <f>IFERROR(VLOOKUP(ROWS($Q$3:Q476),$M$3:$N$992,2,0),"")</f>
        <v>Výroba plochého skla</v>
      </c>
      <c r="R476">
        <f>IF(ISNUMBER(SEARCH('1Př1'!$A$33,N476)),MAX($M$2:M475)+1,0)</f>
        <v>474</v>
      </c>
      <c r="S476" s="336" t="s">
        <v>2364</v>
      </c>
      <c r="T476" t="str">
        <f>IFERROR(VLOOKUP(ROWS($T$3:T476),$R$3:$S$992,2,0),"")</f>
        <v>Výroba plochého skla</v>
      </c>
      <c r="U476">
        <f>IF(ISNUMBER(SEARCH('1Př1'!$A$34,N476)),MAX($M$2:M475)+1,0)</f>
        <v>474</v>
      </c>
      <c r="V476" s="336" t="s">
        <v>2364</v>
      </c>
      <c r="W476" t="str">
        <f>IFERROR(VLOOKUP(ROWS($W$3:W476),$U$3:$V$992,2,0),"")</f>
        <v>Výroba plochého skla</v>
      </c>
      <c r="X476">
        <f>IF(ISNUMBER(SEARCH('1Př1'!$A$35,N476)),MAX($M$2:M475)+1,0)</f>
        <v>474</v>
      </c>
      <c r="Y476" s="336" t="s">
        <v>2364</v>
      </c>
      <c r="Z476" t="str">
        <f>IFERROR(VLOOKUP(ROWS($Z$3:Z476),$X$3:$Y$992,2,0),"")</f>
        <v>Výroba plochého skla</v>
      </c>
    </row>
    <row r="477" spans="13:26" ht="12.75">
      <c r="M477" s="335">
        <f>IF(ISNUMBER(SEARCH(ZAKL_DATA!$B$29,N477)),MAX($M$2:M476)+1,0)</f>
        <v>475</v>
      </c>
      <c r="N477" s="336" t="s">
        <v>2366</v>
      </c>
      <c r="O477" s="353" t="s">
        <v>2367</v>
      </c>
      <c r="P477" s="338"/>
      <c r="Q477" s="339" t="str">
        <f>IFERROR(VLOOKUP(ROWS($Q$3:Q477),$M$3:$N$992,2,0),"")</f>
        <v>Tvarování a zpracování plochého skla</v>
      </c>
      <c r="R477">
        <f>IF(ISNUMBER(SEARCH('1Př1'!$A$33,N477)),MAX($M$2:M476)+1,0)</f>
        <v>475</v>
      </c>
      <c r="S477" s="336" t="s">
        <v>2366</v>
      </c>
      <c r="T477" t="str">
        <f>IFERROR(VLOOKUP(ROWS($T$3:T477),$R$3:$S$992,2,0),"")</f>
        <v>Tvarování a zpracování plochého skla</v>
      </c>
      <c r="U477">
        <f>IF(ISNUMBER(SEARCH('1Př1'!$A$34,N477)),MAX($M$2:M476)+1,0)</f>
        <v>475</v>
      </c>
      <c r="V477" s="336" t="s">
        <v>2366</v>
      </c>
      <c r="W477" t="str">
        <f>IFERROR(VLOOKUP(ROWS($W$3:W477),$U$3:$V$992,2,0),"")</f>
        <v>Tvarování a zpracování plochého skla</v>
      </c>
      <c r="X477">
        <f>IF(ISNUMBER(SEARCH('1Př1'!$A$35,N477)),MAX($M$2:M476)+1,0)</f>
        <v>475</v>
      </c>
      <c r="Y477" s="336" t="s">
        <v>2366</v>
      </c>
      <c r="Z477" t="str">
        <f>IFERROR(VLOOKUP(ROWS($Z$3:Z477),$X$3:$Y$992,2,0),"")</f>
        <v>Tvarování a zpracování plochého skla</v>
      </c>
    </row>
    <row r="478" spans="13:26" ht="12.75">
      <c r="M478" s="335">
        <f>IF(ISNUMBER(SEARCH(ZAKL_DATA!$B$29,N478)),MAX($M$2:M477)+1,0)</f>
        <v>476</v>
      </c>
      <c r="N478" s="336" t="s">
        <v>2368</v>
      </c>
      <c r="O478" s="353" t="s">
        <v>2369</v>
      </c>
      <c r="P478" s="338"/>
      <c r="Q478" s="339" t="str">
        <f>IFERROR(VLOOKUP(ROWS($Q$3:Q478),$M$3:$N$992,2,0),"")</f>
        <v>Výroba dutého skla</v>
      </c>
      <c r="R478">
        <f>IF(ISNUMBER(SEARCH('1Př1'!$A$33,N478)),MAX($M$2:M477)+1,0)</f>
        <v>476</v>
      </c>
      <c r="S478" s="336" t="s">
        <v>2368</v>
      </c>
      <c r="T478" t="str">
        <f>IFERROR(VLOOKUP(ROWS($T$3:T478),$R$3:$S$992,2,0),"")</f>
        <v>Výroba dutého skla</v>
      </c>
      <c r="U478">
        <f>IF(ISNUMBER(SEARCH('1Př1'!$A$34,N478)),MAX($M$2:M477)+1,0)</f>
        <v>476</v>
      </c>
      <c r="V478" s="336" t="s">
        <v>2368</v>
      </c>
      <c r="W478" t="str">
        <f>IFERROR(VLOOKUP(ROWS($W$3:W478),$U$3:$V$992,2,0),"")</f>
        <v>Výroba dutého skla</v>
      </c>
      <c r="X478">
        <f>IF(ISNUMBER(SEARCH('1Př1'!$A$35,N478)),MAX($M$2:M477)+1,0)</f>
        <v>476</v>
      </c>
      <c r="Y478" s="336" t="s">
        <v>2368</v>
      </c>
      <c r="Z478" t="str">
        <f>IFERROR(VLOOKUP(ROWS($Z$3:Z478),$X$3:$Y$992,2,0),"")</f>
        <v>Výroba dutého skla</v>
      </c>
    </row>
    <row r="479" spans="13:26" ht="12.75">
      <c r="M479" s="335">
        <f>IF(ISNUMBER(SEARCH(ZAKL_DATA!$B$29,N479)),MAX($M$2:M478)+1,0)</f>
        <v>477</v>
      </c>
      <c r="N479" s="336" t="s">
        <v>2370</v>
      </c>
      <c r="O479" s="353" t="s">
        <v>2371</v>
      </c>
      <c r="P479" s="338"/>
      <c r="Q479" s="339" t="str">
        <f>IFERROR(VLOOKUP(ROWS($Q$3:Q479),$M$3:$N$992,2,0),"")</f>
        <v>Výroba skleněných vláken</v>
      </c>
      <c r="R479">
        <f>IF(ISNUMBER(SEARCH('1Př1'!$A$33,N479)),MAX($M$2:M478)+1,0)</f>
        <v>477</v>
      </c>
      <c r="S479" s="336" t="s">
        <v>2370</v>
      </c>
      <c r="T479" t="str">
        <f>IFERROR(VLOOKUP(ROWS($T$3:T479),$R$3:$S$992,2,0),"")</f>
        <v>Výroba skleněných vláken</v>
      </c>
      <c r="U479">
        <f>IF(ISNUMBER(SEARCH('1Př1'!$A$34,N479)),MAX($M$2:M478)+1,0)</f>
        <v>477</v>
      </c>
      <c r="V479" s="336" t="s">
        <v>2370</v>
      </c>
      <c r="W479" t="str">
        <f>IFERROR(VLOOKUP(ROWS($W$3:W479),$U$3:$V$992,2,0),"")</f>
        <v>Výroba skleněných vláken</v>
      </c>
      <c r="X479">
        <f>IF(ISNUMBER(SEARCH('1Př1'!$A$35,N479)),MAX($M$2:M478)+1,0)</f>
        <v>477</v>
      </c>
      <c r="Y479" s="336" t="s">
        <v>2370</v>
      </c>
      <c r="Z479" t="str">
        <f>IFERROR(VLOOKUP(ROWS($Z$3:Z479),$X$3:$Y$992,2,0),"")</f>
        <v>Výroba skleněných vláken</v>
      </c>
    </row>
    <row r="480" spans="13:26" ht="12.75">
      <c r="M480" s="335">
        <f>IF(ISNUMBER(SEARCH(ZAKL_DATA!$B$29,N480)),MAX($M$2:M479)+1,0)</f>
        <v>478</v>
      </c>
      <c r="N480" s="336" t="s">
        <v>2372</v>
      </c>
      <c r="O480" s="353" t="s">
        <v>2373</v>
      </c>
      <c r="P480" s="338"/>
      <c r="Q480" s="339" t="str">
        <f>IFERROR(VLOOKUP(ROWS($Q$3:Q480),$M$3:$N$992,2,0),"")</f>
        <v>Výroba a zpracování ostatního skla vč. technického</v>
      </c>
      <c r="R480">
        <f>IF(ISNUMBER(SEARCH('1Př1'!$A$33,N480)),MAX($M$2:M479)+1,0)</f>
        <v>478</v>
      </c>
      <c r="S480" s="336" t="s">
        <v>2372</v>
      </c>
      <c r="T480" t="str">
        <f>IFERROR(VLOOKUP(ROWS($T$3:T480),$R$3:$S$992,2,0),"")</f>
        <v>Výroba a zpracování ostatního skla vč. technického</v>
      </c>
      <c r="U480">
        <f>IF(ISNUMBER(SEARCH('1Př1'!$A$34,N480)),MAX($M$2:M479)+1,0)</f>
        <v>478</v>
      </c>
      <c r="V480" s="336" t="s">
        <v>2372</v>
      </c>
      <c r="W480" t="str">
        <f>IFERROR(VLOOKUP(ROWS($W$3:W480),$U$3:$V$992,2,0),"")</f>
        <v>Výroba a zpracování ostatního skla vč. technického</v>
      </c>
      <c r="X480">
        <f>IF(ISNUMBER(SEARCH('1Př1'!$A$35,N480)),MAX($M$2:M479)+1,0)</f>
        <v>478</v>
      </c>
      <c r="Y480" s="336" t="s">
        <v>2372</v>
      </c>
      <c r="Z480" t="str">
        <f>IFERROR(VLOOKUP(ROWS($Z$3:Z480),$X$3:$Y$992,2,0),"")</f>
        <v>Výroba a zpracování ostatního skla vč. technického</v>
      </c>
    </row>
    <row r="481" spans="13:26" ht="12.75">
      <c r="M481" s="335">
        <f>IF(ISNUMBER(SEARCH(ZAKL_DATA!$B$29,N481)),MAX($M$2:M480)+1,0)</f>
        <v>479</v>
      </c>
      <c r="N481" s="336" t="s">
        <v>2374</v>
      </c>
      <c r="O481" s="353" t="s">
        <v>2375</v>
      </c>
      <c r="P481" s="338"/>
      <c r="Q481" s="339" t="str">
        <f>IFERROR(VLOOKUP(ROWS($Q$3:Q481),$M$3:$N$992,2,0),"")</f>
        <v>Výroba keramických obkládaček a dlaždic</v>
      </c>
      <c r="R481">
        <f>IF(ISNUMBER(SEARCH('1Př1'!$A$33,N481)),MAX($M$2:M480)+1,0)</f>
        <v>479</v>
      </c>
      <c r="S481" s="336" t="s">
        <v>2374</v>
      </c>
      <c r="T481" t="str">
        <f>IFERROR(VLOOKUP(ROWS($T$3:T481),$R$3:$S$992,2,0),"")</f>
        <v>Výroba keramických obkládaček a dlaždic</v>
      </c>
      <c r="U481">
        <f>IF(ISNUMBER(SEARCH('1Př1'!$A$34,N481)),MAX($M$2:M480)+1,0)</f>
        <v>479</v>
      </c>
      <c r="V481" s="336" t="s">
        <v>2374</v>
      </c>
      <c r="W481" t="str">
        <f>IFERROR(VLOOKUP(ROWS($W$3:W481),$U$3:$V$992,2,0),"")</f>
        <v>Výroba keramických obkládaček a dlaždic</v>
      </c>
      <c r="X481">
        <f>IF(ISNUMBER(SEARCH('1Př1'!$A$35,N481)),MAX($M$2:M480)+1,0)</f>
        <v>479</v>
      </c>
      <c r="Y481" s="336" t="s">
        <v>2374</v>
      </c>
      <c r="Z481" t="str">
        <f>IFERROR(VLOOKUP(ROWS($Z$3:Z481),$X$3:$Y$992,2,0),"")</f>
        <v>Výroba keramických obkládaček a dlaždic</v>
      </c>
    </row>
    <row r="482" spans="13:26" ht="12.75">
      <c r="M482" s="335">
        <f>IF(ISNUMBER(SEARCH(ZAKL_DATA!$B$29,N482)),MAX($M$2:M481)+1,0)</f>
        <v>480</v>
      </c>
      <c r="N482" s="336" t="s">
        <v>2376</v>
      </c>
      <c r="O482" s="353" t="s">
        <v>2377</v>
      </c>
      <c r="P482" s="338"/>
      <c r="Q482" s="339" t="str">
        <f>IFERROR(VLOOKUP(ROWS($Q$3:Q482),$M$3:$N$992,2,0),"")</f>
        <v>Výroba pálených zdicích materiálů, tašek, dlaždic a podobných výrobků</v>
      </c>
      <c r="R482">
        <f>IF(ISNUMBER(SEARCH('1Př1'!$A$33,N482)),MAX($M$2:M481)+1,0)</f>
        <v>480</v>
      </c>
      <c r="S482" s="336" t="s">
        <v>2376</v>
      </c>
      <c r="T482" t="str">
        <f>IFERROR(VLOOKUP(ROWS($T$3:T482),$R$3:$S$992,2,0),"")</f>
        <v>Výroba pálených zdicích materiálů, tašek, dlaždic a podobných výrobků</v>
      </c>
      <c r="U482">
        <f>IF(ISNUMBER(SEARCH('1Př1'!$A$34,N482)),MAX($M$2:M481)+1,0)</f>
        <v>480</v>
      </c>
      <c r="V482" s="336" t="s">
        <v>2376</v>
      </c>
      <c r="W482" t="str">
        <f>IFERROR(VLOOKUP(ROWS($W$3:W482),$U$3:$V$992,2,0),"")</f>
        <v>Výroba pálených zdicích materiálů, tašek, dlaždic a podobných výrobků</v>
      </c>
      <c r="X482">
        <f>IF(ISNUMBER(SEARCH('1Př1'!$A$35,N482)),MAX($M$2:M481)+1,0)</f>
        <v>480</v>
      </c>
      <c r="Y482" s="336" t="s">
        <v>2376</v>
      </c>
      <c r="Z482" t="str">
        <f>IFERROR(VLOOKUP(ROWS($Z$3:Z482),$X$3:$Y$992,2,0),"")</f>
        <v>Výroba pálených zdicích materiálů, tašek, dlaždic a podobných výrobků</v>
      </c>
    </row>
    <row r="483" spans="13:26" ht="12.75">
      <c r="M483" s="335">
        <f>IF(ISNUMBER(SEARCH(ZAKL_DATA!$B$29,N483)),MAX($M$2:M482)+1,0)</f>
        <v>481</v>
      </c>
      <c r="N483" s="336" t="s">
        <v>2378</v>
      </c>
      <c r="O483" s="353" t="s">
        <v>2379</v>
      </c>
      <c r="P483" s="338"/>
      <c r="Q483" s="339" t="str">
        <f>IFERROR(VLOOKUP(ROWS($Q$3:Q483),$M$3:$N$992,2,0),"")</f>
        <v>Výroba keram.a porcelán.výrobků převážně pro domácnost a ozdob.předmětů</v>
      </c>
      <c r="R483">
        <f>IF(ISNUMBER(SEARCH('1Př1'!$A$33,N483)),MAX($M$2:M482)+1,0)</f>
        <v>481</v>
      </c>
      <c r="S483" s="336" t="s">
        <v>2378</v>
      </c>
      <c r="T483" t="str">
        <f>IFERROR(VLOOKUP(ROWS($T$3:T483),$R$3:$S$992,2,0),"")</f>
        <v>Výroba keram.a porcelán.výrobků převážně pro domácnost a ozdob.předmětů</v>
      </c>
      <c r="U483">
        <f>IF(ISNUMBER(SEARCH('1Př1'!$A$34,N483)),MAX($M$2:M482)+1,0)</f>
        <v>481</v>
      </c>
      <c r="V483" s="336" t="s">
        <v>2378</v>
      </c>
      <c r="W483" t="str">
        <f>IFERROR(VLOOKUP(ROWS($W$3:W483),$U$3:$V$992,2,0),"")</f>
        <v>Výroba keram.a porcelán.výrobků převážně pro domácnost a ozdob.předmětů</v>
      </c>
      <c r="X483">
        <f>IF(ISNUMBER(SEARCH('1Př1'!$A$35,N483)),MAX($M$2:M482)+1,0)</f>
        <v>481</v>
      </c>
      <c r="Y483" s="336" t="s">
        <v>2378</v>
      </c>
      <c r="Z483" t="str">
        <f>IFERROR(VLOOKUP(ROWS($Z$3:Z483),$X$3:$Y$992,2,0),"")</f>
        <v>Výroba keram.a porcelán.výrobků převážně pro domácnost a ozdob.předmětů</v>
      </c>
    </row>
    <row r="484" spans="13:26" ht="12.75">
      <c r="M484" s="335">
        <f>IF(ISNUMBER(SEARCH(ZAKL_DATA!$B$29,N484)),MAX($M$2:M483)+1,0)</f>
        <v>482</v>
      </c>
      <c r="N484" s="336" t="s">
        <v>2380</v>
      </c>
      <c r="O484" s="353" t="s">
        <v>2381</v>
      </c>
      <c r="P484" s="338"/>
      <c r="Q484" s="339" t="str">
        <f>IFERROR(VLOOKUP(ROWS($Q$3:Q484),$M$3:$N$992,2,0),"")</f>
        <v>Výroba keramických sanitárních výrobků</v>
      </c>
      <c r="R484">
        <f>IF(ISNUMBER(SEARCH('1Př1'!$A$33,N484)),MAX($M$2:M483)+1,0)</f>
        <v>482</v>
      </c>
      <c r="S484" s="336" t="s">
        <v>2380</v>
      </c>
      <c r="T484" t="str">
        <f>IFERROR(VLOOKUP(ROWS($T$3:T484),$R$3:$S$992,2,0),"")</f>
        <v>Výroba keramických sanitárních výrobků</v>
      </c>
      <c r="U484">
        <f>IF(ISNUMBER(SEARCH('1Př1'!$A$34,N484)),MAX($M$2:M483)+1,0)</f>
        <v>482</v>
      </c>
      <c r="V484" s="336" t="s">
        <v>2380</v>
      </c>
      <c r="W484" t="str">
        <f>IFERROR(VLOOKUP(ROWS($W$3:W484),$U$3:$V$992,2,0),"")</f>
        <v>Výroba keramických sanitárních výrobků</v>
      </c>
      <c r="X484">
        <f>IF(ISNUMBER(SEARCH('1Př1'!$A$35,N484)),MAX($M$2:M483)+1,0)</f>
        <v>482</v>
      </c>
      <c r="Y484" s="336" t="s">
        <v>2380</v>
      </c>
      <c r="Z484" t="str">
        <f>IFERROR(VLOOKUP(ROWS($Z$3:Z484),$X$3:$Y$992,2,0),"")</f>
        <v>Výroba keramických sanitárních výrobků</v>
      </c>
    </row>
    <row r="485" spans="13:26" ht="12.75">
      <c r="M485" s="335">
        <f>IF(ISNUMBER(SEARCH(ZAKL_DATA!$B$29,N485)),MAX($M$2:M484)+1,0)</f>
        <v>483</v>
      </c>
      <c r="N485" s="336" t="s">
        <v>2382</v>
      </c>
      <c r="O485" s="353" t="s">
        <v>2383</v>
      </c>
      <c r="P485" s="338"/>
      <c r="Q485" s="339" t="str">
        <f>IFERROR(VLOOKUP(ROWS($Q$3:Q485),$M$3:$N$992,2,0),"")</f>
        <v>Výroba keramických izolátorů a izolačního příslušenství</v>
      </c>
      <c r="R485">
        <f>IF(ISNUMBER(SEARCH('1Př1'!$A$33,N485)),MAX($M$2:M484)+1,0)</f>
        <v>483</v>
      </c>
      <c r="S485" s="336" t="s">
        <v>2382</v>
      </c>
      <c r="T485" t="str">
        <f>IFERROR(VLOOKUP(ROWS($T$3:T485),$R$3:$S$992,2,0),"")</f>
        <v>Výroba keramických izolátorů a izolačního příslušenství</v>
      </c>
      <c r="U485">
        <f>IF(ISNUMBER(SEARCH('1Př1'!$A$34,N485)),MAX($M$2:M484)+1,0)</f>
        <v>483</v>
      </c>
      <c r="V485" s="336" t="s">
        <v>2382</v>
      </c>
      <c r="W485" t="str">
        <f>IFERROR(VLOOKUP(ROWS($W$3:W485),$U$3:$V$992,2,0),"")</f>
        <v>Výroba keramických izolátorů a izolačního příslušenství</v>
      </c>
      <c r="X485">
        <f>IF(ISNUMBER(SEARCH('1Př1'!$A$35,N485)),MAX($M$2:M484)+1,0)</f>
        <v>483</v>
      </c>
      <c r="Y485" s="336" t="s">
        <v>2382</v>
      </c>
      <c r="Z485" t="str">
        <f>IFERROR(VLOOKUP(ROWS($Z$3:Z485),$X$3:$Y$992,2,0),"")</f>
        <v>Výroba keramických izolátorů a izolačního příslušenství</v>
      </c>
    </row>
    <row r="486" spans="13:26" ht="12.75">
      <c r="M486" s="335">
        <f>IF(ISNUMBER(SEARCH(ZAKL_DATA!$B$29,N486)),MAX($M$2:M485)+1,0)</f>
        <v>484</v>
      </c>
      <c r="N486" s="336" t="s">
        <v>2384</v>
      </c>
      <c r="O486" s="353" t="s">
        <v>2385</v>
      </c>
      <c r="P486" s="338"/>
      <c r="Q486" s="339" t="str">
        <f>IFERROR(VLOOKUP(ROWS($Q$3:Q486),$M$3:$N$992,2,0),"")</f>
        <v>Výroba ostatních technických keramických výrobků</v>
      </c>
      <c r="R486">
        <f>IF(ISNUMBER(SEARCH('1Př1'!$A$33,N486)),MAX($M$2:M485)+1,0)</f>
        <v>484</v>
      </c>
      <c r="S486" s="336" t="s">
        <v>2384</v>
      </c>
      <c r="T486" t="str">
        <f>IFERROR(VLOOKUP(ROWS($T$3:T486),$R$3:$S$992,2,0),"")</f>
        <v>Výroba ostatních technických keramických výrobků</v>
      </c>
      <c r="U486">
        <f>IF(ISNUMBER(SEARCH('1Př1'!$A$34,N486)),MAX($M$2:M485)+1,0)</f>
        <v>484</v>
      </c>
      <c r="V486" s="336" t="s">
        <v>2384</v>
      </c>
      <c r="W486" t="str">
        <f>IFERROR(VLOOKUP(ROWS($W$3:W486),$U$3:$V$992,2,0),"")</f>
        <v>Výroba ostatních technických keramických výrobků</v>
      </c>
      <c r="X486">
        <f>IF(ISNUMBER(SEARCH('1Př1'!$A$35,N486)),MAX($M$2:M485)+1,0)</f>
        <v>484</v>
      </c>
      <c r="Y486" s="336" t="s">
        <v>2384</v>
      </c>
      <c r="Z486" t="str">
        <f>IFERROR(VLOOKUP(ROWS($Z$3:Z486),$X$3:$Y$992,2,0),"")</f>
        <v>Výroba ostatních technických keramických výrobků</v>
      </c>
    </row>
    <row r="487" spans="13:26" ht="12.75">
      <c r="M487" s="335">
        <f>IF(ISNUMBER(SEARCH(ZAKL_DATA!$B$29,N487)),MAX($M$2:M486)+1,0)</f>
        <v>485</v>
      </c>
      <c r="N487" s="336" t="s">
        <v>2386</v>
      </c>
      <c r="O487" s="353" t="s">
        <v>2387</v>
      </c>
      <c r="P487" s="338"/>
      <c r="Q487" s="339" t="str">
        <f>IFERROR(VLOOKUP(ROWS($Q$3:Q487),$M$3:$N$992,2,0),"")</f>
        <v>Výroba ostatních keramických výrobků</v>
      </c>
      <c r="R487">
        <f>IF(ISNUMBER(SEARCH('1Př1'!$A$33,N487)),MAX($M$2:M486)+1,0)</f>
        <v>485</v>
      </c>
      <c r="S487" s="336" t="s">
        <v>2386</v>
      </c>
      <c r="T487" t="str">
        <f>IFERROR(VLOOKUP(ROWS($T$3:T487),$R$3:$S$992,2,0),"")</f>
        <v>Výroba ostatních keramických výrobků</v>
      </c>
      <c r="U487">
        <f>IF(ISNUMBER(SEARCH('1Př1'!$A$34,N487)),MAX($M$2:M486)+1,0)</f>
        <v>485</v>
      </c>
      <c r="V487" s="336" t="s">
        <v>2386</v>
      </c>
      <c r="W487" t="str">
        <f>IFERROR(VLOOKUP(ROWS($W$3:W487),$U$3:$V$992,2,0),"")</f>
        <v>Výroba ostatních keramických výrobků</v>
      </c>
      <c r="X487">
        <f>IF(ISNUMBER(SEARCH('1Př1'!$A$35,N487)),MAX($M$2:M486)+1,0)</f>
        <v>485</v>
      </c>
      <c r="Y487" s="336" t="s">
        <v>2386</v>
      </c>
      <c r="Z487" t="str">
        <f>IFERROR(VLOOKUP(ROWS($Z$3:Z487),$X$3:$Y$992,2,0),"")</f>
        <v>Výroba ostatních keramických výrobků</v>
      </c>
    </row>
    <row r="488" spans="13:26" ht="12.75">
      <c r="M488" s="335">
        <f>IF(ISNUMBER(SEARCH(ZAKL_DATA!$B$29,N488)),MAX($M$2:M487)+1,0)</f>
        <v>486</v>
      </c>
      <c r="N488" s="336" t="s">
        <v>2388</v>
      </c>
      <c r="O488" s="353" t="s">
        <v>2389</v>
      </c>
      <c r="P488" s="338"/>
      <c r="Q488" s="339" t="str">
        <f>IFERROR(VLOOKUP(ROWS($Q$3:Q488),$M$3:$N$992,2,0),"")</f>
        <v>Výroba cementu</v>
      </c>
      <c r="R488">
        <f>IF(ISNUMBER(SEARCH('1Př1'!$A$33,N488)),MAX($M$2:M487)+1,0)</f>
        <v>486</v>
      </c>
      <c r="S488" s="336" t="s">
        <v>2388</v>
      </c>
      <c r="T488" t="str">
        <f>IFERROR(VLOOKUP(ROWS($T$3:T488),$R$3:$S$992,2,0),"")</f>
        <v>Výroba cementu</v>
      </c>
      <c r="U488">
        <f>IF(ISNUMBER(SEARCH('1Př1'!$A$34,N488)),MAX($M$2:M487)+1,0)</f>
        <v>486</v>
      </c>
      <c r="V488" s="336" t="s">
        <v>2388</v>
      </c>
      <c r="W488" t="str">
        <f>IFERROR(VLOOKUP(ROWS($W$3:W488),$U$3:$V$992,2,0),"")</f>
        <v>Výroba cementu</v>
      </c>
      <c r="X488">
        <f>IF(ISNUMBER(SEARCH('1Př1'!$A$35,N488)),MAX($M$2:M487)+1,0)</f>
        <v>486</v>
      </c>
      <c r="Y488" s="336" t="s">
        <v>2388</v>
      </c>
      <c r="Z488" t="str">
        <f>IFERROR(VLOOKUP(ROWS($Z$3:Z488),$X$3:$Y$992,2,0),"")</f>
        <v>Výroba cementu</v>
      </c>
    </row>
    <row r="489" spans="13:26" ht="12.75">
      <c r="M489" s="335">
        <f>IF(ISNUMBER(SEARCH(ZAKL_DATA!$B$29,N489)),MAX($M$2:M488)+1,0)</f>
        <v>487</v>
      </c>
      <c r="N489" s="336" t="s">
        <v>2390</v>
      </c>
      <c r="O489" s="353" t="s">
        <v>2391</v>
      </c>
      <c r="P489" s="338"/>
      <c r="Q489" s="339" t="str">
        <f>IFERROR(VLOOKUP(ROWS($Q$3:Q489),$M$3:$N$992,2,0),"")</f>
        <v>Výroba vápna a sádry</v>
      </c>
      <c r="R489">
        <f>IF(ISNUMBER(SEARCH('1Př1'!$A$33,N489)),MAX($M$2:M488)+1,0)</f>
        <v>487</v>
      </c>
      <c r="S489" s="336" t="s">
        <v>2390</v>
      </c>
      <c r="T489" t="str">
        <f>IFERROR(VLOOKUP(ROWS($T$3:T489),$R$3:$S$992,2,0),"")</f>
        <v>Výroba vápna a sádry</v>
      </c>
      <c r="U489">
        <f>IF(ISNUMBER(SEARCH('1Př1'!$A$34,N489)),MAX($M$2:M488)+1,0)</f>
        <v>487</v>
      </c>
      <c r="V489" s="336" t="s">
        <v>2390</v>
      </c>
      <c r="W489" t="str">
        <f>IFERROR(VLOOKUP(ROWS($W$3:W489),$U$3:$V$992,2,0),"")</f>
        <v>Výroba vápna a sádry</v>
      </c>
      <c r="X489">
        <f>IF(ISNUMBER(SEARCH('1Př1'!$A$35,N489)),MAX($M$2:M488)+1,0)</f>
        <v>487</v>
      </c>
      <c r="Y489" s="336" t="s">
        <v>2390</v>
      </c>
      <c r="Z489" t="str">
        <f>IFERROR(VLOOKUP(ROWS($Z$3:Z489),$X$3:$Y$992,2,0),"")</f>
        <v>Výroba vápna a sádry</v>
      </c>
    </row>
    <row r="490" spans="13:26" ht="12.75">
      <c r="M490" s="335">
        <f>IF(ISNUMBER(SEARCH(ZAKL_DATA!$B$29,N490)),MAX($M$2:M489)+1,0)</f>
        <v>488</v>
      </c>
      <c r="N490" s="336" t="s">
        <v>2392</v>
      </c>
      <c r="O490" s="353" t="s">
        <v>2393</v>
      </c>
      <c r="P490" s="338"/>
      <c r="Q490" s="339" t="str">
        <f>IFERROR(VLOOKUP(ROWS($Q$3:Q490),$M$3:$N$992,2,0),"")</f>
        <v>Výroba betonových výrobků pro stavební účely</v>
      </c>
      <c r="R490">
        <f>IF(ISNUMBER(SEARCH('1Př1'!$A$33,N490)),MAX($M$2:M489)+1,0)</f>
        <v>488</v>
      </c>
      <c r="S490" s="336" t="s">
        <v>2392</v>
      </c>
      <c r="T490" t="str">
        <f>IFERROR(VLOOKUP(ROWS($T$3:T490),$R$3:$S$992,2,0),"")</f>
        <v>Výroba betonových výrobků pro stavební účely</v>
      </c>
      <c r="U490">
        <f>IF(ISNUMBER(SEARCH('1Př1'!$A$34,N490)),MAX($M$2:M489)+1,0)</f>
        <v>488</v>
      </c>
      <c r="V490" s="336" t="s">
        <v>2392</v>
      </c>
      <c r="W490" t="str">
        <f>IFERROR(VLOOKUP(ROWS($W$3:W490),$U$3:$V$992,2,0),"")</f>
        <v>Výroba betonových výrobků pro stavební účely</v>
      </c>
      <c r="X490">
        <f>IF(ISNUMBER(SEARCH('1Př1'!$A$35,N490)),MAX($M$2:M489)+1,0)</f>
        <v>488</v>
      </c>
      <c r="Y490" s="336" t="s">
        <v>2392</v>
      </c>
      <c r="Z490" t="str">
        <f>IFERROR(VLOOKUP(ROWS($Z$3:Z490),$X$3:$Y$992,2,0),"")</f>
        <v>Výroba betonových výrobků pro stavební účely</v>
      </c>
    </row>
    <row r="491" spans="13:26" ht="12.75">
      <c r="M491" s="335">
        <f>IF(ISNUMBER(SEARCH(ZAKL_DATA!$B$29,N491)),MAX($M$2:M490)+1,0)</f>
        <v>489</v>
      </c>
      <c r="N491" s="336" t="s">
        <v>2394</v>
      </c>
      <c r="O491" s="353" t="s">
        <v>2395</v>
      </c>
      <c r="P491" s="338"/>
      <c r="Q491" s="339" t="str">
        <f>IFERROR(VLOOKUP(ROWS($Q$3:Q491),$M$3:$N$992,2,0),"")</f>
        <v>Výroba sádrových výrobků pro stavební účely</v>
      </c>
      <c r="R491">
        <f>IF(ISNUMBER(SEARCH('1Př1'!$A$33,N491)),MAX($M$2:M490)+1,0)</f>
        <v>489</v>
      </c>
      <c r="S491" s="336" t="s">
        <v>2394</v>
      </c>
      <c r="T491" t="str">
        <f>IFERROR(VLOOKUP(ROWS($T$3:T491),$R$3:$S$992,2,0),"")</f>
        <v>Výroba sádrových výrobků pro stavební účely</v>
      </c>
      <c r="U491">
        <f>IF(ISNUMBER(SEARCH('1Př1'!$A$34,N491)),MAX($M$2:M490)+1,0)</f>
        <v>489</v>
      </c>
      <c r="V491" s="336" t="s">
        <v>2394</v>
      </c>
      <c r="W491" t="str">
        <f>IFERROR(VLOOKUP(ROWS($W$3:W491),$U$3:$V$992,2,0),"")</f>
        <v>Výroba sádrových výrobků pro stavební účely</v>
      </c>
      <c r="X491">
        <f>IF(ISNUMBER(SEARCH('1Př1'!$A$35,N491)),MAX($M$2:M490)+1,0)</f>
        <v>489</v>
      </c>
      <c r="Y491" s="336" t="s">
        <v>2394</v>
      </c>
      <c r="Z491" t="str">
        <f>IFERROR(VLOOKUP(ROWS($Z$3:Z491),$X$3:$Y$992,2,0),"")</f>
        <v>Výroba sádrových výrobků pro stavební účely</v>
      </c>
    </row>
    <row r="492" spans="13:26" ht="12.75">
      <c r="M492" s="335">
        <f>IF(ISNUMBER(SEARCH(ZAKL_DATA!$B$29,N492)),MAX($M$2:M491)+1,0)</f>
        <v>490</v>
      </c>
      <c r="N492" s="336" t="s">
        <v>2396</v>
      </c>
      <c r="O492" s="353" t="s">
        <v>2397</v>
      </c>
      <c r="P492" s="338"/>
      <c r="Q492" s="339" t="str">
        <f>IFERROR(VLOOKUP(ROWS($Q$3:Q492),$M$3:$N$992,2,0),"")</f>
        <v>Výroba betonu připraveného k lití</v>
      </c>
      <c r="R492">
        <f>IF(ISNUMBER(SEARCH('1Př1'!$A$33,N492)),MAX($M$2:M491)+1,0)</f>
        <v>490</v>
      </c>
      <c r="S492" s="336" t="s">
        <v>2396</v>
      </c>
      <c r="T492" t="str">
        <f>IFERROR(VLOOKUP(ROWS($T$3:T492),$R$3:$S$992,2,0),"")</f>
        <v>Výroba betonu připraveného k lití</v>
      </c>
      <c r="U492">
        <f>IF(ISNUMBER(SEARCH('1Př1'!$A$34,N492)),MAX($M$2:M491)+1,0)</f>
        <v>490</v>
      </c>
      <c r="V492" s="336" t="s">
        <v>2396</v>
      </c>
      <c r="W492" t="str">
        <f>IFERROR(VLOOKUP(ROWS($W$3:W492),$U$3:$V$992,2,0),"")</f>
        <v>Výroba betonu připraveného k lití</v>
      </c>
      <c r="X492">
        <f>IF(ISNUMBER(SEARCH('1Př1'!$A$35,N492)),MAX($M$2:M491)+1,0)</f>
        <v>490</v>
      </c>
      <c r="Y492" s="336" t="s">
        <v>2396</v>
      </c>
      <c r="Z492" t="str">
        <f>IFERROR(VLOOKUP(ROWS($Z$3:Z492),$X$3:$Y$992,2,0),"")</f>
        <v>Výroba betonu připraveného k lití</v>
      </c>
    </row>
    <row r="493" spans="13:26" ht="12.75">
      <c r="M493" s="335">
        <f>IF(ISNUMBER(SEARCH(ZAKL_DATA!$B$29,N493)),MAX($M$2:M492)+1,0)</f>
        <v>491</v>
      </c>
      <c r="N493" s="336" t="s">
        <v>2398</v>
      </c>
      <c r="O493" s="353" t="s">
        <v>2399</v>
      </c>
      <c r="P493" s="338"/>
      <c r="Q493" s="339" t="str">
        <f>IFERROR(VLOOKUP(ROWS($Q$3:Q493),$M$3:$N$992,2,0),"")</f>
        <v>Výroba malt</v>
      </c>
      <c r="R493">
        <f>IF(ISNUMBER(SEARCH('1Př1'!$A$33,N493)),MAX($M$2:M492)+1,0)</f>
        <v>491</v>
      </c>
      <c r="S493" s="336" t="s">
        <v>2398</v>
      </c>
      <c r="T493" t="str">
        <f>IFERROR(VLOOKUP(ROWS($T$3:T493),$R$3:$S$992,2,0),"")</f>
        <v>Výroba malt</v>
      </c>
      <c r="U493">
        <f>IF(ISNUMBER(SEARCH('1Př1'!$A$34,N493)),MAX($M$2:M492)+1,0)</f>
        <v>491</v>
      </c>
      <c r="V493" s="336" t="s">
        <v>2398</v>
      </c>
      <c r="W493" t="str">
        <f>IFERROR(VLOOKUP(ROWS($W$3:W493),$U$3:$V$992,2,0),"")</f>
        <v>Výroba malt</v>
      </c>
      <c r="X493">
        <f>IF(ISNUMBER(SEARCH('1Př1'!$A$35,N493)),MAX($M$2:M492)+1,0)</f>
        <v>491</v>
      </c>
      <c r="Y493" s="336" t="s">
        <v>2398</v>
      </c>
      <c r="Z493" t="str">
        <f>IFERROR(VLOOKUP(ROWS($Z$3:Z493),$X$3:$Y$992,2,0),"")</f>
        <v>Výroba malt</v>
      </c>
    </row>
    <row r="494" spans="13:26" ht="12.75">
      <c r="M494" s="335">
        <f>IF(ISNUMBER(SEARCH(ZAKL_DATA!$B$29,N494)),MAX($M$2:M493)+1,0)</f>
        <v>492</v>
      </c>
      <c r="N494" s="336" t="s">
        <v>2400</v>
      </c>
      <c r="O494" s="353" t="s">
        <v>2401</v>
      </c>
      <c r="P494" s="338"/>
      <c r="Q494" s="339" t="str">
        <f>IFERROR(VLOOKUP(ROWS($Q$3:Q494),$M$3:$N$992,2,0),"")</f>
        <v>Výroba vláknitých cementů</v>
      </c>
      <c r="R494">
        <f>IF(ISNUMBER(SEARCH('1Př1'!$A$33,N494)),MAX($M$2:M493)+1,0)</f>
        <v>492</v>
      </c>
      <c r="S494" s="336" t="s">
        <v>2400</v>
      </c>
      <c r="T494" t="str">
        <f>IFERROR(VLOOKUP(ROWS($T$3:T494),$R$3:$S$992,2,0),"")</f>
        <v>Výroba vláknitých cementů</v>
      </c>
      <c r="U494">
        <f>IF(ISNUMBER(SEARCH('1Př1'!$A$34,N494)),MAX($M$2:M493)+1,0)</f>
        <v>492</v>
      </c>
      <c r="V494" s="336" t="s">
        <v>2400</v>
      </c>
      <c r="W494" t="str">
        <f>IFERROR(VLOOKUP(ROWS($W$3:W494),$U$3:$V$992,2,0),"")</f>
        <v>Výroba vláknitých cementů</v>
      </c>
      <c r="X494">
        <f>IF(ISNUMBER(SEARCH('1Př1'!$A$35,N494)),MAX($M$2:M493)+1,0)</f>
        <v>492</v>
      </c>
      <c r="Y494" s="336" t="s">
        <v>2400</v>
      </c>
      <c r="Z494" t="str">
        <f>IFERROR(VLOOKUP(ROWS($Z$3:Z494),$X$3:$Y$992,2,0),"")</f>
        <v>Výroba vláknitých cementů</v>
      </c>
    </row>
    <row r="495" spans="13:26" ht="12.75">
      <c r="M495" s="335">
        <f>IF(ISNUMBER(SEARCH(ZAKL_DATA!$B$29,N495)),MAX($M$2:M494)+1,0)</f>
        <v>493</v>
      </c>
      <c r="N495" s="336" t="s">
        <v>2402</v>
      </c>
      <c r="O495" s="353" t="s">
        <v>2403</v>
      </c>
      <c r="P495" s="338"/>
      <c r="Q495" s="339" t="str">
        <f>IFERROR(VLOOKUP(ROWS($Q$3:Q495),$M$3:$N$992,2,0),"")</f>
        <v>Výroba ostatních betonových, cementových a sádrových výrobků</v>
      </c>
      <c r="R495">
        <f>IF(ISNUMBER(SEARCH('1Př1'!$A$33,N495)),MAX($M$2:M494)+1,0)</f>
        <v>493</v>
      </c>
      <c r="S495" s="336" t="s">
        <v>2402</v>
      </c>
      <c r="T495" t="str">
        <f>IFERROR(VLOOKUP(ROWS($T$3:T495),$R$3:$S$992,2,0),"")</f>
        <v>Výroba ostatních betonových, cementových a sádrových výrobků</v>
      </c>
      <c r="U495">
        <f>IF(ISNUMBER(SEARCH('1Př1'!$A$34,N495)),MAX($M$2:M494)+1,0)</f>
        <v>493</v>
      </c>
      <c r="V495" s="336" t="s">
        <v>2402</v>
      </c>
      <c r="W495" t="str">
        <f>IFERROR(VLOOKUP(ROWS($W$3:W495),$U$3:$V$992,2,0),"")</f>
        <v>Výroba ostatních betonových, cementových a sádrových výrobků</v>
      </c>
      <c r="X495">
        <f>IF(ISNUMBER(SEARCH('1Př1'!$A$35,N495)),MAX($M$2:M494)+1,0)</f>
        <v>493</v>
      </c>
      <c r="Y495" s="336" t="s">
        <v>2402</v>
      </c>
      <c r="Z495" t="str">
        <f>IFERROR(VLOOKUP(ROWS($Z$3:Z495),$X$3:$Y$992,2,0),"")</f>
        <v>Výroba ostatních betonových, cementových a sádrových výrobků</v>
      </c>
    </row>
    <row r="496" spans="13:26" ht="12.75">
      <c r="M496" s="335">
        <f>IF(ISNUMBER(SEARCH(ZAKL_DATA!$B$29,N496)),MAX($M$2:M495)+1,0)</f>
        <v>494</v>
      </c>
      <c r="N496" s="336" t="s">
        <v>2404</v>
      </c>
      <c r="O496" s="353" t="s">
        <v>2405</v>
      </c>
      <c r="P496" s="338"/>
      <c r="Q496" s="339" t="str">
        <f>IFERROR(VLOOKUP(ROWS($Q$3:Q496),$M$3:$N$992,2,0),"")</f>
        <v>Výroba brusiv</v>
      </c>
      <c r="R496">
        <f>IF(ISNUMBER(SEARCH('1Př1'!$A$33,N496)),MAX($M$2:M495)+1,0)</f>
        <v>494</v>
      </c>
      <c r="S496" s="336" t="s">
        <v>2404</v>
      </c>
      <c r="T496" t="str">
        <f>IFERROR(VLOOKUP(ROWS($T$3:T496),$R$3:$S$992,2,0),"")</f>
        <v>Výroba brusiv</v>
      </c>
      <c r="U496">
        <f>IF(ISNUMBER(SEARCH('1Př1'!$A$34,N496)),MAX($M$2:M495)+1,0)</f>
        <v>494</v>
      </c>
      <c r="V496" s="336" t="s">
        <v>2404</v>
      </c>
      <c r="W496" t="str">
        <f>IFERROR(VLOOKUP(ROWS($W$3:W496),$U$3:$V$992,2,0),"")</f>
        <v>Výroba brusiv</v>
      </c>
      <c r="X496">
        <f>IF(ISNUMBER(SEARCH('1Př1'!$A$35,N496)),MAX($M$2:M495)+1,0)</f>
        <v>494</v>
      </c>
      <c r="Y496" s="336" t="s">
        <v>2404</v>
      </c>
      <c r="Z496" t="str">
        <f>IFERROR(VLOOKUP(ROWS($Z$3:Z496),$X$3:$Y$992,2,0),"")</f>
        <v>Výroba brusiv</v>
      </c>
    </row>
    <row r="497" spans="13:26" ht="12.75">
      <c r="M497" s="335">
        <f>IF(ISNUMBER(SEARCH(ZAKL_DATA!$B$29,N497)),MAX($M$2:M496)+1,0)</f>
        <v>495</v>
      </c>
      <c r="N497" s="336" t="s">
        <v>2406</v>
      </c>
      <c r="O497" s="353" t="s">
        <v>2407</v>
      </c>
      <c r="P497" s="338"/>
      <c r="Q497" s="339" t="str">
        <f>IFERROR(VLOOKUP(ROWS($Q$3:Q497),$M$3:$N$992,2,0),"")</f>
        <v>Výroba ostatních nekovových minerálních výrobků j.n.</v>
      </c>
      <c r="R497">
        <f>IF(ISNUMBER(SEARCH('1Př1'!$A$33,N497)),MAX($M$2:M496)+1,0)</f>
        <v>495</v>
      </c>
      <c r="S497" s="336" t="s">
        <v>2406</v>
      </c>
      <c r="T497" t="str">
        <f>IFERROR(VLOOKUP(ROWS($T$3:T497),$R$3:$S$992,2,0),"")</f>
        <v>Výroba ostatních nekovových minerálních výrobků j.n.</v>
      </c>
      <c r="U497">
        <f>IF(ISNUMBER(SEARCH('1Př1'!$A$34,N497)),MAX($M$2:M496)+1,0)</f>
        <v>495</v>
      </c>
      <c r="V497" s="336" t="s">
        <v>2406</v>
      </c>
      <c r="W497" t="str">
        <f>IFERROR(VLOOKUP(ROWS($W$3:W497),$U$3:$V$992,2,0),"")</f>
        <v>Výroba ostatních nekovových minerálních výrobků j.n.</v>
      </c>
      <c r="X497">
        <f>IF(ISNUMBER(SEARCH('1Př1'!$A$35,N497)),MAX($M$2:M496)+1,0)</f>
        <v>495</v>
      </c>
      <c r="Y497" s="336" t="s">
        <v>2406</v>
      </c>
      <c r="Z497" t="str">
        <f>IFERROR(VLOOKUP(ROWS($Z$3:Z497),$X$3:$Y$992,2,0),"")</f>
        <v>Výroba ostatních nekovových minerálních výrobků j.n.</v>
      </c>
    </row>
    <row r="498" spans="13:26" ht="12.75">
      <c r="M498" s="335">
        <f>IF(ISNUMBER(SEARCH(ZAKL_DATA!$B$29,N498)),MAX($M$2:M497)+1,0)</f>
        <v>496</v>
      </c>
      <c r="N498" s="336" t="s">
        <v>2408</v>
      </c>
      <c r="O498" s="353" t="s">
        <v>2409</v>
      </c>
      <c r="P498" s="338"/>
      <c r="Q498" s="339" t="str">
        <f>IFERROR(VLOOKUP(ROWS($Q$3:Q498),$M$3:$N$992,2,0),"")</f>
        <v>Tažení tyčí za studena</v>
      </c>
      <c r="R498">
        <f>IF(ISNUMBER(SEARCH('1Př1'!$A$33,N498)),MAX($M$2:M497)+1,0)</f>
        <v>496</v>
      </c>
      <c r="S498" s="336" t="s">
        <v>2408</v>
      </c>
      <c r="T498" t="str">
        <f>IFERROR(VLOOKUP(ROWS($T$3:T498),$R$3:$S$992,2,0),"")</f>
        <v>Tažení tyčí za studena</v>
      </c>
      <c r="U498">
        <f>IF(ISNUMBER(SEARCH('1Př1'!$A$34,N498)),MAX($M$2:M497)+1,0)</f>
        <v>496</v>
      </c>
      <c r="V498" s="336" t="s">
        <v>2408</v>
      </c>
      <c r="W498" t="str">
        <f>IFERROR(VLOOKUP(ROWS($W$3:W498),$U$3:$V$992,2,0),"")</f>
        <v>Tažení tyčí za studena</v>
      </c>
      <c r="X498">
        <f>IF(ISNUMBER(SEARCH('1Př1'!$A$35,N498)),MAX($M$2:M497)+1,0)</f>
        <v>496</v>
      </c>
      <c r="Y498" s="336" t="s">
        <v>2408</v>
      </c>
      <c r="Z498" t="str">
        <f>IFERROR(VLOOKUP(ROWS($Z$3:Z498),$X$3:$Y$992,2,0),"")</f>
        <v>Tažení tyčí za studena</v>
      </c>
    </row>
    <row r="499" spans="13:26" ht="12.75">
      <c r="M499" s="335">
        <f>IF(ISNUMBER(SEARCH(ZAKL_DATA!$B$29,N499)),MAX($M$2:M498)+1,0)</f>
        <v>497</v>
      </c>
      <c r="N499" s="336" t="s">
        <v>2410</v>
      </c>
      <c r="O499" s="353" t="s">
        <v>2411</v>
      </c>
      <c r="P499" s="338"/>
      <c r="Q499" s="339" t="str">
        <f>IFERROR(VLOOKUP(ROWS($Q$3:Q499),$M$3:$N$992,2,0),"")</f>
        <v>Válcování ocelových úzkých pásů za studena</v>
      </c>
      <c r="R499">
        <f>IF(ISNUMBER(SEARCH('1Př1'!$A$33,N499)),MAX($M$2:M498)+1,0)</f>
        <v>497</v>
      </c>
      <c r="S499" s="336" t="s">
        <v>2410</v>
      </c>
      <c r="T499" t="str">
        <f>IFERROR(VLOOKUP(ROWS($T$3:T499),$R$3:$S$992,2,0),"")</f>
        <v>Válcování ocelových úzkých pásů za studena</v>
      </c>
      <c r="U499">
        <f>IF(ISNUMBER(SEARCH('1Př1'!$A$34,N499)),MAX($M$2:M498)+1,0)</f>
        <v>497</v>
      </c>
      <c r="V499" s="336" t="s">
        <v>2410</v>
      </c>
      <c r="W499" t="str">
        <f>IFERROR(VLOOKUP(ROWS($W$3:W499),$U$3:$V$992,2,0),"")</f>
        <v>Válcování ocelových úzkých pásů za studena</v>
      </c>
      <c r="X499">
        <f>IF(ISNUMBER(SEARCH('1Př1'!$A$35,N499)),MAX($M$2:M498)+1,0)</f>
        <v>497</v>
      </c>
      <c r="Y499" s="336" t="s">
        <v>2410</v>
      </c>
      <c r="Z499" t="str">
        <f>IFERROR(VLOOKUP(ROWS($Z$3:Z499),$X$3:$Y$992,2,0),"")</f>
        <v>Válcování ocelových úzkých pásů za studena</v>
      </c>
    </row>
    <row r="500" spans="13:26" ht="12.75">
      <c r="M500" s="335">
        <f>IF(ISNUMBER(SEARCH(ZAKL_DATA!$B$29,N500)),MAX($M$2:M499)+1,0)</f>
        <v>498</v>
      </c>
      <c r="N500" s="336" t="s">
        <v>2412</v>
      </c>
      <c r="O500" s="353" t="s">
        <v>2413</v>
      </c>
      <c r="P500" s="338"/>
      <c r="Q500" s="339" t="str">
        <f>IFERROR(VLOOKUP(ROWS($Q$3:Q500),$M$3:$N$992,2,0),"")</f>
        <v>Tváření ocelových profilů za studena</v>
      </c>
      <c r="R500">
        <f>IF(ISNUMBER(SEARCH('1Př1'!$A$33,N500)),MAX($M$2:M499)+1,0)</f>
        <v>498</v>
      </c>
      <c r="S500" s="336" t="s">
        <v>2412</v>
      </c>
      <c r="T500" t="str">
        <f>IFERROR(VLOOKUP(ROWS($T$3:T500),$R$3:$S$992,2,0),"")</f>
        <v>Tváření ocelových profilů za studena</v>
      </c>
      <c r="U500">
        <f>IF(ISNUMBER(SEARCH('1Př1'!$A$34,N500)),MAX($M$2:M499)+1,0)</f>
        <v>498</v>
      </c>
      <c r="V500" s="336" t="s">
        <v>2412</v>
      </c>
      <c r="W500" t="str">
        <f>IFERROR(VLOOKUP(ROWS($W$3:W500),$U$3:$V$992,2,0),"")</f>
        <v>Tváření ocelových profilů za studena</v>
      </c>
      <c r="X500">
        <f>IF(ISNUMBER(SEARCH('1Př1'!$A$35,N500)),MAX($M$2:M499)+1,0)</f>
        <v>498</v>
      </c>
      <c r="Y500" s="336" t="s">
        <v>2412</v>
      </c>
      <c r="Z500" t="str">
        <f>IFERROR(VLOOKUP(ROWS($Z$3:Z500),$X$3:$Y$992,2,0),"")</f>
        <v>Tváření ocelových profilů za studena</v>
      </c>
    </row>
    <row r="501" spans="13:26" ht="12.75">
      <c r="M501" s="335">
        <f>IF(ISNUMBER(SEARCH(ZAKL_DATA!$B$29,N501)),MAX($M$2:M500)+1,0)</f>
        <v>499</v>
      </c>
      <c r="N501" s="336" t="s">
        <v>2414</v>
      </c>
      <c r="O501" s="353" t="s">
        <v>2415</v>
      </c>
      <c r="P501" s="338"/>
      <c r="Q501" s="339" t="str">
        <f>IFERROR(VLOOKUP(ROWS($Q$3:Q501),$M$3:$N$992,2,0),"")</f>
        <v>Tažení ocelového drátu za studena</v>
      </c>
      <c r="R501">
        <f>IF(ISNUMBER(SEARCH('1Př1'!$A$33,N501)),MAX($M$2:M500)+1,0)</f>
        <v>499</v>
      </c>
      <c r="S501" s="336" t="s">
        <v>2414</v>
      </c>
      <c r="T501" t="str">
        <f>IFERROR(VLOOKUP(ROWS($T$3:T501),$R$3:$S$992,2,0),"")</f>
        <v>Tažení ocelového drátu za studena</v>
      </c>
      <c r="U501">
        <f>IF(ISNUMBER(SEARCH('1Př1'!$A$34,N501)),MAX($M$2:M500)+1,0)</f>
        <v>499</v>
      </c>
      <c r="V501" s="336" t="s">
        <v>2414</v>
      </c>
      <c r="W501" t="str">
        <f>IFERROR(VLOOKUP(ROWS($W$3:W501),$U$3:$V$992,2,0),"")</f>
        <v>Tažení ocelového drátu za studena</v>
      </c>
      <c r="X501">
        <f>IF(ISNUMBER(SEARCH('1Př1'!$A$35,N501)),MAX($M$2:M500)+1,0)</f>
        <v>499</v>
      </c>
      <c r="Y501" s="336" t="s">
        <v>2414</v>
      </c>
      <c r="Z501" t="str">
        <f>IFERROR(VLOOKUP(ROWS($Z$3:Z501),$X$3:$Y$992,2,0),"")</f>
        <v>Tažení ocelového drátu za studena</v>
      </c>
    </row>
    <row r="502" spans="13:26" ht="12.75">
      <c r="M502" s="335">
        <f>IF(ISNUMBER(SEARCH(ZAKL_DATA!$B$29,N502)),MAX($M$2:M501)+1,0)</f>
        <v>500</v>
      </c>
      <c r="N502" s="336" t="s">
        <v>2416</v>
      </c>
      <c r="O502" s="353" t="s">
        <v>2417</v>
      </c>
      <c r="P502" s="338"/>
      <c r="Q502" s="339" t="str">
        <f>IFERROR(VLOOKUP(ROWS($Q$3:Q502),$M$3:$N$992,2,0),"")</f>
        <v>Výroba a hutní zpracování drahých kovů</v>
      </c>
      <c r="R502">
        <f>IF(ISNUMBER(SEARCH('1Př1'!$A$33,N502)),MAX($M$2:M501)+1,0)</f>
        <v>500</v>
      </c>
      <c r="S502" s="336" t="s">
        <v>2416</v>
      </c>
      <c r="T502" t="str">
        <f>IFERROR(VLOOKUP(ROWS($T$3:T502),$R$3:$S$992,2,0),"")</f>
        <v>Výroba a hutní zpracování drahých kovů</v>
      </c>
      <c r="U502">
        <f>IF(ISNUMBER(SEARCH('1Př1'!$A$34,N502)),MAX($M$2:M501)+1,0)</f>
        <v>500</v>
      </c>
      <c r="V502" s="336" t="s">
        <v>2416</v>
      </c>
      <c r="W502" t="str">
        <f>IFERROR(VLOOKUP(ROWS($W$3:W502),$U$3:$V$992,2,0),"")</f>
        <v>Výroba a hutní zpracování drahých kovů</v>
      </c>
      <c r="X502">
        <f>IF(ISNUMBER(SEARCH('1Př1'!$A$35,N502)),MAX($M$2:M501)+1,0)</f>
        <v>500</v>
      </c>
      <c r="Y502" s="336" t="s">
        <v>2416</v>
      </c>
      <c r="Z502" t="str">
        <f>IFERROR(VLOOKUP(ROWS($Z$3:Z502),$X$3:$Y$992,2,0),"")</f>
        <v>Výroba a hutní zpracování drahých kovů</v>
      </c>
    </row>
    <row r="503" spans="13:26" ht="12.75">
      <c r="M503" s="335">
        <f>IF(ISNUMBER(SEARCH(ZAKL_DATA!$B$29,N503)),MAX($M$2:M502)+1,0)</f>
        <v>501</v>
      </c>
      <c r="N503" s="336" t="s">
        <v>2418</v>
      </c>
      <c r="O503" s="353" t="s">
        <v>2419</v>
      </c>
      <c r="P503" s="338"/>
      <c r="Q503" s="339" t="str">
        <f>IFERROR(VLOOKUP(ROWS($Q$3:Q503),$M$3:$N$992,2,0),"")</f>
        <v>Výroba a hutní zpracování hliníku</v>
      </c>
      <c r="R503">
        <f>IF(ISNUMBER(SEARCH('1Př1'!$A$33,N503)),MAX($M$2:M502)+1,0)</f>
        <v>501</v>
      </c>
      <c r="S503" s="336" t="s">
        <v>2418</v>
      </c>
      <c r="T503" t="str">
        <f>IFERROR(VLOOKUP(ROWS($T$3:T503),$R$3:$S$992,2,0),"")</f>
        <v>Výroba a hutní zpracování hliníku</v>
      </c>
      <c r="U503">
        <f>IF(ISNUMBER(SEARCH('1Př1'!$A$34,N503)),MAX($M$2:M502)+1,0)</f>
        <v>501</v>
      </c>
      <c r="V503" s="336" t="s">
        <v>2418</v>
      </c>
      <c r="W503" t="str">
        <f>IFERROR(VLOOKUP(ROWS($W$3:W503),$U$3:$V$992,2,0),"")</f>
        <v>Výroba a hutní zpracování hliníku</v>
      </c>
      <c r="X503">
        <f>IF(ISNUMBER(SEARCH('1Př1'!$A$35,N503)),MAX($M$2:M502)+1,0)</f>
        <v>501</v>
      </c>
      <c r="Y503" s="336" t="s">
        <v>2418</v>
      </c>
      <c r="Z503" t="str">
        <f>IFERROR(VLOOKUP(ROWS($Z$3:Z503),$X$3:$Y$992,2,0),"")</f>
        <v>Výroba a hutní zpracování hliníku</v>
      </c>
    </row>
    <row r="504" spans="13:26" ht="12.75">
      <c r="M504" s="335">
        <f>IF(ISNUMBER(SEARCH(ZAKL_DATA!$B$29,N504)),MAX($M$2:M503)+1,0)</f>
        <v>502</v>
      </c>
      <c r="N504" s="336" t="s">
        <v>2420</v>
      </c>
      <c r="O504" s="353" t="s">
        <v>2421</v>
      </c>
      <c r="P504" s="338"/>
      <c r="Q504" s="339" t="str">
        <f>IFERROR(VLOOKUP(ROWS($Q$3:Q504),$M$3:$N$992,2,0),"")</f>
        <v>Výroba a hutní zpracování olova, zinku a cínu</v>
      </c>
      <c r="R504">
        <f>IF(ISNUMBER(SEARCH('1Př1'!$A$33,N504)),MAX($M$2:M503)+1,0)</f>
        <v>502</v>
      </c>
      <c r="S504" s="336" t="s">
        <v>2420</v>
      </c>
      <c r="T504" t="str">
        <f>IFERROR(VLOOKUP(ROWS($T$3:T504),$R$3:$S$992,2,0),"")</f>
        <v>Výroba a hutní zpracování olova, zinku a cínu</v>
      </c>
      <c r="U504">
        <f>IF(ISNUMBER(SEARCH('1Př1'!$A$34,N504)),MAX($M$2:M503)+1,0)</f>
        <v>502</v>
      </c>
      <c r="V504" s="336" t="s">
        <v>2420</v>
      </c>
      <c r="W504" t="str">
        <f>IFERROR(VLOOKUP(ROWS($W$3:W504),$U$3:$V$992,2,0),"")</f>
        <v>Výroba a hutní zpracování olova, zinku a cínu</v>
      </c>
      <c r="X504">
        <f>IF(ISNUMBER(SEARCH('1Př1'!$A$35,N504)),MAX($M$2:M503)+1,0)</f>
        <v>502</v>
      </c>
      <c r="Y504" s="336" t="s">
        <v>2420</v>
      </c>
      <c r="Z504" t="str">
        <f>IFERROR(VLOOKUP(ROWS($Z$3:Z504),$X$3:$Y$992,2,0),"")</f>
        <v>Výroba a hutní zpracování olova, zinku a cínu</v>
      </c>
    </row>
    <row r="505" spans="13:26" ht="12.75">
      <c r="M505" s="335">
        <f>IF(ISNUMBER(SEARCH(ZAKL_DATA!$B$29,N505)),MAX($M$2:M504)+1,0)</f>
        <v>503</v>
      </c>
      <c r="N505" s="336" t="s">
        <v>2422</v>
      </c>
      <c r="O505" s="353" t="s">
        <v>2423</v>
      </c>
      <c r="P505" s="338"/>
      <c r="Q505" s="339" t="str">
        <f>IFERROR(VLOOKUP(ROWS($Q$3:Q505),$M$3:$N$992,2,0),"")</f>
        <v>Výroba a hutní zpracování mědi</v>
      </c>
      <c r="R505">
        <f>IF(ISNUMBER(SEARCH('1Př1'!$A$33,N505)),MAX($M$2:M504)+1,0)</f>
        <v>503</v>
      </c>
      <c r="S505" s="336" t="s">
        <v>2422</v>
      </c>
      <c r="T505" t="str">
        <f>IFERROR(VLOOKUP(ROWS($T$3:T505),$R$3:$S$992,2,0),"")</f>
        <v>Výroba a hutní zpracování mědi</v>
      </c>
      <c r="U505">
        <f>IF(ISNUMBER(SEARCH('1Př1'!$A$34,N505)),MAX($M$2:M504)+1,0)</f>
        <v>503</v>
      </c>
      <c r="V505" s="336" t="s">
        <v>2422</v>
      </c>
      <c r="W505" t="str">
        <f>IFERROR(VLOOKUP(ROWS($W$3:W505),$U$3:$V$992,2,0),"")</f>
        <v>Výroba a hutní zpracování mědi</v>
      </c>
      <c r="X505">
        <f>IF(ISNUMBER(SEARCH('1Př1'!$A$35,N505)),MAX($M$2:M504)+1,0)</f>
        <v>503</v>
      </c>
      <c r="Y505" s="336" t="s">
        <v>2422</v>
      </c>
      <c r="Z505" t="str">
        <f>IFERROR(VLOOKUP(ROWS($Z$3:Z505),$X$3:$Y$992,2,0),"")</f>
        <v>Výroba a hutní zpracování mědi</v>
      </c>
    </row>
    <row r="506" spans="13:26" ht="12.75">
      <c r="M506" s="335">
        <f>IF(ISNUMBER(SEARCH(ZAKL_DATA!$B$29,N506)),MAX($M$2:M505)+1,0)</f>
        <v>504</v>
      </c>
      <c r="N506" s="336" t="s">
        <v>2424</v>
      </c>
      <c r="O506" s="353" t="s">
        <v>2425</v>
      </c>
      <c r="P506" s="338"/>
      <c r="Q506" s="339" t="str">
        <f>IFERROR(VLOOKUP(ROWS($Q$3:Q506),$M$3:$N$992,2,0),"")</f>
        <v>Výroba a hutní zpracování ostatních neželezných kovů</v>
      </c>
      <c r="R506">
        <f>IF(ISNUMBER(SEARCH('1Př1'!$A$33,N506)),MAX($M$2:M505)+1,0)</f>
        <v>504</v>
      </c>
      <c r="S506" s="336" t="s">
        <v>2424</v>
      </c>
      <c r="T506" t="str">
        <f>IFERROR(VLOOKUP(ROWS($T$3:T506),$R$3:$S$992,2,0),"")</f>
        <v>Výroba a hutní zpracování ostatních neželezných kovů</v>
      </c>
      <c r="U506">
        <f>IF(ISNUMBER(SEARCH('1Př1'!$A$34,N506)),MAX($M$2:M505)+1,0)</f>
        <v>504</v>
      </c>
      <c r="V506" s="336" t="s">
        <v>2424</v>
      </c>
      <c r="W506" t="str">
        <f>IFERROR(VLOOKUP(ROWS($W$3:W506),$U$3:$V$992,2,0),"")</f>
        <v>Výroba a hutní zpracování ostatních neželezných kovů</v>
      </c>
      <c r="X506">
        <f>IF(ISNUMBER(SEARCH('1Př1'!$A$35,N506)),MAX($M$2:M505)+1,0)</f>
        <v>504</v>
      </c>
      <c r="Y506" s="336" t="s">
        <v>2424</v>
      </c>
      <c r="Z506" t="str">
        <f>IFERROR(VLOOKUP(ROWS($Z$3:Z506),$X$3:$Y$992,2,0),"")</f>
        <v>Výroba a hutní zpracování ostatních neželezných kovů</v>
      </c>
    </row>
    <row r="507" spans="13:26" ht="12.75">
      <c r="M507" s="335">
        <f>IF(ISNUMBER(SEARCH(ZAKL_DATA!$B$29,N507)),MAX($M$2:M506)+1,0)</f>
        <v>505</v>
      </c>
      <c r="N507" s="336" t="s">
        <v>2426</v>
      </c>
      <c r="O507" s="353" t="s">
        <v>2427</v>
      </c>
      <c r="P507" s="338"/>
      <c r="Q507" s="339" t="str">
        <f>IFERROR(VLOOKUP(ROWS($Q$3:Q507),$M$3:$N$992,2,0),"")</f>
        <v>Zpracování jaderného paliva</v>
      </c>
      <c r="R507">
        <f>IF(ISNUMBER(SEARCH('1Př1'!$A$33,N507)),MAX($M$2:M506)+1,0)</f>
        <v>505</v>
      </c>
      <c r="S507" s="336" t="s">
        <v>2426</v>
      </c>
      <c r="T507" t="str">
        <f>IFERROR(VLOOKUP(ROWS($T$3:T507),$R$3:$S$992,2,0),"")</f>
        <v>Zpracování jaderného paliva</v>
      </c>
      <c r="U507">
        <f>IF(ISNUMBER(SEARCH('1Př1'!$A$34,N507)),MAX($M$2:M506)+1,0)</f>
        <v>505</v>
      </c>
      <c r="V507" s="336" t="s">
        <v>2426</v>
      </c>
      <c r="W507" t="str">
        <f>IFERROR(VLOOKUP(ROWS($W$3:W507),$U$3:$V$992,2,0),"")</f>
        <v>Zpracování jaderného paliva</v>
      </c>
      <c r="X507">
        <f>IF(ISNUMBER(SEARCH('1Př1'!$A$35,N507)),MAX($M$2:M506)+1,0)</f>
        <v>505</v>
      </c>
      <c r="Y507" s="336" t="s">
        <v>2426</v>
      </c>
      <c r="Z507" t="str">
        <f>IFERROR(VLOOKUP(ROWS($Z$3:Z507),$X$3:$Y$992,2,0),"")</f>
        <v>Zpracování jaderného paliva</v>
      </c>
    </row>
    <row r="508" spans="13:26" ht="12.75">
      <c r="M508" s="335">
        <f>IF(ISNUMBER(SEARCH(ZAKL_DATA!$B$29,N508)),MAX($M$2:M507)+1,0)</f>
        <v>506</v>
      </c>
      <c r="N508" s="336" t="s">
        <v>2428</v>
      </c>
      <c r="O508" s="353" t="s">
        <v>2429</v>
      </c>
      <c r="P508" s="338"/>
      <c r="Q508" s="339" t="str">
        <f>IFERROR(VLOOKUP(ROWS($Q$3:Q508),$M$3:$N$992,2,0),"")</f>
        <v>Výroba odlitků z litiny</v>
      </c>
      <c r="R508">
        <f>IF(ISNUMBER(SEARCH('1Př1'!$A$33,N508)),MAX($M$2:M507)+1,0)</f>
        <v>506</v>
      </c>
      <c r="S508" s="336" t="s">
        <v>2428</v>
      </c>
      <c r="T508" t="str">
        <f>IFERROR(VLOOKUP(ROWS($T$3:T508),$R$3:$S$992,2,0),"")</f>
        <v>Výroba odlitků z litiny</v>
      </c>
      <c r="U508">
        <f>IF(ISNUMBER(SEARCH('1Př1'!$A$34,N508)),MAX($M$2:M507)+1,0)</f>
        <v>506</v>
      </c>
      <c r="V508" s="336" t="s">
        <v>2428</v>
      </c>
      <c r="W508" t="str">
        <f>IFERROR(VLOOKUP(ROWS($W$3:W508),$U$3:$V$992,2,0),"")</f>
        <v>Výroba odlitků z litiny</v>
      </c>
      <c r="X508">
        <f>IF(ISNUMBER(SEARCH('1Př1'!$A$35,N508)),MAX($M$2:M507)+1,0)</f>
        <v>506</v>
      </c>
      <c r="Y508" s="336" t="s">
        <v>2428</v>
      </c>
      <c r="Z508" t="str">
        <f>IFERROR(VLOOKUP(ROWS($Z$3:Z508),$X$3:$Y$992,2,0),"")</f>
        <v>Výroba odlitků z litiny</v>
      </c>
    </row>
    <row r="509" spans="13:26" ht="12.75">
      <c r="M509" s="335">
        <f>IF(ISNUMBER(SEARCH(ZAKL_DATA!$B$29,N509)),MAX($M$2:M508)+1,0)</f>
        <v>507</v>
      </c>
      <c r="N509" s="336" t="s">
        <v>2430</v>
      </c>
      <c r="O509" s="353" t="s">
        <v>2431</v>
      </c>
      <c r="P509" s="338"/>
      <c r="Q509" s="339" t="str">
        <f>IFERROR(VLOOKUP(ROWS($Q$3:Q509),$M$3:$N$992,2,0),"")</f>
        <v>Výroba odlitků z oceli</v>
      </c>
      <c r="R509">
        <f>IF(ISNUMBER(SEARCH('1Př1'!$A$33,N509)),MAX($M$2:M508)+1,0)</f>
        <v>507</v>
      </c>
      <c r="S509" s="336" t="s">
        <v>2430</v>
      </c>
      <c r="T509" t="str">
        <f>IFERROR(VLOOKUP(ROWS($T$3:T509),$R$3:$S$992,2,0),"")</f>
        <v>Výroba odlitků z oceli</v>
      </c>
      <c r="U509">
        <f>IF(ISNUMBER(SEARCH('1Př1'!$A$34,N509)),MAX($M$2:M508)+1,0)</f>
        <v>507</v>
      </c>
      <c r="V509" s="336" t="s">
        <v>2430</v>
      </c>
      <c r="W509" t="str">
        <f>IFERROR(VLOOKUP(ROWS($W$3:W509),$U$3:$V$992,2,0),"")</f>
        <v>Výroba odlitků z oceli</v>
      </c>
      <c r="X509">
        <f>IF(ISNUMBER(SEARCH('1Př1'!$A$35,N509)),MAX($M$2:M508)+1,0)</f>
        <v>507</v>
      </c>
      <c r="Y509" s="336" t="s">
        <v>2430</v>
      </c>
      <c r="Z509" t="str">
        <f>IFERROR(VLOOKUP(ROWS($Z$3:Z509),$X$3:$Y$992,2,0),"")</f>
        <v>Výroba odlitků z oceli</v>
      </c>
    </row>
    <row r="510" spans="13:26" ht="12.75">
      <c r="M510" s="335">
        <f>IF(ISNUMBER(SEARCH(ZAKL_DATA!$B$29,N510)),MAX($M$2:M509)+1,0)</f>
        <v>508</v>
      </c>
      <c r="N510" s="336" t="s">
        <v>2432</v>
      </c>
      <c r="O510" s="353" t="s">
        <v>2433</v>
      </c>
      <c r="P510" s="338"/>
      <c r="Q510" s="339" t="str">
        <f>IFERROR(VLOOKUP(ROWS($Q$3:Q510),$M$3:$N$992,2,0),"")</f>
        <v>Výroba odlitků z lehkých neželezných kovů</v>
      </c>
      <c r="R510">
        <f>IF(ISNUMBER(SEARCH('1Př1'!$A$33,N510)),MAX($M$2:M509)+1,0)</f>
        <v>508</v>
      </c>
      <c r="S510" s="336" t="s">
        <v>2432</v>
      </c>
      <c r="T510" t="str">
        <f>IFERROR(VLOOKUP(ROWS($T$3:T510),$R$3:$S$992,2,0),"")</f>
        <v>Výroba odlitků z lehkých neželezných kovů</v>
      </c>
      <c r="U510">
        <f>IF(ISNUMBER(SEARCH('1Př1'!$A$34,N510)),MAX($M$2:M509)+1,0)</f>
        <v>508</v>
      </c>
      <c r="V510" s="336" t="s">
        <v>2432</v>
      </c>
      <c r="W510" t="str">
        <f>IFERROR(VLOOKUP(ROWS($W$3:W510),$U$3:$V$992,2,0),"")</f>
        <v>Výroba odlitků z lehkých neželezných kovů</v>
      </c>
      <c r="X510">
        <f>IF(ISNUMBER(SEARCH('1Př1'!$A$35,N510)),MAX($M$2:M509)+1,0)</f>
        <v>508</v>
      </c>
      <c r="Y510" s="336" t="s">
        <v>2432</v>
      </c>
      <c r="Z510" t="str">
        <f>IFERROR(VLOOKUP(ROWS($Z$3:Z510),$X$3:$Y$992,2,0),"")</f>
        <v>Výroba odlitků z lehkých neželezných kovů</v>
      </c>
    </row>
    <row r="511" spans="13:26" ht="12.75">
      <c r="M511" s="335">
        <f>IF(ISNUMBER(SEARCH(ZAKL_DATA!$B$29,N511)),MAX($M$2:M510)+1,0)</f>
        <v>509</v>
      </c>
      <c r="N511" s="336" t="s">
        <v>2434</v>
      </c>
      <c r="O511" s="353" t="s">
        <v>2435</v>
      </c>
      <c r="P511" s="338"/>
      <c r="Q511" s="339" t="str">
        <f>IFERROR(VLOOKUP(ROWS($Q$3:Q511),$M$3:$N$992,2,0),"")</f>
        <v>Výroba odlitků z ostatních neželezných kovů</v>
      </c>
      <c r="R511">
        <f>IF(ISNUMBER(SEARCH('1Př1'!$A$33,N511)),MAX($M$2:M510)+1,0)</f>
        <v>509</v>
      </c>
      <c r="S511" s="336" t="s">
        <v>2434</v>
      </c>
      <c r="T511" t="str">
        <f>IFERROR(VLOOKUP(ROWS($T$3:T511),$R$3:$S$992,2,0),"")</f>
        <v>Výroba odlitků z ostatních neželezných kovů</v>
      </c>
      <c r="U511">
        <f>IF(ISNUMBER(SEARCH('1Př1'!$A$34,N511)),MAX($M$2:M510)+1,0)</f>
        <v>509</v>
      </c>
      <c r="V511" s="336" t="s">
        <v>2434</v>
      </c>
      <c r="W511" t="str">
        <f>IFERROR(VLOOKUP(ROWS($W$3:W511),$U$3:$V$992,2,0),"")</f>
        <v>Výroba odlitků z ostatních neželezných kovů</v>
      </c>
      <c r="X511">
        <f>IF(ISNUMBER(SEARCH('1Př1'!$A$35,N511)),MAX($M$2:M510)+1,0)</f>
        <v>509</v>
      </c>
      <c r="Y511" s="336" t="s">
        <v>2434</v>
      </c>
      <c r="Z511" t="str">
        <f>IFERROR(VLOOKUP(ROWS($Z$3:Z511),$X$3:$Y$992,2,0),"")</f>
        <v>Výroba odlitků z ostatních neželezných kovů</v>
      </c>
    </row>
    <row r="512" spans="13:26" ht="12.75">
      <c r="M512" s="335">
        <f>IF(ISNUMBER(SEARCH(ZAKL_DATA!$B$29,N512)),MAX($M$2:M511)+1,0)</f>
        <v>510</v>
      </c>
      <c r="N512" s="336" t="s">
        <v>2436</v>
      </c>
      <c r="O512" s="353" t="s">
        <v>2437</v>
      </c>
      <c r="P512" s="338"/>
      <c r="Q512" s="339" t="str">
        <f>IFERROR(VLOOKUP(ROWS($Q$3:Q512),$M$3:$N$992,2,0),"")</f>
        <v>Výroba kovových konstrukcí a jejich dílů</v>
      </c>
      <c r="R512">
        <f>IF(ISNUMBER(SEARCH('1Př1'!$A$33,N512)),MAX($M$2:M511)+1,0)</f>
        <v>510</v>
      </c>
      <c r="S512" s="336" t="s">
        <v>2436</v>
      </c>
      <c r="T512" t="str">
        <f>IFERROR(VLOOKUP(ROWS($T$3:T512),$R$3:$S$992,2,0),"")</f>
        <v>Výroba kovových konstrukcí a jejich dílů</v>
      </c>
      <c r="U512">
        <f>IF(ISNUMBER(SEARCH('1Př1'!$A$34,N512)),MAX($M$2:M511)+1,0)</f>
        <v>510</v>
      </c>
      <c r="V512" s="336" t="s">
        <v>2436</v>
      </c>
      <c r="W512" t="str">
        <f>IFERROR(VLOOKUP(ROWS($W$3:W512),$U$3:$V$992,2,0),"")</f>
        <v>Výroba kovových konstrukcí a jejich dílů</v>
      </c>
      <c r="X512">
        <f>IF(ISNUMBER(SEARCH('1Př1'!$A$35,N512)),MAX($M$2:M511)+1,0)</f>
        <v>510</v>
      </c>
      <c r="Y512" s="336" t="s">
        <v>2436</v>
      </c>
      <c r="Z512" t="str">
        <f>IFERROR(VLOOKUP(ROWS($Z$3:Z512),$X$3:$Y$992,2,0),"")</f>
        <v>Výroba kovových konstrukcí a jejich dílů</v>
      </c>
    </row>
    <row r="513" spans="13:26" ht="12.75">
      <c r="M513" s="335">
        <f>IF(ISNUMBER(SEARCH(ZAKL_DATA!$B$29,N513)),MAX($M$2:M512)+1,0)</f>
        <v>511</v>
      </c>
      <c r="N513" s="336" t="s">
        <v>2438</v>
      </c>
      <c r="O513" s="353" t="s">
        <v>2439</v>
      </c>
      <c r="P513" s="338"/>
      <c r="Q513" s="339" t="str">
        <f>IFERROR(VLOOKUP(ROWS($Q$3:Q513),$M$3:$N$992,2,0),"")</f>
        <v>Výroba kovových dveří a oken</v>
      </c>
      <c r="R513">
        <f>IF(ISNUMBER(SEARCH('1Př1'!$A$33,N513)),MAX($M$2:M512)+1,0)</f>
        <v>511</v>
      </c>
      <c r="S513" s="336" t="s">
        <v>2438</v>
      </c>
      <c r="T513" t="str">
        <f>IFERROR(VLOOKUP(ROWS($T$3:T513),$R$3:$S$992,2,0),"")</f>
        <v>Výroba kovových dveří a oken</v>
      </c>
      <c r="U513">
        <f>IF(ISNUMBER(SEARCH('1Př1'!$A$34,N513)),MAX($M$2:M512)+1,0)</f>
        <v>511</v>
      </c>
      <c r="V513" s="336" t="s">
        <v>2438</v>
      </c>
      <c r="W513" t="str">
        <f>IFERROR(VLOOKUP(ROWS($W$3:W513),$U$3:$V$992,2,0),"")</f>
        <v>Výroba kovových dveří a oken</v>
      </c>
      <c r="X513">
        <f>IF(ISNUMBER(SEARCH('1Př1'!$A$35,N513)),MAX($M$2:M512)+1,0)</f>
        <v>511</v>
      </c>
      <c r="Y513" s="336" t="s">
        <v>2438</v>
      </c>
      <c r="Z513" t="str">
        <f>IFERROR(VLOOKUP(ROWS($Z$3:Z513),$X$3:$Y$992,2,0),"")</f>
        <v>Výroba kovových dveří a oken</v>
      </c>
    </row>
    <row r="514" spans="13:26" ht="12.75">
      <c r="M514" s="335">
        <f>IF(ISNUMBER(SEARCH(ZAKL_DATA!$B$29,N514)),MAX($M$2:M513)+1,0)</f>
        <v>512</v>
      </c>
      <c r="N514" s="336" t="s">
        <v>2440</v>
      </c>
      <c r="O514" s="353" t="s">
        <v>2441</v>
      </c>
      <c r="P514" s="338"/>
      <c r="Q514" s="339" t="str">
        <f>IFERROR(VLOOKUP(ROWS($Q$3:Q514),$M$3:$N$992,2,0),"")</f>
        <v>Výroba radiátorů a kotlů k ústřednímu topení</v>
      </c>
      <c r="R514">
        <f>IF(ISNUMBER(SEARCH('1Př1'!$A$33,N514)),MAX($M$2:M513)+1,0)</f>
        <v>512</v>
      </c>
      <c r="S514" s="336" t="s">
        <v>2440</v>
      </c>
      <c r="T514" t="str">
        <f>IFERROR(VLOOKUP(ROWS($T$3:T514),$R$3:$S$992,2,0),"")</f>
        <v>Výroba radiátorů a kotlů k ústřednímu topení</v>
      </c>
      <c r="U514">
        <f>IF(ISNUMBER(SEARCH('1Př1'!$A$34,N514)),MAX($M$2:M513)+1,0)</f>
        <v>512</v>
      </c>
      <c r="V514" s="336" t="s">
        <v>2440</v>
      </c>
      <c r="W514" t="str">
        <f>IFERROR(VLOOKUP(ROWS($W$3:W514),$U$3:$V$992,2,0),"")</f>
        <v>Výroba radiátorů a kotlů k ústřednímu topení</v>
      </c>
      <c r="X514">
        <f>IF(ISNUMBER(SEARCH('1Př1'!$A$35,N514)),MAX($M$2:M513)+1,0)</f>
        <v>512</v>
      </c>
      <c r="Y514" s="336" t="s">
        <v>2440</v>
      </c>
      <c r="Z514" t="str">
        <f>IFERROR(VLOOKUP(ROWS($Z$3:Z514),$X$3:$Y$992,2,0),"")</f>
        <v>Výroba radiátorů a kotlů k ústřednímu topení</v>
      </c>
    </row>
    <row r="515" spans="13:26" ht="12.75">
      <c r="M515" s="335">
        <f>IF(ISNUMBER(SEARCH(ZAKL_DATA!$B$29,N515)),MAX($M$2:M514)+1,0)</f>
        <v>513</v>
      </c>
      <c r="N515" s="336" t="s">
        <v>2442</v>
      </c>
      <c r="O515" s="353" t="s">
        <v>2443</v>
      </c>
      <c r="P515" s="338"/>
      <c r="Q515" s="339" t="str">
        <f>IFERROR(VLOOKUP(ROWS($Q$3:Q515),$M$3:$N$992,2,0),"")</f>
        <v>Výroba kovových nádrží a zásobníků</v>
      </c>
      <c r="R515">
        <f>IF(ISNUMBER(SEARCH('1Př1'!$A$33,N515)),MAX($M$2:M514)+1,0)</f>
        <v>513</v>
      </c>
      <c r="S515" s="336" t="s">
        <v>2442</v>
      </c>
      <c r="T515" t="str">
        <f>IFERROR(VLOOKUP(ROWS($T$3:T515),$R$3:$S$992,2,0),"")</f>
        <v>Výroba kovových nádrží a zásobníků</v>
      </c>
      <c r="U515">
        <f>IF(ISNUMBER(SEARCH('1Př1'!$A$34,N515)),MAX($M$2:M514)+1,0)</f>
        <v>513</v>
      </c>
      <c r="V515" s="336" t="s">
        <v>2442</v>
      </c>
      <c r="W515" t="str">
        <f>IFERROR(VLOOKUP(ROWS($W$3:W515),$U$3:$V$992,2,0),"")</f>
        <v>Výroba kovových nádrží a zásobníků</v>
      </c>
      <c r="X515">
        <f>IF(ISNUMBER(SEARCH('1Př1'!$A$35,N515)),MAX($M$2:M514)+1,0)</f>
        <v>513</v>
      </c>
      <c r="Y515" s="336" t="s">
        <v>2442</v>
      </c>
      <c r="Z515" t="str">
        <f>IFERROR(VLOOKUP(ROWS($Z$3:Z515),$X$3:$Y$992,2,0),"")</f>
        <v>Výroba kovových nádrží a zásobníků</v>
      </c>
    </row>
    <row r="516" spans="13:26" ht="12.75">
      <c r="M516" s="335">
        <f>IF(ISNUMBER(SEARCH(ZAKL_DATA!$B$29,N516)),MAX($M$2:M515)+1,0)</f>
        <v>514</v>
      </c>
      <c r="N516" s="336" t="s">
        <v>2444</v>
      </c>
      <c r="O516" s="353" t="s">
        <v>2445</v>
      </c>
      <c r="P516" s="338"/>
      <c r="Q516" s="339" t="str">
        <f>IFERROR(VLOOKUP(ROWS($Q$3:Q516),$M$3:$N$992,2,0),"")</f>
        <v>Povrchová úprava a zušlechťování kovů</v>
      </c>
      <c r="R516">
        <f>IF(ISNUMBER(SEARCH('1Př1'!$A$33,N516)),MAX($M$2:M515)+1,0)</f>
        <v>514</v>
      </c>
      <c r="S516" s="336" t="s">
        <v>2444</v>
      </c>
      <c r="T516" t="str">
        <f>IFERROR(VLOOKUP(ROWS($T$3:T516),$R$3:$S$992,2,0),"")</f>
        <v>Povrchová úprava a zušlechťování kovů</v>
      </c>
      <c r="U516">
        <f>IF(ISNUMBER(SEARCH('1Př1'!$A$34,N516)),MAX($M$2:M515)+1,0)</f>
        <v>514</v>
      </c>
      <c r="V516" s="336" t="s">
        <v>2444</v>
      </c>
      <c r="W516" t="str">
        <f>IFERROR(VLOOKUP(ROWS($W$3:W516),$U$3:$V$992,2,0),"")</f>
        <v>Povrchová úprava a zušlechťování kovů</v>
      </c>
      <c r="X516">
        <f>IF(ISNUMBER(SEARCH('1Př1'!$A$35,N516)),MAX($M$2:M515)+1,0)</f>
        <v>514</v>
      </c>
      <c r="Y516" s="336" t="s">
        <v>2444</v>
      </c>
      <c r="Z516" t="str">
        <f>IFERROR(VLOOKUP(ROWS($Z$3:Z516),$X$3:$Y$992,2,0),"")</f>
        <v>Povrchová úprava a zušlechťování kovů</v>
      </c>
    </row>
    <row r="517" spans="13:26" ht="12.75">
      <c r="M517" s="335">
        <f>IF(ISNUMBER(SEARCH(ZAKL_DATA!$B$29,N517)),MAX($M$2:M516)+1,0)</f>
        <v>515</v>
      </c>
      <c r="N517" s="336" t="s">
        <v>2446</v>
      </c>
      <c r="O517" s="353" t="s">
        <v>2447</v>
      </c>
      <c r="P517" s="338"/>
      <c r="Q517" s="339" t="str">
        <f>IFERROR(VLOOKUP(ROWS($Q$3:Q517),$M$3:$N$992,2,0),"")</f>
        <v>Obrábění</v>
      </c>
      <c r="R517">
        <f>IF(ISNUMBER(SEARCH('1Př1'!$A$33,N517)),MAX($M$2:M516)+1,0)</f>
        <v>515</v>
      </c>
      <c r="S517" s="336" t="s">
        <v>2446</v>
      </c>
      <c r="T517" t="str">
        <f>IFERROR(VLOOKUP(ROWS($T$3:T517),$R$3:$S$992,2,0),"")</f>
        <v>Obrábění</v>
      </c>
      <c r="U517">
        <f>IF(ISNUMBER(SEARCH('1Př1'!$A$34,N517)),MAX($M$2:M516)+1,0)</f>
        <v>515</v>
      </c>
      <c r="V517" s="336" t="s">
        <v>2446</v>
      </c>
      <c r="W517" t="str">
        <f>IFERROR(VLOOKUP(ROWS($W$3:W517),$U$3:$V$992,2,0),"")</f>
        <v>Obrábění</v>
      </c>
      <c r="X517">
        <f>IF(ISNUMBER(SEARCH('1Př1'!$A$35,N517)),MAX($M$2:M516)+1,0)</f>
        <v>515</v>
      </c>
      <c r="Y517" s="336" t="s">
        <v>2446</v>
      </c>
      <c r="Z517" t="str">
        <f>IFERROR(VLOOKUP(ROWS($Z$3:Z517),$X$3:$Y$992,2,0),"")</f>
        <v>Obrábění</v>
      </c>
    </row>
    <row r="518" spans="13:26" ht="12.75">
      <c r="M518" s="335">
        <f>IF(ISNUMBER(SEARCH(ZAKL_DATA!$B$29,N518)),MAX($M$2:M517)+1,0)</f>
        <v>516</v>
      </c>
      <c r="N518" s="336" t="s">
        <v>2448</v>
      </c>
      <c r="O518" s="353" t="s">
        <v>2449</v>
      </c>
      <c r="P518" s="338"/>
      <c r="Q518" s="339" t="str">
        <f>IFERROR(VLOOKUP(ROWS($Q$3:Q518),$M$3:$N$992,2,0),"")</f>
        <v>Výroba nožířských výrobků</v>
      </c>
      <c r="R518">
        <f>IF(ISNUMBER(SEARCH('1Př1'!$A$33,N518)),MAX($M$2:M517)+1,0)</f>
        <v>516</v>
      </c>
      <c r="S518" s="336" t="s">
        <v>2448</v>
      </c>
      <c r="T518" t="str">
        <f>IFERROR(VLOOKUP(ROWS($T$3:T518),$R$3:$S$992,2,0),"")</f>
        <v>Výroba nožířských výrobků</v>
      </c>
      <c r="U518">
        <f>IF(ISNUMBER(SEARCH('1Př1'!$A$34,N518)),MAX($M$2:M517)+1,0)</f>
        <v>516</v>
      </c>
      <c r="V518" s="336" t="s">
        <v>2448</v>
      </c>
      <c r="W518" t="str">
        <f>IFERROR(VLOOKUP(ROWS($W$3:W518),$U$3:$V$992,2,0),"")</f>
        <v>Výroba nožířských výrobků</v>
      </c>
      <c r="X518">
        <f>IF(ISNUMBER(SEARCH('1Př1'!$A$35,N518)),MAX($M$2:M517)+1,0)</f>
        <v>516</v>
      </c>
      <c r="Y518" s="336" t="s">
        <v>2448</v>
      </c>
      <c r="Z518" t="str">
        <f>IFERROR(VLOOKUP(ROWS($Z$3:Z518),$X$3:$Y$992,2,0),"")</f>
        <v>Výroba nožířských výrobků</v>
      </c>
    </row>
    <row r="519" spans="13:26" ht="12.75">
      <c r="M519" s="335">
        <f>IF(ISNUMBER(SEARCH(ZAKL_DATA!$B$29,N519)),MAX($M$2:M518)+1,0)</f>
        <v>517</v>
      </c>
      <c r="N519" s="336" t="s">
        <v>2450</v>
      </c>
      <c r="O519" s="353" t="s">
        <v>2451</v>
      </c>
      <c r="P519" s="338"/>
      <c r="Q519" s="339" t="str">
        <f>IFERROR(VLOOKUP(ROWS($Q$3:Q519),$M$3:$N$992,2,0),"")</f>
        <v>Výroba zámků a kování</v>
      </c>
      <c r="R519">
        <f>IF(ISNUMBER(SEARCH('1Př1'!$A$33,N519)),MAX($M$2:M518)+1,0)</f>
        <v>517</v>
      </c>
      <c r="S519" s="336" t="s">
        <v>2450</v>
      </c>
      <c r="T519" t="str">
        <f>IFERROR(VLOOKUP(ROWS($T$3:T519),$R$3:$S$992,2,0),"")</f>
        <v>Výroba zámků a kování</v>
      </c>
      <c r="U519">
        <f>IF(ISNUMBER(SEARCH('1Př1'!$A$34,N519)),MAX($M$2:M518)+1,0)</f>
        <v>517</v>
      </c>
      <c r="V519" s="336" t="s">
        <v>2450</v>
      </c>
      <c r="W519" t="str">
        <f>IFERROR(VLOOKUP(ROWS($W$3:W519),$U$3:$V$992,2,0),"")</f>
        <v>Výroba zámků a kování</v>
      </c>
      <c r="X519">
        <f>IF(ISNUMBER(SEARCH('1Př1'!$A$35,N519)),MAX($M$2:M518)+1,0)</f>
        <v>517</v>
      </c>
      <c r="Y519" s="336" t="s">
        <v>2450</v>
      </c>
      <c r="Z519" t="str">
        <f>IFERROR(VLOOKUP(ROWS($Z$3:Z519),$X$3:$Y$992,2,0),"")</f>
        <v>Výroba zámků a kování</v>
      </c>
    </row>
    <row r="520" spans="13:26" ht="12.75">
      <c r="M520" s="335">
        <f>IF(ISNUMBER(SEARCH(ZAKL_DATA!$B$29,N520)),MAX($M$2:M519)+1,0)</f>
        <v>518</v>
      </c>
      <c r="N520" s="336" t="s">
        <v>2452</v>
      </c>
      <c r="O520" s="353" t="s">
        <v>2453</v>
      </c>
      <c r="P520" s="338"/>
      <c r="Q520" s="339" t="str">
        <f>IFERROR(VLOOKUP(ROWS($Q$3:Q520),$M$3:$N$992,2,0),"")</f>
        <v>Výroba nástrojů a nářadí</v>
      </c>
      <c r="R520">
        <f>IF(ISNUMBER(SEARCH('1Př1'!$A$33,N520)),MAX($M$2:M519)+1,0)</f>
        <v>518</v>
      </c>
      <c r="S520" s="336" t="s">
        <v>2452</v>
      </c>
      <c r="T520" t="str">
        <f>IFERROR(VLOOKUP(ROWS($T$3:T520),$R$3:$S$992,2,0),"")</f>
        <v>Výroba nástrojů a nářadí</v>
      </c>
      <c r="U520">
        <f>IF(ISNUMBER(SEARCH('1Př1'!$A$34,N520)),MAX($M$2:M519)+1,0)</f>
        <v>518</v>
      </c>
      <c r="V520" s="336" t="s">
        <v>2452</v>
      </c>
      <c r="W520" t="str">
        <f>IFERROR(VLOOKUP(ROWS($W$3:W520),$U$3:$V$992,2,0),"")</f>
        <v>Výroba nástrojů a nářadí</v>
      </c>
      <c r="X520">
        <f>IF(ISNUMBER(SEARCH('1Př1'!$A$35,N520)),MAX($M$2:M519)+1,0)</f>
        <v>518</v>
      </c>
      <c r="Y520" s="336" t="s">
        <v>2452</v>
      </c>
      <c r="Z520" t="str">
        <f>IFERROR(VLOOKUP(ROWS($Z$3:Z520),$X$3:$Y$992,2,0),"")</f>
        <v>Výroba nástrojů a nářadí</v>
      </c>
    </row>
    <row r="521" spans="13:26" ht="12.75">
      <c r="M521" s="335">
        <f>IF(ISNUMBER(SEARCH(ZAKL_DATA!$B$29,N521)),MAX($M$2:M520)+1,0)</f>
        <v>519</v>
      </c>
      <c r="N521" s="336" t="s">
        <v>2454</v>
      </c>
      <c r="O521" s="353" t="s">
        <v>2455</v>
      </c>
      <c r="P521" s="338"/>
      <c r="Q521" s="339" t="str">
        <f>IFERROR(VLOOKUP(ROWS($Q$3:Q521),$M$3:$N$992,2,0),"")</f>
        <v>Výroba ocelových sudů a podobných nádob</v>
      </c>
      <c r="R521">
        <f>IF(ISNUMBER(SEARCH('1Př1'!$A$33,N521)),MAX($M$2:M520)+1,0)</f>
        <v>519</v>
      </c>
      <c r="S521" s="336" t="s">
        <v>2454</v>
      </c>
      <c r="T521" t="str">
        <f>IFERROR(VLOOKUP(ROWS($T$3:T521),$R$3:$S$992,2,0),"")</f>
        <v>Výroba ocelových sudů a podobných nádob</v>
      </c>
      <c r="U521">
        <f>IF(ISNUMBER(SEARCH('1Př1'!$A$34,N521)),MAX($M$2:M520)+1,0)</f>
        <v>519</v>
      </c>
      <c r="V521" s="336" t="s">
        <v>2454</v>
      </c>
      <c r="W521" t="str">
        <f>IFERROR(VLOOKUP(ROWS($W$3:W521),$U$3:$V$992,2,0),"")</f>
        <v>Výroba ocelových sudů a podobných nádob</v>
      </c>
      <c r="X521">
        <f>IF(ISNUMBER(SEARCH('1Př1'!$A$35,N521)),MAX($M$2:M520)+1,0)</f>
        <v>519</v>
      </c>
      <c r="Y521" s="336" t="s">
        <v>2454</v>
      </c>
      <c r="Z521" t="str">
        <f>IFERROR(VLOOKUP(ROWS($Z$3:Z521),$X$3:$Y$992,2,0),"")</f>
        <v>Výroba ocelových sudů a podobných nádob</v>
      </c>
    </row>
    <row r="522" spans="13:26" ht="12.75">
      <c r="M522" s="335">
        <f>IF(ISNUMBER(SEARCH(ZAKL_DATA!$B$29,N522)),MAX($M$2:M521)+1,0)</f>
        <v>520</v>
      </c>
      <c r="N522" s="336" t="s">
        <v>2456</v>
      </c>
      <c r="O522" s="353" t="s">
        <v>2457</v>
      </c>
      <c r="P522" s="338"/>
      <c r="Q522" s="339" t="str">
        <f>IFERROR(VLOOKUP(ROWS($Q$3:Q522),$M$3:$N$992,2,0),"")</f>
        <v>Výroba drobných kovových obalů</v>
      </c>
      <c r="R522">
        <f>IF(ISNUMBER(SEARCH('1Př1'!$A$33,N522)),MAX($M$2:M521)+1,0)</f>
        <v>520</v>
      </c>
      <c r="S522" s="336" t="s">
        <v>2456</v>
      </c>
      <c r="T522" t="str">
        <f>IFERROR(VLOOKUP(ROWS($T$3:T522),$R$3:$S$992,2,0),"")</f>
        <v>Výroba drobných kovových obalů</v>
      </c>
      <c r="U522">
        <f>IF(ISNUMBER(SEARCH('1Př1'!$A$34,N522)),MAX($M$2:M521)+1,0)</f>
        <v>520</v>
      </c>
      <c r="V522" s="336" t="s">
        <v>2456</v>
      </c>
      <c r="W522" t="str">
        <f>IFERROR(VLOOKUP(ROWS($W$3:W522),$U$3:$V$992,2,0),"")</f>
        <v>Výroba drobných kovových obalů</v>
      </c>
      <c r="X522">
        <f>IF(ISNUMBER(SEARCH('1Př1'!$A$35,N522)),MAX($M$2:M521)+1,0)</f>
        <v>520</v>
      </c>
      <c r="Y522" s="336" t="s">
        <v>2456</v>
      </c>
      <c r="Z522" t="str">
        <f>IFERROR(VLOOKUP(ROWS($Z$3:Z522),$X$3:$Y$992,2,0),"")</f>
        <v>Výroba drobných kovových obalů</v>
      </c>
    </row>
    <row r="523" spans="13:26" ht="12.75">
      <c r="M523" s="335">
        <f>IF(ISNUMBER(SEARCH(ZAKL_DATA!$B$29,N523)),MAX($M$2:M522)+1,0)</f>
        <v>521</v>
      </c>
      <c r="N523" s="336" t="s">
        <v>2458</v>
      </c>
      <c r="O523" s="353" t="s">
        <v>2459</v>
      </c>
      <c r="P523" s="338"/>
      <c r="Q523" s="339" t="str">
        <f>IFERROR(VLOOKUP(ROWS($Q$3:Q523),$M$3:$N$992,2,0),"")</f>
        <v>Výroba drátěných výrobků, řetězů a pružin</v>
      </c>
      <c r="R523">
        <f>IF(ISNUMBER(SEARCH('1Př1'!$A$33,N523)),MAX($M$2:M522)+1,0)</f>
        <v>521</v>
      </c>
      <c r="S523" s="336" t="s">
        <v>2458</v>
      </c>
      <c r="T523" t="str">
        <f>IFERROR(VLOOKUP(ROWS($T$3:T523),$R$3:$S$992,2,0),"")</f>
        <v>Výroba drátěných výrobků, řetězů a pružin</v>
      </c>
      <c r="U523">
        <f>IF(ISNUMBER(SEARCH('1Př1'!$A$34,N523)),MAX($M$2:M522)+1,0)</f>
        <v>521</v>
      </c>
      <c r="V523" s="336" t="s">
        <v>2458</v>
      </c>
      <c r="W523" t="str">
        <f>IFERROR(VLOOKUP(ROWS($W$3:W523),$U$3:$V$992,2,0),"")</f>
        <v>Výroba drátěných výrobků, řetězů a pružin</v>
      </c>
      <c r="X523">
        <f>IF(ISNUMBER(SEARCH('1Př1'!$A$35,N523)),MAX($M$2:M522)+1,0)</f>
        <v>521</v>
      </c>
      <c r="Y523" s="336" t="s">
        <v>2458</v>
      </c>
      <c r="Z523" t="str">
        <f>IFERROR(VLOOKUP(ROWS($Z$3:Z523),$X$3:$Y$992,2,0),"")</f>
        <v>Výroba drátěných výrobků, řetězů a pružin</v>
      </c>
    </row>
    <row r="524" spans="13:26" ht="12.75">
      <c r="M524" s="335">
        <f>IF(ISNUMBER(SEARCH(ZAKL_DATA!$B$29,N524)),MAX($M$2:M523)+1,0)</f>
        <v>522</v>
      </c>
      <c r="N524" s="336" t="s">
        <v>2460</v>
      </c>
      <c r="O524" s="353" t="s">
        <v>2461</v>
      </c>
      <c r="P524" s="338"/>
      <c r="Q524" s="339" t="str">
        <f>IFERROR(VLOOKUP(ROWS($Q$3:Q524),$M$3:$N$992,2,0),"")</f>
        <v>Výroba spojovacích materiálů a spojovacích výrobků se závity</v>
      </c>
      <c r="R524">
        <f>IF(ISNUMBER(SEARCH('1Př1'!$A$33,N524)),MAX($M$2:M523)+1,0)</f>
        <v>522</v>
      </c>
      <c r="S524" s="336" t="s">
        <v>2460</v>
      </c>
      <c r="T524" t="str">
        <f>IFERROR(VLOOKUP(ROWS($T$3:T524),$R$3:$S$992,2,0),"")</f>
        <v>Výroba spojovacích materiálů a spojovacích výrobků se závity</v>
      </c>
      <c r="U524">
        <f>IF(ISNUMBER(SEARCH('1Př1'!$A$34,N524)),MAX($M$2:M523)+1,0)</f>
        <v>522</v>
      </c>
      <c r="V524" s="336" t="s">
        <v>2460</v>
      </c>
      <c r="W524" t="str">
        <f>IFERROR(VLOOKUP(ROWS($W$3:W524),$U$3:$V$992,2,0),"")</f>
        <v>Výroba spojovacích materiálů a spojovacích výrobků se závity</v>
      </c>
      <c r="X524">
        <f>IF(ISNUMBER(SEARCH('1Př1'!$A$35,N524)),MAX($M$2:M523)+1,0)</f>
        <v>522</v>
      </c>
      <c r="Y524" s="336" t="s">
        <v>2460</v>
      </c>
      <c r="Z524" t="str">
        <f>IFERROR(VLOOKUP(ROWS($Z$3:Z524),$X$3:$Y$992,2,0),"")</f>
        <v>Výroba spojovacích materiálů a spojovacích výrobků se závity</v>
      </c>
    </row>
    <row r="525" spans="13:26" ht="12.75">
      <c r="M525" s="335">
        <f>IF(ISNUMBER(SEARCH(ZAKL_DATA!$B$29,N525)),MAX($M$2:M524)+1,0)</f>
        <v>523</v>
      </c>
      <c r="N525" s="336" t="s">
        <v>2462</v>
      </c>
      <c r="O525" s="353" t="s">
        <v>2463</v>
      </c>
      <c r="P525" s="338"/>
      <c r="Q525" s="339" t="str">
        <f>IFERROR(VLOOKUP(ROWS($Q$3:Q525),$M$3:$N$992,2,0),"")</f>
        <v>Výroba ostatních kovodělných výrobků j. n.</v>
      </c>
      <c r="R525">
        <f>IF(ISNUMBER(SEARCH('1Př1'!$A$33,N525)),MAX($M$2:M524)+1,0)</f>
        <v>523</v>
      </c>
      <c r="S525" s="336" t="s">
        <v>2462</v>
      </c>
      <c r="T525" t="str">
        <f>IFERROR(VLOOKUP(ROWS($T$3:T525),$R$3:$S$992,2,0),"")</f>
        <v>Výroba ostatních kovodělných výrobků j. n.</v>
      </c>
      <c r="U525">
        <f>IF(ISNUMBER(SEARCH('1Př1'!$A$34,N525)),MAX($M$2:M524)+1,0)</f>
        <v>523</v>
      </c>
      <c r="V525" s="336" t="s">
        <v>2462</v>
      </c>
      <c r="W525" t="str">
        <f>IFERROR(VLOOKUP(ROWS($W$3:W525),$U$3:$V$992,2,0),"")</f>
        <v>Výroba ostatních kovodělných výrobků j. n.</v>
      </c>
      <c r="X525">
        <f>IF(ISNUMBER(SEARCH('1Př1'!$A$35,N525)),MAX($M$2:M524)+1,0)</f>
        <v>523</v>
      </c>
      <c r="Y525" s="336" t="s">
        <v>2462</v>
      </c>
      <c r="Z525" t="str">
        <f>IFERROR(VLOOKUP(ROWS($Z$3:Z525),$X$3:$Y$992,2,0),"")</f>
        <v>Výroba ostatních kovodělných výrobků j. n.</v>
      </c>
    </row>
    <row r="526" spans="13:26" ht="12.75">
      <c r="M526" s="335">
        <f>IF(ISNUMBER(SEARCH(ZAKL_DATA!$B$29,N526)),MAX($M$2:M525)+1,0)</f>
        <v>524</v>
      </c>
      <c r="N526" s="336" t="s">
        <v>2464</v>
      </c>
      <c r="O526" s="353" t="s">
        <v>2465</v>
      </c>
      <c r="P526" s="338"/>
      <c r="Q526" s="339" t="str">
        <f>IFERROR(VLOOKUP(ROWS($Q$3:Q526),$M$3:$N$992,2,0),"")</f>
        <v>Výroba elektronických součástek</v>
      </c>
      <c r="R526">
        <f>IF(ISNUMBER(SEARCH('1Př1'!$A$33,N526)),MAX($M$2:M525)+1,0)</f>
        <v>524</v>
      </c>
      <c r="S526" s="336" t="s">
        <v>2464</v>
      </c>
      <c r="T526" t="str">
        <f>IFERROR(VLOOKUP(ROWS($T$3:T526),$R$3:$S$992,2,0),"")</f>
        <v>Výroba elektronických součástek</v>
      </c>
      <c r="U526">
        <f>IF(ISNUMBER(SEARCH('1Př1'!$A$34,N526)),MAX($M$2:M525)+1,0)</f>
        <v>524</v>
      </c>
      <c r="V526" s="336" t="s">
        <v>2464</v>
      </c>
      <c r="W526" t="str">
        <f>IFERROR(VLOOKUP(ROWS($W$3:W526),$U$3:$V$992,2,0),"")</f>
        <v>Výroba elektronických součástek</v>
      </c>
      <c r="X526">
        <f>IF(ISNUMBER(SEARCH('1Př1'!$A$35,N526)),MAX($M$2:M525)+1,0)</f>
        <v>524</v>
      </c>
      <c r="Y526" s="336" t="s">
        <v>2464</v>
      </c>
      <c r="Z526" t="str">
        <f>IFERROR(VLOOKUP(ROWS($Z$3:Z526),$X$3:$Y$992,2,0),"")</f>
        <v>Výroba elektronických součástek</v>
      </c>
    </row>
    <row r="527" spans="13:26" ht="12.75">
      <c r="M527" s="335">
        <f>IF(ISNUMBER(SEARCH(ZAKL_DATA!$B$29,N527)),MAX($M$2:M526)+1,0)</f>
        <v>525</v>
      </c>
      <c r="N527" s="336" t="s">
        <v>2466</v>
      </c>
      <c r="O527" s="353" t="s">
        <v>2467</v>
      </c>
      <c r="P527" s="338"/>
      <c r="Q527" s="339" t="str">
        <f>IFERROR(VLOOKUP(ROWS($Q$3:Q527),$M$3:$N$992,2,0),"")</f>
        <v>Výroba osazených elektronických desek</v>
      </c>
      <c r="R527">
        <f>IF(ISNUMBER(SEARCH('1Př1'!$A$33,N527)),MAX($M$2:M526)+1,0)</f>
        <v>525</v>
      </c>
      <c r="S527" s="336" t="s">
        <v>2466</v>
      </c>
      <c r="T527" t="str">
        <f>IFERROR(VLOOKUP(ROWS($T$3:T527),$R$3:$S$992,2,0),"")</f>
        <v>Výroba osazených elektronických desek</v>
      </c>
      <c r="U527">
        <f>IF(ISNUMBER(SEARCH('1Př1'!$A$34,N527)),MAX($M$2:M526)+1,0)</f>
        <v>525</v>
      </c>
      <c r="V527" s="336" t="s">
        <v>2466</v>
      </c>
      <c r="W527" t="str">
        <f>IFERROR(VLOOKUP(ROWS($W$3:W527),$U$3:$V$992,2,0),"")</f>
        <v>Výroba osazených elektronických desek</v>
      </c>
      <c r="X527">
        <f>IF(ISNUMBER(SEARCH('1Př1'!$A$35,N527)),MAX($M$2:M526)+1,0)</f>
        <v>525</v>
      </c>
      <c r="Y527" s="336" t="s">
        <v>2466</v>
      </c>
      <c r="Z527" t="str">
        <f>IFERROR(VLOOKUP(ROWS($Z$3:Z527),$X$3:$Y$992,2,0),"")</f>
        <v>Výroba osazených elektronických desek</v>
      </c>
    </row>
    <row r="528" spans="13:26" ht="12.75">
      <c r="M528" s="335">
        <f>IF(ISNUMBER(SEARCH(ZAKL_DATA!$B$29,N528)),MAX($M$2:M527)+1,0)</f>
        <v>526</v>
      </c>
      <c r="N528" s="336" t="s">
        <v>2468</v>
      </c>
      <c r="O528" s="353" t="s">
        <v>2469</v>
      </c>
      <c r="P528" s="338"/>
      <c r="Q528" s="339" t="str">
        <f>IFERROR(VLOOKUP(ROWS($Q$3:Q528),$M$3:$N$992,2,0),"")</f>
        <v>Výroba měřicích, zkušebních a navigačních přístrojů</v>
      </c>
      <c r="R528">
        <f>IF(ISNUMBER(SEARCH('1Př1'!$A$33,N528)),MAX($M$2:M527)+1,0)</f>
        <v>526</v>
      </c>
      <c r="S528" s="336" t="s">
        <v>2468</v>
      </c>
      <c r="T528" t="str">
        <f>IFERROR(VLOOKUP(ROWS($T$3:T528),$R$3:$S$992,2,0),"")</f>
        <v>Výroba měřicích, zkušebních a navigačních přístrojů</v>
      </c>
      <c r="U528">
        <f>IF(ISNUMBER(SEARCH('1Př1'!$A$34,N528)),MAX($M$2:M527)+1,0)</f>
        <v>526</v>
      </c>
      <c r="V528" s="336" t="s">
        <v>2468</v>
      </c>
      <c r="W528" t="str">
        <f>IFERROR(VLOOKUP(ROWS($W$3:W528),$U$3:$V$992,2,0),"")</f>
        <v>Výroba měřicích, zkušebních a navigačních přístrojů</v>
      </c>
      <c r="X528">
        <f>IF(ISNUMBER(SEARCH('1Př1'!$A$35,N528)),MAX($M$2:M527)+1,0)</f>
        <v>526</v>
      </c>
      <c r="Y528" s="336" t="s">
        <v>2468</v>
      </c>
      <c r="Z528" t="str">
        <f>IFERROR(VLOOKUP(ROWS($Z$3:Z528),$X$3:$Y$992,2,0),"")</f>
        <v>Výroba měřicích, zkušebních a navigačních přístrojů</v>
      </c>
    </row>
    <row r="529" spans="13:26" ht="12.75">
      <c r="M529" s="335">
        <f>IF(ISNUMBER(SEARCH(ZAKL_DATA!$B$29,N529)),MAX($M$2:M528)+1,0)</f>
        <v>527</v>
      </c>
      <c r="N529" s="336" t="s">
        <v>2470</v>
      </c>
      <c r="O529" s="353" t="s">
        <v>2471</v>
      </c>
      <c r="P529" s="338"/>
      <c r="Q529" s="339" t="str">
        <f>IFERROR(VLOOKUP(ROWS($Q$3:Q529),$M$3:$N$992,2,0),"")</f>
        <v>Výroba časoměrných přístrojů</v>
      </c>
      <c r="R529">
        <f>IF(ISNUMBER(SEARCH('1Př1'!$A$33,N529)),MAX($M$2:M528)+1,0)</f>
        <v>527</v>
      </c>
      <c r="S529" s="336" t="s">
        <v>2470</v>
      </c>
      <c r="T529" t="str">
        <f>IFERROR(VLOOKUP(ROWS($T$3:T529),$R$3:$S$992,2,0),"")</f>
        <v>Výroba časoměrných přístrojů</v>
      </c>
      <c r="U529">
        <f>IF(ISNUMBER(SEARCH('1Př1'!$A$34,N529)),MAX($M$2:M528)+1,0)</f>
        <v>527</v>
      </c>
      <c r="V529" s="336" t="s">
        <v>2470</v>
      </c>
      <c r="W529" t="str">
        <f>IFERROR(VLOOKUP(ROWS($W$3:W529),$U$3:$V$992,2,0),"")</f>
        <v>Výroba časoměrných přístrojů</v>
      </c>
      <c r="X529">
        <f>IF(ISNUMBER(SEARCH('1Př1'!$A$35,N529)),MAX($M$2:M528)+1,0)</f>
        <v>527</v>
      </c>
      <c r="Y529" s="336" t="s">
        <v>2470</v>
      </c>
      <c r="Z529" t="str">
        <f>IFERROR(VLOOKUP(ROWS($Z$3:Z529),$X$3:$Y$992,2,0),"")</f>
        <v>Výroba časoměrných přístrojů</v>
      </c>
    </row>
    <row r="530" spans="13:26" ht="12.75">
      <c r="M530" s="335">
        <f>IF(ISNUMBER(SEARCH(ZAKL_DATA!$B$29,N530)),MAX($M$2:M529)+1,0)</f>
        <v>528</v>
      </c>
      <c r="N530" s="336" t="s">
        <v>2472</v>
      </c>
      <c r="O530" s="353" t="s">
        <v>2473</v>
      </c>
      <c r="P530" s="338"/>
      <c r="Q530" s="339" t="str">
        <f>IFERROR(VLOOKUP(ROWS($Q$3:Q530),$M$3:$N$992,2,0),"")</f>
        <v>Výroba elektrických motorů, generátorů a transformátorů</v>
      </c>
      <c r="R530">
        <f>IF(ISNUMBER(SEARCH('1Př1'!$A$33,N530)),MAX($M$2:M529)+1,0)</f>
        <v>528</v>
      </c>
      <c r="S530" s="336" t="s">
        <v>2472</v>
      </c>
      <c r="T530" t="str">
        <f>IFERROR(VLOOKUP(ROWS($T$3:T530),$R$3:$S$992,2,0),"")</f>
        <v>Výroba elektrických motorů, generátorů a transformátorů</v>
      </c>
      <c r="U530">
        <f>IF(ISNUMBER(SEARCH('1Př1'!$A$34,N530)),MAX($M$2:M529)+1,0)</f>
        <v>528</v>
      </c>
      <c r="V530" s="336" t="s">
        <v>2472</v>
      </c>
      <c r="W530" t="str">
        <f>IFERROR(VLOOKUP(ROWS($W$3:W530),$U$3:$V$992,2,0),"")</f>
        <v>Výroba elektrických motorů, generátorů a transformátorů</v>
      </c>
      <c r="X530">
        <f>IF(ISNUMBER(SEARCH('1Př1'!$A$35,N530)),MAX($M$2:M529)+1,0)</f>
        <v>528</v>
      </c>
      <c r="Y530" s="336" t="s">
        <v>2472</v>
      </c>
      <c r="Z530" t="str">
        <f>IFERROR(VLOOKUP(ROWS($Z$3:Z530),$X$3:$Y$992,2,0),"")</f>
        <v>Výroba elektrických motorů, generátorů a transformátorů</v>
      </c>
    </row>
    <row r="531" spans="13:26" ht="12.75">
      <c r="M531" s="335">
        <f>IF(ISNUMBER(SEARCH(ZAKL_DATA!$B$29,N531)),MAX($M$2:M530)+1,0)</f>
        <v>529</v>
      </c>
      <c r="N531" s="336" t="s">
        <v>2474</v>
      </c>
      <c r="O531" s="353" t="s">
        <v>2475</v>
      </c>
      <c r="P531" s="338"/>
      <c r="Q531" s="339" t="str">
        <f>IFERROR(VLOOKUP(ROWS($Q$3:Q531),$M$3:$N$992,2,0),"")</f>
        <v>Výroba elektrických rozvodných a kontrolních zařízení</v>
      </c>
      <c r="R531">
        <f>IF(ISNUMBER(SEARCH('1Př1'!$A$33,N531)),MAX($M$2:M530)+1,0)</f>
        <v>529</v>
      </c>
      <c r="S531" s="336" t="s">
        <v>2474</v>
      </c>
      <c r="T531" t="str">
        <f>IFERROR(VLOOKUP(ROWS($T$3:T531),$R$3:$S$992,2,0),"")</f>
        <v>Výroba elektrických rozvodných a kontrolních zařízení</v>
      </c>
      <c r="U531">
        <f>IF(ISNUMBER(SEARCH('1Př1'!$A$34,N531)),MAX($M$2:M530)+1,0)</f>
        <v>529</v>
      </c>
      <c r="V531" s="336" t="s">
        <v>2474</v>
      </c>
      <c r="W531" t="str">
        <f>IFERROR(VLOOKUP(ROWS($W$3:W531),$U$3:$V$992,2,0),"")</f>
        <v>Výroba elektrických rozvodných a kontrolních zařízení</v>
      </c>
      <c r="X531">
        <f>IF(ISNUMBER(SEARCH('1Př1'!$A$35,N531)),MAX($M$2:M530)+1,0)</f>
        <v>529</v>
      </c>
      <c r="Y531" s="336" t="s">
        <v>2474</v>
      </c>
      <c r="Z531" t="str">
        <f>IFERROR(VLOOKUP(ROWS($Z$3:Z531),$X$3:$Y$992,2,0),"")</f>
        <v>Výroba elektrických rozvodných a kontrolních zařízení</v>
      </c>
    </row>
    <row r="532" spans="13:26" ht="12.75">
      <c r="M532" s="335">
        <f>IF(ISNUMBER(SEARCH(ZAKL_DATA!$B$29,N532)),MAX($M$2:M531)+1,0)</f>
        <v>530</v>
      </c>
      <c r="N532" s="336" t="s">
        <v>2476</v>
      </c>
      <c r="O532" s="353" t="s">
        <v>2477</v>
      </c>
      <c r="P532" s="338"/>
      <c r="Q532" s="339" t="str">
        <f>IFERROR(VLOOKUP(ROWS($Q$3:Q532),$M$3:$N$992,2,0),"")</f>
        <v>Výroba optických kabelů</v>
      </c>
      <c r="R532">
        <f>IF(ISNUMBER(SEARCH('1Př1'!$A$33,N532)),MAX($M$2:M531)+1,0)</f>
        <v>530</v>
      </c>
      <c r="S532" s="336" t="s">
        <v>2476</v>
      </c>
      <c r="T532" t="str">
        <f>IFERROR(VLOOKUP(ROWS($T$3:T532),$R$3:$S$992,2,0),"")</f>
        <v>Výroba optických kabelů</v>
      </c>
      <c r="U532">
        <f>IF(ISNUMBER(SEARCH('1Př1'!$A$34,N532)),MAX($M$2:M531)+1,0)</f>
        <v>530</v>
      </c>
      <c r="V532" s="336" t="s">
        <v>2476</v>
      </c>
      <c r="W532" t="str">
        <f>IFERROR(VLOOKUP(ROWS($W$3:W532),$U$3:$V$992,2,0),"")</f>
        <v>Výroba optických kabelů</v>
      </c>
      <c r="X532">
        <f>IF(ISNUMBER(SEARCH('1Př1'!$A$35,N532)),MAX($M$2:M531)+1,0)</f>
        <v>530</v>
      </c>
      <c r="Y532" s="336" t="s">
        <v>2476</v>
      </c>
      <c r="Z532" t="str">
        <f>IFERROR(VLOOKUP(ROWS($Z$3:Z532),$X$3:$Y$992,2,0),"")</f>
        <v>Výroba optických kabelů</v>
      </c>
    </row>
    <row r="533" spans="13:26" ht="12.75">
      <c r="M533" s="335">
        <f>IF(ISNUMBER(SEARCH(ZAKL_DATA!$B$29,N533)),MAX($M$2:M532)+1,0)</f>
        <v>531</v>
      </c>
      <c r="N533" s="336" t="s">
        <v>2478</v>
      </c>
      <c r="O533" s="353" t="s">
        <v>2479</v>
      </c>
      <c r="P533" s="338"/>
      <c r="Q533" s="339" t="str">
        <f>IFERROR(VLOOKUP(ROWS($Q$3:Q533),$M$3:$N$992,2,0),"")</f>
        <v>Výroba elektrických vodičů a kabelů j. n.</v>
      </c>
      <c r="R533">
        <f>IF(ISNUMBER(SEARCH('1Př1'!$A$33,N533)),MAX($M$2:M532)+1,0)</f>
        <v>531</v>
      </c>
      <c r="S533" s="336" t="s">
        <v>2478</v>
      </c>
      <c r="T533" t="str">
        <f>IFERROR(VLOOKUP(ROWS($T$3:T533),$R$3:$S$992,2,0),"")</f>
        <v>Výroba elektrických vodičů a kabelů j. n.</v>
      </c>
      <c r="U533">
        <f>IF(ISNUMBER(SEARCH('1Př1'!$A$34,N533)),MAX($M$2:M532)+1,0)</f>
        <v>531</v>
      </c>
      <c r="V533" s="336" t="s">
        <v>2478</v>
      </c>
      <c r="W533" t="str">
        <f>IFERROR(VLOOKUP(ROWS($W$3:W533),$U$3:$V$992,2,0),"")</f>
        <v>Výroba elektrických vodičů a kabelů j. n.</v>
      </c>
      <c r="X533">
        <f>IF(ISNUMBER(SEARCH('1Př1'!$A$35,N533)),MAX($M$2:M532)+1,0)</f>
        <v>531</v>
      </c>
      <c r="Y533" s="336" t="s">
        <v>2478</v>
      </c>
      <c r="Z533" t="str">
        <f>IFERROR(VLOOKUP(ROWS($Z$3:Z533),$X$3:$Y$992,2,0),"")</f>
        <v>Výroba elektrických vodičů a kabelů j. n.</v>
      </c>
    </row>
    <row r="534" spans="13:26" ht="12.75">
      <c r="M534" s="335">
        <f>IF(ISNUMBER(SEARCH(ZAKL_DATA!$B$29,N534)),MAX($M$2:M533)+1,0)</f>
        <v>532</v>
      </c>
      <c r="N534" s="336" t="s">
        <v>2480</v>
      </c>
      <c r="O534" s="353" t="s">
        <v>2481</v>
      </c>
      <c r="P534" s="338"/>
      <c r="Q534" s="339" t="str">
        <f>IFERROR(VLOOKUP(ROWS($Q$3:Q534),$M$3:$N$992,2,0),"")</f>
        <v>Výroba elektroinstalačních zařízení</v>
      </c>
      <c r="R534">
        <f>IF(ISNUMBER(SEARCH('1Př1'!$A$33,N534)),MAX($M$2:M533)+1,0)</f>
        <v>532</v>
      </c>
      <c r="S534" s="336" t="s">
        <v>2480</v>
      </c>
      <c r="T534" t="str">
        <f>IFERROR(VLOOKUP(ROWS($T$3:T534),$R$3:$S$992,2,0),"")</f>
        <v>Výroba elektroinstalačních zařízení</v>
      </c>
      <c r="U534">
        <f>IF(ISNUMBER(SEARCH('1Př1'!$A$34,N534)),MAX($M$2:M533)+1,0)</f>
        <v>532</v>
      </c>
      <c r="V534" s="336" t="s">
        <v>2480</v>
      </c>
      <c r="W534" t="str">
        <f>IFERROR(VLOOKUP(ROWS($W$3:W534),$U$3:$V$992,2,0),"")</f>
        <v>Výroba elektroinstalačních zařízení</v>
      </c>
      <c r="X534">
        <f>IF(ISNUMBER(SEARCH('1Př1'!$A$35,N534)),MAX($M$2:M533)+1,0)</f>
        <v>532</v>
      </c>
      <c r="Y534" s="336" t="s">
        <v>2480</v>
      </c>
      <c r="Z534" t="str">
        <f>IFERROR(VLOOKUP(ROWS($Z$3:Z534),$X$3:$Y$992,2,0),"")</f>
        <v>Výroba elektroinstalačních zařízení</v>
      </c>
    </row>
    <row r="535" spans="13:26" ht="12.75">
      <c r="M535" s="335">
        <f>IF(ISNUMBER(SEARCH(ZAKL_DATA!$B$29,N535)),MAX($M$2:M534)+1,0)</f>
        <v>533</v>
      </c>
      <c r="N535" s="336" t="s">
        <v>2482</v>
      </c>
      <c r="O535" s="353" t="s">
        <v>2483</v>
      </c>
      <c r="P535" s="338"/>
      <c r="Q535" s="339" t="str">
        <f>IFERROR(VLOOKUP(ROWS($Q$3:Q535),$M$3:$N$992,2,0),"")</f>
        <v>Výroba elektrických spotřebičů převážně pro domácnost</v>
      </c>
      <c r="R535">
        <f>IF(ISNUMBER(SEARCH('1Př1'!$A$33,N535)),MAX($M$2:M534)+1,0)</f>
        <v>533</v>
      </c>
      <c r="S535" s="336" t="s">
        <v>2482</v>
      </c>
      <c r="T535" t="str">
        <f>IFERROR(VLOOKUP(ROWS($T$3:T535),$R$3:$S$992,2,0),"")</f>
        <v>Výroba elektrických spotřebičů převážně pro domácnost</v>
      </c>
      <c r="U535">
        <f>IF(ISNUMBER(SEARCH('1Př1'!$A$34,N535)),MAX($M$2:M534)+1,0)</f>
        <v>533</v>
      </c>
      <c r="V535" s="336" t="s">
        <v>2482</v>
      </c>
      <c r="W535" t="str">
        <f>IFERROR(VLOOKUP(ROWS($W$3:W535),$U$3:$V$992,2,0),"")</f>
        <v>Výroba elektrických spotřebičů převážně pro domácnost</v>
      </c>
      <c r="X535">
        <f>IF(ISNUMBER(SEARCH('1Př1'!$A$35,N535)),MAX($M$2:M534)+1,0)</f>
        <v>533</v>
      </c>
      <c r="Y535" s="336" t="s">
        <v>2482</v>
      </c>
      <c r="Z535" t="str">
        <f>IFERROR(VLOOKUP(ROWS($Z$3:Z535),$X$3:$Y$992,2,0),"")</f>
        <v>Výroba elektrických spotřebičů převážně pro domácnost</v>
      </c>
    </row>
    <row r="536" spans="13:26" ht="12.75">
      <c r="M536" s="335">
        <f>IF(ISNUMBER(SEARCH(ZAKL_DATA!$B$29,N536)),MAX($M$2:M535)+1,0)</f>
        <v>534</v>
      </c>
      <c r="N536" s="336" t="s">
        <v>2484</v>
      </c>
      <c r="O536" s="353" t="s">
        <v>2485</v>
      </c>
      <c r="P536" s="338"/>
      <c r="Q536" s="339" t="str">
        <f>IFERROR(VLOOKUP(ROWS($Q$3:Q536),$M$3:$N$992,2,0),"")</f>
        <v>Výroba neelektrických spotřebičů převážně pro domácnost</v>
      </c>
      <c r="R536">
        <f>IF(ISNUMBER(SEARCH('1Př1'!$A$33,N536)),MAX($M$2:M535)+1,0)</f>
        <v>534</v>
      </c>
      <c r="S536" s="336" t="s">
        <v>2484</v>
      </c>
      <c r="T536" t="str">
        <f>IFERROR(VLOOKUP(ROWS($T$3:T536),$R$3:$S$992,2,0),"")</f>
        <v>Výroba neelektrických spotřebičů převážně pro domácnost</v>
      </c>
      <c r="U536">
        <f>IF(ISNUMBER(SEARCH('1Př1'!$A$34,N536)),MAX($M$2:M535)+1,0)</f>
        <v>534</v>
      </c>
      <c r="V536" s="336" t="s">
        <v>2484</v>
      </c>
      <c r="W536" t="str">
        <f>IFERROR(VLOOKUP(ROWS($W$3:W536),$U$3:$V$992,2,0),"")</f>
        <v>Výroba neelektrických spotřebičů převážně pro domácnost</v>
      </c>
      <c r="X536">
        <f>IF(ISNUMBER(SEARCH('1Př1'!$A$35,N536)),MAX($M$2:M535)+1,0)</f>
        <v>534</v>
      </c>
      <c r="Y536" s="336" t="s">
        <v>2484</v>
      </c>
      <c r="Z536" t="str">
        <f>IFERROR(VLOOKUP(ROWS($Z$3:Z536),$X$3:$Y$992,2,0),"")</f>
        <v>Výroba neelektrických spotřebičů převážně pro domácnost</v>
      </c>
    </row>
    <row r="537" spans="13:26" ht="12.75">
      <c r="M537" s="335">
        <f>IF(ISNUMBER(SEARCH(ZAKL_DATA!$B$29,N537)),MAX($M$2:M536)+1,0)</f>
        <v>535</v>
      </c>
      <c r="N537" s="336" t="s">
        <v>2486</v>
      </c>
      <c r="O537" s="353" t="s">
        <v>2487</v>
      </c>
      <c r="P537" s="338"/>
      <c r="Q537" s="339" t="str">
        <f>IFERROR(VLOOKUP(ROWS($Q$3:Q537),$M$3:$N$992,2,0),"")</f>
        <v>Výroba motorů a turbín, kromě motorů pro letadla, automobily a motocykly</v>
      </c>
      <c r="R537">
        <f>IF(ISNUMBER(SEARCH('1Př1'!$A$33,N537)),MAX($M$2:M536)+1,0)</f>
        <v>535</v>
      </c>
      <c r="S537" s="336" t="s">
        <v>2486</v>
      </c>
      <c r="T537" t="str">
        <f>IFERROR(VLOOKUP(ROWS($T$3:T537),$R$3:$S$992,2,0),"")</f>
        <v>Výroba motorů a turbín, kromě motorů pro letadla, automobily a motocykly</v>
      </c>
      <c r="U537">
        <f>IF(ISNUMBER(SEARCH('1Př1'!$A$34,N537)),MAX($M$2:M536)+1,0)</f>
        <v>535</v>
      </c>
      <c r="V537" s="336" t="s">
        <v>2486</v>
      </c>
      <c r="W537" t="str">
        <f>IFERROR(VLOOKUP(ROWS($W$3:W537),$U$3:$V$992,2,0),"")</f>
        <v>Výroba motorů a turbín, kromě motorů pro letadla, automobily a motocykly</v>
      </c>
      <c r="X537">
        <f>IF(ISNUMBER(SEARCH('1Př1'!$A$35,N537)),MAX($M$2:M536)+1,0)</f>
        <v>535</v>
      </c>
      <c r="Y537" s="336" t="s">
        <v>2486</v>
      </c>
      <c r="Z537" t="str">
        <f>IFERROR(VLOOKUP(ROWS($Z$3:Z537),$X$3:$Y$992,2,0),"")</f>
        <v>Výroba motorů a turbín, kromě motorů pro letadla, automobily a motocykly</v>
      </c>
    </row>
    <row r="538" spans="13:26" ht="12.75">
      <c r="M538" s="335">
        <f>IF(ISNUMBER(SEARCH(ZAKL_DATA!$B$29,N538)),MAX($M$2:M537)+1,0)</f>
        <v>536</v>
      </c>
      <c r="N538" s="336" t="s">
        <v>2488</v>
      </c>
      <c r="O538" s="353" t="s">
        <v>2489</v>
      </c>
      <c r="P538" s="338"/>
      <c r="Q538" s="339" t="str">
        <f>IFERROR(VLOOKUP(ROWS($Q$3:Q538),$M$3:$N$992,2,0),"")</f>
        <v>Výroba hydraulických a pneumatických zařízení</v>
      </c>
      <c r="R538">
        <f>IF(ISNUMBER(SEARCH('1Př1'!$A$33,N538)),MAX($M$2:M537)+1,0)</f>
        <v>536</v>
      </c>
      <c r="S538" s="336" t="s">
        <v>2488</v>
      </c>
      <c r="T538" t="str">
        <f>IFERROR(VLOOKUP(ROWS($T$3:T538),$R$3:$S$992,2,0),"")</f>
        <v>Výroba hydraulických a pneumatických zařízení</v>
      </c>
      <c r="U538">
        <f>IF(ISNUMBER(SEARCH('1Př1'!$A$34,N538)),MAX($M$2:M537)+1,0)</f>
        <v>536</v>
      </c>
      <c r="V538" s="336" t="s">
        <v>2488</v>
      </c>
      <c r="W538" t="str">
        <f>IFERROR(VLOOKUP(ROWS($W$3:W538),$U$3:$V$992,2,0),"")</f>
        <v>Výroba hydraulických a pneumatických zařízení</v>
      </c>
      <c r="X538">
        <f>IF(ISNUMBER(SEARCH('1Př1'!$A$35,N538)),MAX($M$2:M537)+1,0)</f>
        <v>536</v>
      </c>
      <c r="Y538" s="336" t="s">
        <v>2488</v>
      </c>
      <c r="Z538" t="str">
        <f>IFERROR(VLOOKUP(ROWS($Z$3:Z538),$X$3:$Y$992,2,0),"")</f>
        <v>Výroba hydraulických a pneumatických zařízení</v>
      </c>
    </row>
    <row r="539" spans="13:26" ht="12.75">
      <c r="M539" s="335">
        <f>IF(ISNUMBER(SEARCH(ZAKL_DATA!$B$29,N539)),MAX($M$2:M538)+1,0)</f>
        <v>537</v>
      </c>
      <c r="N539" s="336" t="s">
        <v>2490</v>
      </c>
      <c r="O539" s="353" t="s">
        <v>2491</v>
      </c>
      <c r="P539" s="338"/>
      <c r="Q539" s="339" t="str">
        <f>IFERROR(VLOOKUP(ROWS($Q$3:Q539),$M$3:$N$992,2,0),"")</f>
        <v>Výroba ostatních čerpadel a kompresorů</v>
      </c>
      <c r="R539">
        <f>IF(ISNUMBER(SEARCH('1Př1'!$A$33,N539)),MAX($M$2:M538)+1,0)</f>
        <v>537</v>
      </c>
      <c r="S539" s="336" t="s">
        <v>2490</v>
      </c>
      <c r="T539" t="str">
        <f>IFERROR(VLOOKUP(ROWS($T$3:T539),$R$3:$S$992,2,0),"")</f>
        <v>Výroba ostatních čerpadel a kompresorů</v>
      </c>
      <c r="U539">
        <f>IF(ISNUMBER(SEARCH('1Př1'!$A$34,N539)),MAX($M$2:M538)+1,0)</f>
        <v>537</v>
      </c>
      <c r="V539" s="336" t="s">
        <v>2490</v>
      </c>
      <c r="W539" t="str">
        <f>IFERROR(VLOOKUP(ROWS($W$3:W539),$U$3:$V$992,2,0),"")</f>
        <v>Výroba ostatních čerpadel a kompresorů</v>
      </c>
      <c r="X539">
        <f>IF(ISNUMBER(SEARCH('1Př1'!$A$35,N539)),MAX($M$2:M538)+1,0)</f>
        <v>537</v>
      </c>
      <c r="Y539" s="336" t="s">
        <v>2490</v>
      </c>
      <c r="Z539" t="str">
        <f>IFERROR(VLOOKUP(ROWS($Z$3:Z539),$X$3:$Y$992,2,0),"")</f>
        <v>Výroba ostatních čerpadel a kompresorů</v>
      </c>
    </row>
    <row r="540" spans="13:26" ht="12.75">
      <c r="M540" s="335">
        <f>IF(ISNUMBER(SEARCH(ZAKL_DATA!$B$29,N540)),MAX($M$2:M539)+1,0)</f>
        <v>538</v>
      </c>
      <c r="N540" s="336" t="s">
        <v>2492</v>
      </c>
      <c r="O540" s="353" t="s">
        <v>2493</v>
      </c>
      <c r="P540" s="338"/>
      <c r="Q540" s="339" t="str">
        <f>IFERROR(VLOOKUP(ROWS($Q$3:Q540),$M$3:$N$992,2,0),"")</f>
        <v>Výroba ostatních potrubních armatur</v>
      </c>
      <c r="R540">
        <f>IF(ISNUMBER(SEARCH('1Př1'!$A$33,N540)),MAX($M$2:M539)+1,0)</f>
        <v>538</v>
      </c>
      <c r="S540" s="336" t="s">
        <v>2492</v>
      </c>
      <c r="T540" t="str">
        <f>IFERROR(VLOOKUP(ROWS($T$3:T540),$R$3:$S$992,2,0),"")</f>
        <v>Výroba ostatních potrubních armatur</v>
      </c>
      <c r="U540">
        <f>IF(ISNUMBER(SEARCH('1Př1'!$A$34,N540)),MAX($M$2:M539)+1,0)</f>
        <v>538</v>
      </c>
      <c r="V540" s="336" t="s">
        <v>2492</v>
      </c>
      <c r="W540" t="str">
        <f>IFERROR(VLOOKUP(ROWS($W$3:W540),$U$3:$V$992,2,0),"")</f>
        <v>Výroba ostatních potrubních armatur</v>
      </c>
      <c r="X540">
        <f>IF(ISNUMBER(SEARCH('1Př1'!$A$35,N540)),MAX($M$2:M539)+1,0)</f>
        <v>538</v>
      </c>
      <c r="Y540" s="336" t="s">
        <v>2492</v>
      </c>
      <c r="Z540" t="str">
        <f>IFERROR(VLOOKUP(ROWS($Z$3:Z540),$X$3:$Y$992,2,0),"")</f>
        <v>Výroba ostatních potrubních armatur</v>
      </c>
    </row>
    <row r="541" spans="13:26" ht="12.75">
      <c r="M541" s="335">
        <f>IF(ISNUMBER(SEARCH(ZAKL_DATA!$B$29,N541)),MAX($M$2:M540)+1,0)</f>
        <v>539</v>
      </c>
      <c r="N541" s="336" t="s">
        <v>2494</v>
      </c>
      <c r="O541" s="353" t="s">
        <v>2495</v>
      </c>
      <c r="P541" s="338"/>
      <c r="Q541" s="339" t="str">
        <f>IFERROR(VLOOKUP(ROWS($Q$3:Q541),$M$3:$N$992,2,0),"")</f>
        <v>Výroba ložisek, ozubených kol, převodů a hnacích prvků</v>
      </c>
      <c r="R541">
        <f>IF(ISNUMBER(SEARCH('1Př1'!$A$33,N541)),MAX($M$2:M540)+1,0)</f>
        <v>539</v>
      </c>
      <c r="S541" s="336" t="s">
        <v>2494</v>
      </c>
      <c r="T541" t="str">
        <f>IFERROR(VLOOKUP(ROWS($T$3:T541),$R$3:$S$992,2,0),"")</f>
        <v>Výroba ložisek, ozubených kol, převodů a hnacích prvků</v>
      </c>
      <c r="U541">
        <f>IF(ISNUMBER(SEARCH('1Př1'!$A$34,N541)),MAX($M$2:M540)+1,0)</f>
        <v>539</v>
      </c>
      <c r="V541" s="336" t="s">
        <v>2494</v>
      </c>
      <c r="W541" t="str">
        <f>IFERROR(VLOOKUP(ROWS($W$3:W541),$U$3:$V$992,2,0),"")</f>
        <v>Výroba ložisek, ozubených kol, převodů a hnacích prvků</v>
      </c>
      <c r="X541">
        <f>IF(ISNUMBER(SEARCH('1Př1'!$A$35,N541)),MAX($M$2:M540)+1,0)</f>
        <v>539</v>
      </c>
      <c r="Y541" s="336" t="s">
        <v>2494</v>
      </c>
      <c r="Z541" t="str">
        <f>IFERROR(VLOOKUP(ROWS($Z$3:Z541),$X$3:$Y$992,2,0),"")</f>
        <v>Výroba ložisek, ozubených kol, převodů a hnacích prvků</v>
      </c>
    </row>
    <row r="542" spans="13:26" ht="12.75">
      <c r="M542" s="335">
        <f>IF(ISNUMBER(SEARCH(ZAKL_DATA!$B$29,N542)),MAX($M$2:M541)+1,0)</f>
        <v>540</v>
      </c>
      <c r="N542" s="336" t="s">
        <v>2496</v>
      </c>
      <c r="O542" s="353" t="s">
        <v>2497</v>
      </c>
      <c r="P542" s="338"/>
      <c r="Q542" s="339" t="str">
        <f>IFERROR(VLOOKUP(ROWS($Q$3:Q542),$M$3:$N$992,2,0),"")</f>
        <v>Výroba pecí a hořáků pro topeniště</v>
      </c>
      <c r="R542">
        <f>IF(ISNUMBER(SEARCH('1Př1'!$A$33,N542)),MAX($M$2:M541)+1,0)</f>
        <v>540</v>
      </c>
      <c r="S542" s="336" t="s">
        <v>2496</v>
      </c>
      <c r="T542" t="str">
        <f>IFERROR(VLOOKUP(ROWS($T$3:T542),$R$3:$S$992,2,0),"")</f>
        <v>Výroba pecí a hořáků pro topeniště</v>
      </c>
      <c r="U542">
        <f>IF(ISNUMBER(SEARCH('1Př1'!$A$34,N542)),MAX($M$2:M541)+1,0)</f>
        <v>540</v>
      </c>
      <c r="V542" s="336" t="s">
        <v>2496</v>
      </c>
      <c r="W542" t="str">
        <f>IFERROR(VLOOKUP(ROWS($W$3:W542),$U$3:$V$992,2,0),"")</f>
        <v>Výroba pecí a hořáků pro topeniště</v>
      </c>
      <c r="X542">
        <f>IF(ISNUMBER(SEARCH('1Př1'!$A$35,N542)),MAX($M$2:M541)+1,0)</f>
        <v>540</v>
      </c>
      <c r="Y542" s="336" t="s">
        <v>2496</v>
      </c>
      <c r="Z542" t="str">
        <f>IFERROR(VLOOKUP(ROWS($Z$3:Z542),$X$3:$Y$992,2,0),"")</f>
        <v>Výroba pecí a hořáků pro topeniště</v>
      </c>
    </row>
    <row r="543" spans="13:26" ht="12.75">
      <c r="M543" s="335">
        <f>IF(ISNUMBER(SEARCH(ZAKL_DATA!$B$29,N543)),MAX($M$2:M542)+1,0)</f>
        <v>541</v>
      </c>
      <c r="N543" s="336" t="s">
        <v>2498</v>
      </c>
      <c r="O543" s="353" t="s">
        <v>2499</v>
      </c>
      <c r="P543" s="338"/>
      <c r="Q543" s="339" t="str">
        <f>IFERROR(VLOOKUP(ROWS($Q$3:Q543),$M$3:$N$992,2,0),"")</f>
        <v>Výroba zdvihacích a manipulačních zařízení</v>
      </c>
      <c r="R543">
        <f>IF(ISNUMBER(SEARCH('1Př1'!$A$33,N543)),MAX($M$2:M542)+1,0)</f>
        <v>541</v>
      </c>
      <c r="S543" s="336" t="s">
        <v>2498</v>
      </c>
      <c r="T543" t="str">
        <f>IFERROR(VLOOKUP(ROWS($T$3:T543),$R$3:$S$992,2,0),"")</f>
        <v>Výroba zdvihacích a manipulačních zařízení</v>
      </c>
      <c r="U543">
        <f>IF(ISNUMBER(SEARCH('1Př1'!$A$34,N543)),MAX($M$2:M542)+1,0)</f>
        <v>541</v>
      </c>
      <c r="V543" s="336" t="s">
        <v>2498</v>
      </c>
      <c r="W543" t="str">
        <f>IFERROR(VLOOKUP(ROWS($W$3:W543),$U$3:$V$992,2,0),"")</f>
        <v>Výroba zdvihacích a manipulačních zařízení</v>
      </c>
      <c r="X543">
        <f>IF(ISNUMBER(SEARCH('1Př1'!$A$35,N543)),MAX($M$2:M542)+1,0)</f>
        <v>541</v>
      </c>
      <c r="Y543" s="336" t="s">
        <v>2498</v>
      </c>
      <c r="Z543" t="str">
        <f>IFERROR(VLOOKUP(ROWS($Z$3:Z543),$X$3:$Y$992,2,0),"")</f>
        <v>Výroba zdvihacích a manipulačních zařízení</v>
      </c>
    </row>
    <row r="544" spans="13:26" ht="12.75">
      <c r="M544" s="335">
        <f>IF(ISNUMBER(SEARCH(ZAKL_DATA!$B$29,N544)),MAX($M$2:M543)+1,0)</f>
        <v>542</v>
      </c>
      <c r="N544" s="336" t="s">
        <v>2500</v>
      </c>
      <c r="O544" s="353" t="s">
        <v>2501</v>
      </c>
      <c r="P544" s="338"/>
      <c r="Q544" s="339" t="str">
        <f>IFERROR(VLOOKUP(ROWS($Q$3:Q544),$M$3:$N$992,2,0),"")</f>
        <v>Výroba kancelářských strojů a zařízení,kromě počítačů a perif.zařízení</v>
      </c>
      <c r="R544">
        <f>IF(ISNUMBER(SEARCH('1Př1'!$A$33,N544)),MAX($M$2:M543)+1,0)</f>
        <v>542</v>
      </c>
      <c r="S544" s="336" t="s">
        <v>2500</v>
      </c>
      <c r="T544" t="str">
        <f>IFERROR(VLOOKUP(ROWS($T$3:T544),$R$3:$S$992,2,0),"")</f>
        <v>Výroba kancelářských strojů a zařízení,kromě počítačů a perif.zařízení</v>
      </c>
      <c r="U544">
        <f>IF(ISNUMBER(SEARCH('1Př1'!$A$34,N544)),MAX($M$2:M543)+1,0)</f>
        <v>542</v>
      </c>
      <c r="V544" s="336" t="s">
        <v>2500</v>
      </c>
      <c r="W544" t="str">
        <f>IFERROR(VLOOKUP(ROWS($W$3:W544),$U$3:$V$992,2,0),"")</f>
        <v>Výroba kancelářských strojů a zařízení,kromě počítačů a perif.zařízení</v>
      </c>
      <c r="X544">
        <f>IF(ISNUMBER(SEARCH('1Př1'!$A$35,N544)),MAX($M$2:M543)+1,0)</f>
        <v>542</v>
      </c>
      <c r="Y544" s="336" t="s">
        <v>2500</v>
      </c>
      <c r="Z544" t="str">
        <f>IFERROR(VLOOKUP(ROWS($Z$3:Z544),$X$3:$Y$992,2,0),"")</f>
        <v>Výroba kancelářských strojů a zařízení,kromě počítačů a perif.zařízení</v>
      </c>
    </row>
    <row r="545" spans="13:26" ht="12.75">
      <c r="M545" s="335">
        <f>IF(ISNUMBER(SEARCH(ZAKL_DATA!$B$29,N545)),MAX($M$2:M544)+1,0)</f>
        <v>543</v>
      </c>
      <c r="N545" s="336" t="s">
        <v>2502</v>
      </c>
      <c r="O545" s="353" t="s">
        <v>2503</v>
      </c>
      <c r="P545" s="338"/>
      <c r="Q545" s="339" t="str">
        <f>IFERROR(VLOOKUP(ROWS($Q$3:Q545),$M$3:$N$992,2,0),"")</f>
        <v>Výroba ručních mechanizovaných nástrojů</v>
      </c>
      <c r="R545">
        <f>IF(ISNUMBER(SEARCH('1Př1'!$A$33,N545)),MAX($M$2:M544)+1,0)</f>
        <v>543</v>
      </c>
      <c r="S545" s="336" t="s">
        <v>2502</v>
      </c>
      <c r="T545" t="str">
        <f>IFERROR(VLOOKUP(ROWS($T$3:T545),$R$3:$S$992,2,0),"")</f>
        <v>Výroba ručních mechanizovaných nástrojů</v>
      </c>
      <c r="U545">
        <f>IF(ISNUMBER(SEARCH('1Př1'!$A$34,N545)),MAX($M$2:M544)+1,0)</f>
        <v>543</v>
      </c>
      <c r="V545" s="336" t="s">
        <v>2502</v>
      </c>
      <c r="W545" t="str">
        <f>IFERROR(VLOOKUP(ROWS($W$3:W545),$U$3:$V$992,2,0),"")</f>
        <v>Výroba ručních mechanizovaných nástrojů</v>
      </c>
      <c r="X545">
        <f>IF(ISNUMBER(SEARCH('1Př1'!$A$35,N545)),MAX($M$2:M544)+1,0)</f>
        <v>543</v>
      </c>
      <c r="Y545" s="336" t="s">
        <v>2502</v>
      </c>
      <c r="Z545" t="str">
        <f>IFERROR(VLOOKUP(ROWS($Z$3:Z545),$X$3:$Y$992,2,0),"")</f>
        <v>Výroba ručních mechanizovaných nástrojů</v>
      </c>
    </row>
    <row r="546" spans="13:26" ht="12.75">
      <c r="M546" s="335">
        <f>IF(ISNUMBER(SEARCH(ZAKL_DATA!$B$29,N546)),MAX($M$2:M545)+1,0)</f>
        <v>544</v>
      </c>
      <c r="N546" s="336" t="s">
        <v>2504</v>
      </c>
      <c r="O546" s="353" t="s">
        <v>2505</v>
      </c>
      <c r="P546" s="338"/>
      <c r="Q546" s="339" t="str">
        <f>IFERROR(VLOOKUP(ROWS($Q$3:Q546),$M$3:$N$992,2,0),"")</f>
        <v>Výroba průmyslových chladicích a klimatizačních zařízení</v>
      </c>
      <c r="R546">
        <f>IF(ISNUMBER(SEARCH('1Př1'!$A$33,N546)),MAX($M$2:M545)+1,0)</f>
        <v>544</v>
      </c>
      <c r="S546" s="336" t="s">
        <v>2504</v>
      </c>
      <c r="T546" t="str">
        <f>IFERROR(VLOOKUP(ROWS($T$3:T546),$R$3:$S$992,2,0),"")</f>
        <v>Výroba průmyslových chladicích a klimatizačních zařízení</v>
      </c>
      <c r="U546">
        <f>IF(ISNUMBER(SEARCH('1Př1'!$A$34,N546)),MAX($M$2:M545)+1,0)</f>
        <v>544</v>
      </c>
      <c r="V546" s="336" t="s">
        <v>2504</v>
      </c>
      <c r="W546" t="str">
        <f>IFERROR(VLOOKUP(ROWS($W$3:W546),$U$3:$V$992,2,0),"")</f>
        <v>Výroba průmyslových chladicích a klimatizačních zařízení</v>
      </c>
      <c r="X546">
        <f>IF(ISNUMBER(SEARCH('1Př1'!$A$35,N546)),MAX($M$2:M545)+1,0)</f>
        <v>544</v>
      </c>
      <c r="Y546" s="336" t="s">
        <v>2504</v>
      </c>
      <c r="Z546" t="str">
        <f>IFERROR(VLOOKUP(ROWS($Z$3:Z546),$X$3:$Y$992,2,0),"")</f>
        <v>Výroba průmyslových chladicích a klimatizačních zařízení</v>
      </c>
    </row>
    <row r="547" spans="13:26" ht="12.75">
      <c r="M547" s="335">
        <f>IF(ISNUMBER(SEARCH(ZAKL_DATA!$B$29,N547)),MAX($M$2:M546)+1,0)</f>
        <v>545</v>
      </c>
      <c r="N547" s="336" t="s">
        <v>2506</v>
      </c>
      <c r="O547" s="353" t="s">
        <v>2507</v>
      </c>
      <c r="P547" s="338"/>
      <c r="Q547" s="339" t="str">
        <f>IFERROR(VLOOKUP(ROWS($Q$3:Q547),$M$3:$N$992,2,0),"")</f>
        <v>Výroba ostatních strojů a zařízení pro všeobecné účely j. n.</v>
      </c>
      <c r="R547">
        <f>IF(ISNUMBER(SEARCH('1Př1'!$A$33,N547)),MAX($M$2:M546)+1,0)</f>
        <v>545</v>
      </c>
      <c r="S547" s="336" t="s">
        <v>2506</v>
      </c>
      <c r="T547" t="str">
        <f>IFERROR(VLOOKUP(ROWS($T$3:T547),$R$3:$S$992,2,0),"")</f>
        <v>Výroba ostatních strojů a zařízení pro všeobecné účely j. n.</v>
      </c>
      <c r="U547">
        <f>IF(ISNUMBER(SEARCH('1Př1'!$A$34,N547)),MAX($M$2:M546)+1,0)</f>
        <v>545</v>
      </c>
      <c r="V547" s="336" t="s">
        <v>2506</v>
      </c>
      <c r="W547" t="str">
        <f>IFERROR(VLOOKUP(ROWS($W$3:W547),$U$3:$V$992,2,0),"")</f>
        <v>Výroba ostatních strojů a zařízení pro všeobecné účely j. n.</v>
      </c>
      <c r="X547">
        <f>IF(ISNUMBER(SEARCH('1Př1'!$A$35,N547)),MAX($M$2:M546)+1,0)</f>
        <v>545</v>
      </c>
      <c r="Y547" s="336" t="s">
        <v>2506</v>
      </c>
      <c r="Z547" t="str">
        <f>IFERROR(VLOOKUP(ROWS($Z$3:Z547),$X$3:$Y$992,2,0),"")</f>
        <v>Výroba ostatních strojů a zařízení pro všeobecné účely j. n.</v>
      </c>
    </row>
    <row r="548" spans="13:26" ht="12.75">
      <c r="M548" s="335">
        <f>IF(ISNUMBER(SEARCH(ZAKL_DATA!$B$29,N548)),MAX($M$2:M547)+1,0)</f>
        <v>546</v>
      </c>
      <c r="N548" s="336" t="s">
        <v>2508</v>
      </c>
      <c r="O548" s="353" t="s">
        <v>2509</v>
      </c>
      <c r="P548" s="338"/>
      <c r="Q548" s="339" t="str">
        <f>IFERROR(VLOOKUP(ROWS($Q$3:Q548),$M$3:$N$992,2,0),"")</f>
        <v>Výroba kovoobráběcích strojů</v>
      </c>
      <c r="R548">
        <f>IF(ISNUMBER(SEARCH('1Př1'!$A$33,N548)),MAX($M$2:M547)+1,0)</f>
        <v>546</v>
      </c>
      <c r="S548" s="336" t="s">
        <v>2508</v>
      </c>
      <c r="T548" t="str">
        <f>IFERROR(VLOOKUP(ROWS($T$3:T548),$R$3:$S$992,2,0),"")</f>
        <v>Výroba kovoobráběcích strojů</v>
      </c>
      <c r="U548">
        <f>IF(ISNUMBER(SEARCH('1Př1'!$A$34,N548)),MAX($M$2:M547)+1,0)</f>
        <v>546</v>
      </c>
      <c r="V548" s="336" t="s">
        <v>2508</v>
      </c>
      <c r="W548" t="str">
        <f>IFERROR(VLOOKUP(ROWS($W$3:W548),$U$3:$V$992,2,0),"")</f>
        <v>Výroba kovoobráběcích strojů</v>
      </c>
      <c r="X548">
        <f>IF(ISNUMBER(SEARCH('1Př1'!$A$35,N548)),MAX($M$2:M547)+1,0)</f>
        <v>546</v>
      </c>
      <c r="Y548" s="336" t="s">
        <v>2508</v>
      </c>
      <c r="Z548" t="str">
        <f>IFERROR(VLOOKUP(ROWS($Z$3:Z548),$X$3:$Y$992,2,0),"")</f>
        <v>Výroba kovoobráběcích strojů</v>
      </c>
    </row>
    <row r="549" spans="13:26" ht="12.75">
      <c r="M549" s="335">
        <f>IF(ISNUMBER(SEARCH(ZAKL_DATA!$B$29,N549)),MAX($M$2:M548)+1,0)</f>
        <v>547</v>
      </c>
      <c r="N549" s="336" t="s">
        <v>2510</v>
      </c>
      <c r="O549" s="353" t="s">
        <v>2511</v>
      </c>
      <c r="P549" s="338"/>
      <c r="Q549" s="339" t="str">
        <f>IFERROR(VLOOKUP(ROWS($Q$3:Q549),$M$3:$N$992,2,0),"")</f>
        <v>Výroba ostatních obráběcích strojů</v>
      </c>
      <c r="R549">
        <f>IF(ISNUMBER(SEARCH('1Př1'!$A$33,N549)),MAX($M$2:M548)+1,0)</f>
        <v>547</v>
      </c>
      <c r="S549" s="336" t="s">
        <v>2510</v>
      </c>
      <c r="T549" t="str">
        <f>IFERROR(VLOOKUP(ROWS($T$3:T549),$R$3:$S$992,2,0),"")</f>
        <v>Výroba ostatních obráběcích strojů</v>
      </c>
      <c r="U549">
        <f>IF(ISNUMBER(SEARCH('1Př1'!$A$34,N549)),MAX($M$2:M548)+1,0)</f>
        <v>547</v>
      </c>
      <c r="V549" s="336" t="s">
        <v>2510</v>
      </c>
      <c r="W549" t="str">
        <f>IFERROR(VLOOKUP(ROWS($W$3:W549),$U$3:$V$992,2,0),"")</f>
        <v>Výroba ostatních obráběcích strojů</v>
      </c>
      <c r="X549">
        <f>IF(ISNUMBER(SEARCH('1Př1'!$A$35,N549)),MAX($M$2:M548)+1,0)</f>
        <v>547</v>
      </c>
      <c r="Y549" s="336" t="s">
        <v>2510</v>
      </c>
      <c r="Z549" t="str">
        <f>IFERROR(VLOOKUP(ROWS($Z$3:Z549),$X$3:$Y$992,2,0),"")</f>
        <v>Výroba ostatních obráběcích strojů</v>
      </c>
    </row>
    <row r="550" spans="13:26" ht="12.75">
      <c r="M550" s="335">
        <f>IF(ISNUMBER(SEARCH(ZAKL_DATA!$B$29,N550)),MAX($M$2:M549)+1,0)</f>
        <v>548</v>
      </c>
      <c r="N550" s="336" t="s">
        <v>2512</v>
      </c>
      <c r="O550" s="353" t="s">
        <v>2513</v>
      </c>
      <c r="P550" s="338"/>
      <c r="Q550" s="339" t="str">
        <f>IFERROR(VLOOKUP(ROWS($Q$3:Q550),$M$3:$N$992,2,0),"")</f>
        <v>Výroba strojů pro metalurgii</v>
      </c>
      <c r="R550">
        <f>IF(ISNUMBER(SEARCH('1Př1'!$A$33,N550)),MAX($M$2:M549)+1,0)</f>
        <v>548</v>
      </c>
      <c r="S550" s="336" t="s">
        <v>2512</v>
      </c>
      <c r="T550" t="str">
        <f>IFERROR(VLOOKUP(ROWS($T$3:T550),$R$3:$S$992,2,0),"")</f>
        <v>Výroba strojů pro metalurgii</v>
      </c>
      <c r="U550">
        <f>IF(ISNUMBER(SEARCH('1Př1'!$A$34,N550)),MAX($M$2:M549)+1,0)</f>
        <v>548</v>
      </c>
      <c r="V550" s="336" t="s">
        <v>2512</v>
      </c>
      <c r="W550" t="str">
        <f>IFERROR(VLOOKUP(ROWS($W$3:W550),$U$3:$V$992,2,0),"")</f>
        <v>Výroba strojů pro metalurgii</v>
      </c>
      <c r="X550">
        <f>IF(ISNUMBER(SEARCH('1Př1'!$A$35,N550)),MAX($M$2:M549)+1,0)</f>
        <v>548</v>
      </c>
      <c r="Y550" s="336" t="s">
        <v>2512</v>
      </c>
      <c r="Z550" t="str">
        <f>IFERROR(VLOOKUP(ROWS($Z$3:Z550),$X$3:$Y$992,2,0),"")</f>
        <v>Výroba strojů pro metalurgii</v>
      </c>
    </row>
    <row r="551" spans="13:26" ht="12.75">
      <c r="M551" s="335">
        <f>IF(ISNUMBER(SEARCH(ZAKL_DATA!$B$29,N551)),MAX($M$2:M550)+1,0)</f>
        <v>549</v>
      </c>
      <c r="N551" s="336" t="s">
        <v>2514</v>
      </c>
      <c r="O551" s="353" t="s">
        <v>2515</v>
      </c>
      <c r="P551" s="338"/>
      <c r="Q551" s="339" t="str">
        <f>IFERROR(VLOOKUP(ROWS($Q$3:Q551),$M$3:$N$992,2,0),"")</f>
        <v>Výroba strojů pro těžbu, dobývání a stavebnictví</v>
      </c>
      <c r="R551">
        <f>IF(ISNUMBER(SEARCH('1Př1'!$A$33,N551)),MAX($M$2:M550)+1,0)</f>
        <v>549</v>
      </c>
      <c r="S551" s="336" t="s">
        <v>2514</v>
      </c>
      <c r="T551" t="str">
        <f>IFERROR(VLOOKUP(ROWS($T$3:T551),$R$3:$S$992,2,0),"")</f>
        <v>Výroba strojů pro těžbu, dobývání a stavebnictví</v>
      </c>
      <c r="U551">
        <f>IF(ISNUMBER(SEARCH('1Př1'!$A$34,N551)),MAX($M$2:M550)+1,0)</f>
        <v>549</v>
      </c>
      <c r="V551" s="336" t="s">
        <v>2514</v>
      </c>
      <c r="W551" t="str">
        <f>IFERROR(VLOOKUP(ROWS($W$3:W551),$U$3:$V$992,2,0),"")</f>
        <v>Výroba strojů pro těžbu, dobývání a stavebnictví</v>
      </c>
      <c r="X551">
        <f>IF(ISNUMBER(SEARCH('1Př1'!$A$35,N551)),MAX($M$2:M550)+1,0)</f>
        <v>549</v>
      </c>
      <c r="Y551" s="336" t="s">
        <v>2514</v>
      </c>
      <c r="Z551" t="str">
        <f>IFERROR(VLOOKUP(ROWS($Z$3:Z551),$X$3:$Y$992,2,0),"")</f>
        <v>Výroba strojů pro těžbu, dobývání a stavebnictví</v>
      </c>
    </row>
    <row r="552" spans="13:26" ht="12.75">
      <c r="M552" s="335">
        <f>IF(ISNUMBER(SEARCH(ZAKL_DATA!$B$29,N552)),MAX($M$2:M551)+1,0)</f>
        <v>550</v>
      </c>
      <c r="N552" s="336" t="s">
        <v>2516</v>
      </c>
      <c r="O552" s="353" t="s">
        <v>2517</v>
      </c>
      <c r="P552" s="338"/>
      <c r="Q552" s="339" t="str">
        <f>IFERROR(VLOOKUP(ROWS($Q$3:Q552),$M$3:$N$992,2,0),"")</f>
        <v>Výroba strojů na výrobu potravin, nápojů a zpracování tabáku</v>
      </c>
      <c r="R552">
        <f>IF(ISNUMBER(SEARCH('1Př1'!$A$33,N552)),MAX($M$2:M551)+1,0)</f>
        <v>550</v>
      </c>
      <c r="S552" s="336" t="s">
        <v>2516</v>
      </c>
      <c r="T552" t="str">
        <f>IFERROR(VLOOKUP(ROWS($T$3:T552),$R$3:$S$992,2,0),"")</f>
        <v>Výroba strojů na výrobu potravin, nápojů a zpracování tabáku</v>
      </c>
      <c r="U552">
        <f>IF(ISNUMBER(SEARCH('1Př1'!$A$34,N552)),MAX($M$2:M551)+1,0)</f>
        <v>550</v>
      </c>
      <c r="V552" s="336" t="s">
        <v>2516</v>
      </c>
      <c r="W552" t="str">
        <f>IFERROR(VLOOKUP(ROWS($W$3:W552),$U$3:$V$992,2,0),"")</f>
        <v>Výroba strojů na výrobu potravin, nápojů a zpracování tabáku</v>
      </c>
      <c r="X552">
        <f>IF(ISNUMBER(SEARCH('1Př1'!$A$35,N552)),MAX($M$2:M551)+1,0)</f>
        <v>550</v>
      </c>
      <c r="Y552" s="336" t="s">
        <v>2516</v>
      </c>
      <c r="Z552" t="str">
        <f>IFERROR(VLOOKUP(ROWS($Z$3:Z552),$X$3:$Y$992,2,0),"")</f>
        <v>Výroba strojů na výrobu potravin, nápojů a zpracování tabáku</v>
      </c>
    </row>
    <row r="553" spans="13:26" ht="12.75">
      <c r="M553" s="335">
        <f>IF(ISNUMBER(SEARCH(ZAKL_DATA!$B$29,N553)),MAX($M$2:M552)+1,0)</f>
        <v>551</v>
      </c>
      <c r="N553" s="336" t="s">
        <v>2518</v>
      </c>
      <c r="O553" s="353" t="s">
        <v>2519</v>
      </c>
      <c r="P553" s="338"/>
      <c r="Q553" s="339" t="str">
        <f>IFERROR(VLOOKUP(ROWS($Q$3:Q553),$M$3:$N$992,2,0),"")</f>
        <v>Výroba strojů na výrobu textilu, oděvních výrobků a výrobků z usní</v>
      </c>
      <c r="R553">
        <f>IF(ISNUMBER(SEARCH('1Př1'!$A$33,N553)),MAX($M$2:M552)+1,0)</f>
        <v>551</v>
      </c>
      <c r="S553" s="336" t="s">
        <v>2518</v>
      </c>
      <c r="T553" t="str">
        <f>IFERROR(VLOOKUP(ROWS($T$3:T553),$R$3:$S$992,2,0),"")</f>
        <v>Výroba strojů na výrobu textilu, oděvních výrobků a výrobků z usní</v>
      </c>
      <c r="U553">
        <f>IF(ISNUMBER(SEARCH('1Př1'!$A$34,N553)),MAX($M$2:M552)+1,0)</f>
        <v>551</v>
      </c>
      <c r="V553" s="336" t="s">
        <v>2518</v>
      </c>
      <c r="W553" t="str">
        <f>IFERROR(VLOOKUP(ROWS($W$3:W553),$U$3:$V$992,2,0),"")</f>
        <v>Výroba strojů na výrobu textilu, oděvních výrobků a výrobků z usní</v>
      </c>
      <c r="X553">
        <f>IF(ISNUMBER(SEARCH('1Př1'!$A$35,N553)),MAX($M$2:M552)+1,0)</f>
        <v>551</v>
      </c>
      <c r="Y553" s="336" t="s">
        <v>2518</v>
      </c>
      <c r="Z553" t="str">
        <f>IFERROR(VLOOKUP(ROWS($Z$3:Z553),$X$3:$Y$992,2,0),"")</f>
        <v>Výroba strojů na výrobu textilu, oděvních výrobků a výrobků z usní</v>
      </c>
    </row>
    <row r="554" spans="13:26" ht="12.75">
      <c r="M554" s="335">
        <f>IF(ISNUMBER(SEARCH(ZAKL_DATA!$B$29,N554)),MAX($M$2:M553)+1,0)</f>
        <v>552</v>
      </c>
      <c r="N554" s="336" t="s">
        <v>2520</v>
      </c>
      <c r="O554" s="353" t="s">
        <v>2521</v>
      </c>
      <c r="P554" s="338"/>
      <c r="Q554" s="339" t="str">
        <f>IFERROR(VLOOKUP(ROWS($Q$3:Q554),$M$3:$N$992,2,0),"")</f>
        <v>Výroba strojů a přístrojů na výrobu papíru a lepenky</v>
      </c>
      <c r="R554">
        <f>IF(ISNUMBER(SEARCH('1Př1'!$A$33,N554)),MAX($M$2:M553)+1,0)</f>
        <v>552</v>
      </c>
      <c r="S554" s="336" t="s">
        <v>2520</v>
      </c>
      <c r="T554" t="str">
        <f>IFERROR(VLOOKUP(ROWS($T$3:T554),$R$3:$S$992,2,0),"")</f>
        <v>Výroba strojů a přístrojů na výrobu papíru a lepenky</v>
      </c>
      <c r="U554">
        <f>IF(ISNUMBER(SEARCH('1Př1'!$A$34,N554)),MAX($M$2:M553)+1,0)</f>
        <v>552</v>
      </c>
      <c r="V554" s="336" t="s">
        <v>2520</v>
      </c>
      <c r="W554" t="str">
        <f>IFERROR(VLOOKUP(ROWS($W$3:W554),$U$3:$V$992,2,0),"")</f>
        <v>Výroba strojů a přístrojů na výrobu papíru a lepenky</v>
      </c>
      <c r="X554">
        <f>IF(ISNUMBER(SEARCH('1Př1'!$A$35,N554)),MAX($M$2:M553)+1,0)</f>
        <v>552</v>
      </c>
      <c r="Y554" s="336" t="s">
        <v>2520</v>
      </c>
      <c r="Z554" t="str">
        <f>IFERROR(VLOOKUP(ROWS($Z$3:Z554),$X$3:$Y$992,2,0),"")</f>
        <v>Výroba strojů a přístrojů na výrobu papíru a lepenky</v>
      </c>
    </row>
    <row r="555" spans="13:26" ht="12.75">
      <c r="M555" s="335">
        <f>IF(ISNUMBER(SEARCH(ZAKL_DATA!$B$29,N555)),MAX($M$2:M554)+1,0)</f>
        <v>553</v>
      </c>
      <c r="N555" s="336" t="s">
        <v>2522</v>
      </c>
      <c r="O555" s="353" t="s">
        <v>2523</v>
      </c>
      <c r="P555" s="338"/>
      <c r="Q555" s="339" t="str">
        <f>IFERROR(VLOOKUP(ROWS($Q$3:Q555),$M$3:$N$992,2,0),"")</f>
        <v>Výroba strojů na výrobu plastů a pryže</v>
      </c>
      <c r="R555">
        <f>IF(ISNUMBER(SEARCH('1Př1'!$A$33,N555)),MAX($M$2:M554)+1,0)</f>
        <v>553</v>
      </c>
      <c r="S555" s="336" t="s">
        <v>2522</v>
      </c>
      <c r="T555" t="str">
        <f>IFERROR(VLOOKUP(ROWS($T$3:T555),$R$3:$S$992,2,0),"")</f>
        <v>Výroba strojů na výrobu plastů a pryže</v>
      </c>
      <c r="U555">
        <f>IF(ISNUMBER(SEARCH('1Př1'!$A$34,N555)),MAX($M$2:M554)+1,0)</f>
        <v>553</v>
      </c>
      <c r="V555" s="336" t="s">
        <v>2522</v>
      </c>
      <c r="W555" t="str">
        <f>IFERROR(VLOOKUP(ROWS($W$3:W555),$U$3:$V$992,2,0),"")</f>
        <v>Výroba strojů na výrobu plastů a pryže</v>
      </c>
      <c r="X555">
        <f>IF(ISNUMBER(SEARCH('1Př1'!$A$35,N555)),MAX($M$2:M554)+1,0)</f>
        <v>553</v>
      </c>
      <c r="Y555" s="336" t="s">
        <v>2522</v>
      </c>
      <c r="Z555" t="str">
        <f>IFERROR(VLOOKUP(ROWS($Z$3:Z555),$X$3:$Y$992,2,0),"")</f>
        <v>Výroba strojů na výrobu plastů a pryže</v>
      </c>
    </row>
    <row r="556" spans="13:26" ht="12.75">
      <c r="M556" s="335">
        <f>IF(ISNUMBER(SEARCH(ZAKL_DATA!$B$29,N556)),MAX($M$2:M555)+1,0)</f>
        <v>554</v>
      </c>
      <c r="N556" s="336" t="s">
        <v>2524</v>
      </c>
      <c r="O556" s="353" t="s">
        <v>2525</v>
      </c>
      <c r="P556" s="338"/>
      <c r="Q556" s="339" t="str">
        <f>IFERROR(VLOOKUP(ROWS($Q$3:Q556),$M$3:$N$992,2,0),"")</f>
        <v>Výroba ostatních strojů pro speciální účely j. n.</v>
      </c>
      <c r="R556">
        <f>IF(ISNUMBER(SEARCH('1Př1'!$A$33,N556)),MAX($M$2:M555)+1,0)</f>
        <v>554</v>
      </c>
      <c r="S556" s="336" t="s">
        <v>2524</v>
      </c>
      <c r="T556" t="str">
        <f>IFERROR(VLOOKUP(ROWS($T$3:T556),$R$3:$S$992,2,0),"")</f>
        <v>Výroba ostatních strojů pro speciální účely j. n.</v>
      </c>
      <c r="U556">
        <f>IF(ISNUMBER(SEARCH('1Př1'!$A$34,N556)),MAX($M$2:M555)+1,0)</f>
        <v>554</v>
      </c>
      <c r="V556" s="336" t="s">
        <v>2524</v>
      </c>
      <c r="W556" t="str">
        <f>IFERROR(VLOOKUP(ROWS($W$3:W556),$U$3:$V$992,2,0),"")</f>
        <v>Výroba ostatních strojů pro speciální účely j. n.</v>
      </c>
      <c r="X556">
        <f>IF(ISNUMBER(SEARCH('1Př1'!$A$35,N556)),MAX($M$2:M555)+1,0)</f>
        <v>554</v>
      </c>
      <c r="Y556" s="336" t="s">
        <v>2524</v>
      </c>
      <c r="Z556" t="str">
        <f>IFERROR(VLOOKUP(ROWS($Z$3:Z556),$X$3:$Y$992,2,0),"")</f>
        <v>Výroba ostatních strojů pro speciální účely j. n.</v>
      </c>
    </row>
    <row r="557" spans="13:26" ht="12.75">
      <c r="M557" s="335">
        <f>IF(ISNUMBER(SEARCH(ZAKL_DATA!$B$29,N557)),MAX($M$2:M556)+1,0)</f>
        <v>555</v>
      </c>
      <c r="N557" s="336" t="s">
        <v>2526</v>
      </c>
      <c r="O557" s="353" t="s">
        <v>2527</v>
      </c>
      <c r="P557" s="338"/>
      <c r="Q557" s="339" t="str">
        <f>IFERROR(VLOOKUP(ROWS($Q$3:Q557),$M$3:$N$992,2,0),"")</f>
        <v>Výroba elektrického a elektronického zařízení pro motorová vozidla</v>
      </c>
      <c r="R557">
        <f>IF(ISNUMBER(SEARCH('1Př1'!$A$33,N557)),MAX($M$2:M556)+1,0)</f>
        <v>555</v>
      </c>
      <c r="S557" s="336" t="s">
        <v>2526</v>
      </c>
      <c r="T557" t="str">
        <f>IFERROR(VLOOKUP(ROWS($T$3:T557),$R$3:$S$992,2,0),"")</f>
        <v>Výroba elektrického a elektronického zařízení pro motorová vozidla</v>
      </c>
      <c r="U557">
        <f>IF(ISNUMBER(SEARCH('1Př1'!$A$34,N557)),MAX($M$2:M556)+1,0)</f>
        <v>555</v>
      </c>
      <c r="V557" s="336" t="s">
        <v>2526</v>
      </c>
      <c r="W557" t="str">
        <f>IFERROR(VLOOKUP(ROWS($W$3:W557),$U$3:$V$992,2,0),"")</f>
        <v>Výroba elektrického a elektronického zařízení pro motorová vozidla</v>
      </c>
      <c r="X557">
        <f>IF(ISNUMBER(SEARCH('1Př1'!$A$35,N557)),MAX($M$2:M556)+1,0)</f>
        <v>555</v>
      </c>
      <c r="Y557" s="336" t="s">
        <v>2526</v>
      </c>
      <c r="Z557" t="str">
        <f>IFERROR(VLOOKUP(ROWS($Z$3:Z557),$X$3:$Y$992,2,0),"")</f>
        <v>Výroba elektrického a elektronického zařízení pro motorová vozidla</v>
      </c>
    </row>
    <row r="558" spans="13:26" ht="12.75">
      <c r="M558" s="335">
        <f>IF(ISNUMBER(SEARCH(ZAKL_DATA!$B$29,N558)),MAX($M$2:M557)+1,0)</f>
        <v>556</v>
      </c>
      <c r="N558" s="336" t="s">
        <v>2528</v>
      </c>
      <c r="O558" s="353" t="s">
        <v>2529</v>
      </c>
      <c r="P558" s="338"/>
      <c r="Q558" s="339" t="str">
        <f>IFERROR(VLOOKUP(ROWS($Q$3:Q558),$M$3:$N$992,2,0),"")</f>
        <v>Výroba ostatních dílů a příslušenství pro motorová vozidla</v>
      </c>
      <c r="R558">
        <f>IF(ISNUMBER(SEARCH('1Př1'!$A$33,N558)),MAX($M$2:M557)+1,0)</f>
        <v>556</v>
      </c>
      <c r="S558" s="336" t="s">
        <v>2528</v>
      </c>
      <c r="T558" t="str">
        <f>IFERROR(VLOOKUP(ROWS($T$3:T558),$R$3:$S$992,2,0),"")</f>
        <v>Výroba ostatních dílů a příslušenství pro motorová vozidla</v>
      </c>
      <c r="U558">
        <f>IF(ISNUMBER(SEARCH('1Př1'!$A$34,N558)),MAX($M$2:M557)+1,0)</f>
        <v>556</v>
      </c>
      <c r="V558" s="336" t="s">
        <v>2528</v>
      </c>
      <c r="W558" t="str">
        <f>IFERROR(VLOOKUP(ROWS($W$3:W558),$U$3:$V$992,2,0),"")</f>
        <v>Výroba ostatních dílů a příslušenství pro motorová vozidla</v>
      </c>
      <c r="X558">
        <f>IF(ISNUMBER(SEARCH('1Př1'!$A$35,N558)),MAX($M$2:M557)+1,0)</f>
        <v>556</v>
      </c>
      <c r="Y558" s="336" t="s">
        <v>2528</v>
      </c>
      <c r="Z558" t="str">
        <f>IFERROR(VLOOKUP(ROWS($Z$3:Z558),$X$3:$Y$992,2,0),"")</f>
        <v>Výroba ostatních dílů a příslušenství pro motorová vozidla</v>
      </c>
    </row>
    <row r="559" spans="13:26" ht="12.75">
      <c r="M559" s="335">
        <f>IF(ISNUMBER(SEARCH(ZAKL_DATA!$B$29,N559)),MAX($M$2:M558)+1,0)</f>
        <v>557</v>
      </c>
      <c r="N559" s="336" t="s">
        <v>2530</v>
      </c>
      <c r="O559" s="353" t="s">
        <v>2531</v>
      </c>
      <c r="P559" s="338"/>
      <c r="Q559" s="339" t="str">
        <f>IFERROR(VLOOKUP(ROWS($Q$3:Q559),$M$3:$N$992,2,0),"")</f>
        <v>Stavba lodí a plavidel</v>
      </c>
      <c r="R559">
        <f>IF(ISNUMBER(SEARCH('1Př1'!$A$33,N559)),MAX($M$2:M558)+1,0)</f>
        <v>557</v>
      </c>
      <c r="S559" s="336" t="s">
        <v>2530</v>
      </c>
      <c r="T559" t="str">
        <f>IFERROR(VLOOKUP(ROWS($T$3:T559),$R$3:$S$992,2,0),"")</f>
        <v>Stavba lodí a plavidel</v>
      </c>
      <c r="U559">
        <f>IF(ISNUMBER(SEARCH('1Př1'!$A$34,N559)),MAX($M$2:M558)+1,0)</f>
        <v>557</v>
      </c>
      <c r="V559" s="336" t="s">
        <v>2530</v>
      </c>
      <c r="W559" t="str">
        <f>IFERROR(VLOOKUP(ROWS($W$3:W559),$U$3:$V$992,2,0),"")</f>
        <v>Stavba lodí a plavidel</v>
      </c>
      <c r="X559">
        <f>IF(ISNUMBER(SEARCH('1Př1'!$A$35,N559)),MAX($M$2:M558)+1,0)</f>
        <v>557</v>
      </c>
      <c r="Y559" s="336" t="s">
        <v>2530</v>
      </c>
      <c r="Z559" t="str">
        <f>IFERROR(VLOOKUP(ROWS($Z$3:Z559),$X$3:$Y$992,2,0),"")</f>
        <v>Stavba lodí a plavidel</v>
      </c>
    </row>
    <row r="560" spans="13:26" ht="12.75">
      <c r="M560" s="335">
        <f>IF(ISNUMBER(SEARCH(ZAKL_DATA!$B$29,N560)),MAX($M$2:M559)+1,0)</f>
        <v>558</v>
      </c>
      <c r="N560" s="336" t="s">
        <v>2532</v>
      </c>
      <c r="O560" s="353" t="s">
        <v>2533</v>
      </c>
      <c r="P560" s="338"/>
      <c r="Q560" s="339" t="str">
        <f>IFERROR(VLOOKUP(ROWS($Q$3:Q560),$M$3:$N$992,2,0),"")</f>
        <v>Stavba rekreačních a sportovních člunů</v>
      </c>
      <c r="R560">
        <f>IF(ISNUMBER(SEARCH('1Př1'!$A$33,N560)),MAX($M$2:M559)+1,0)</f>
        <v>558</v>
      </c>
      <c r="S560" s="336" t="s">
        <v>2532</v>
      </c>
      <c r="T560" t="str">
        <f>IFERROR(VLOOKUP(ROWS($T$3:T560),$R$3:$S$992,2,0),"")</f>
        <v>Stavba rekreačních a sportovních člunů</v>
      </c>
      <c r="U560">
        <f>IF(ISNUMBER(SEARCH('1Př1'!$A$34,N560)),MAX($M$2:M559)+1,0)</f>
        <v>558</v>
      </c>
      <c r="V560" s="336" t="s">
        <v>2532</v>
      </c>
      <c r="W560" t="str">
        <f>IFERROR(VLOOKUP(ROWS($W$3:W560),$U$3:$V$992,2,0),"")</f>
        <v>Stavba rekreačních a sportovních člunů</v>
      </c>
      <c r="X560">
        <f>IF(ISNUMBER(SEARCH('1Př1'!$A$35,N560)),MAX($M$2:M559)+1,0)</f>
        <v>558</v>
      </c>
      <c r="Y560" s="336" t="s">
        <v>2532</v>
      </c>
      <c r="Z560" t="str">
        <f>IFERROR(VLOOKUP(ROWS($Z$3:Z560),$X$3:$Y$992,2,0),"")</f>
        <v>Stavba rekreačních a sportovních člunů</v>
      </c>
    </row>
    <row r="561" spans="13:26" ht="12.75">
      <c r="M561" s="335">
        <f>IF(ISNUMBER(SEARCH(ZAKL_DATA!$B$29,N561)),MAX($M$2:M560)+1,0)</f>
        <v>559</v>
      </c>
      <c r="N561" s="336" t="s">
        <v>2534</v>
      </c>
      <c r="O561" s="353" t="s">
        <v>2535</v>
      </c>
      <c r="P561" s="338"/>
      <c r="Q561" s="339" t="str">
        <f>IFERROR(VLOOKUP(ROWS($Q$3:Q561),$M$3:$N$992,2,0),"")</f>
        <v>Výroba motocyklů</v>
      </c>
      <c r="R561">
        <f>IF(ISNUMBER(SEARCH('1Př1'!$A$33,N561)),MAX($M$2:M560)+1,0)</f>
        <v>559</v>
      </c>
      <c r="S561" s="336" t="s">
        <v>2534</v>
      </c>
      <c r="T561" t="str">
        <f>IFERROR(VLOOKUP(ROWS($T$3:T561),$R$3:$S$992,2,0),"")</f>
        <v>Výroba motocyklů</v>
      </c>
      <c r="U561">
        <f>IF(ISNUMBER(SEARCH('1Př1'!$A$34,N561)),MAX($M$2:M560)+1,0)</f>
        <v>559</v>
      </c>
      <c r="V561" s="336" t="s">
        <v>2534</v>
      </c>
      <c r="W561" t="str">
        <f>IFERROR(VLOOKUP(ROWS($W$3:W561),$U$3:$V$992,2,0),"")</f>
        <v>Výroba motocyklů</v>
      </c>
      <c r="X561">
        <f>IF(ISNUMBER(SEARCH('1Př1'!$A$35,N561)),MAX($M$2:M560)+1,0)</f>
        <v>559</v>
      </c>
      <c r="Y561" s="336" t="s">
        <v>2534</v>
      </c>
      <c r="Z561" t="str">
        <f>IFERROR(VLOOKUP(ROWS($Z$3:Z561),$X$3:$Y$992,2,0),"")</f>
        <v>Výroba motocyklů</v>
      </c>
    </row>
    <row r="562" spans="13:26" ht="12.75">
      <c r="M562" s="335">
        <f>IF(ISNUMBER(SEARCH(ZAKL_DATA!$B$29,N562)),MAX($M$2:M561)+1,0)</f>
        <v>560</v>
      </c>
      <c r="N562" s="336" t="s">
        <v>2536</v>
      </c>
      <c r="O562" s="353" t="s">
        <v>2537</v>
      </c>
      <c r="P562" s="338"/>
      <c r="Q562" s="339" t="str">
        <f>IFERROR(VLOOKUP(ROWS($Q$3:Q562),$M$3:$N$992,2,0),"")</f>
        <v>Výroba jízdních kol a vozíků pro invalidy</v>
      </c>
      <c r="R562">
        <f>IF(ISNUMBER(SEARCH('1Př1'!$A$33,N562)),MAX($M$2:M561)+1,0)</f>
        <v>560</v>
      </c>
      <c r="S562" s="336" t="s">
        <v>2536</v>
      </c>
      <c r="T562" t="str">
        <f>IFERROR(VLOOKUP(ROWS($T$3:T562),$R$3:$S$992,2,0),"")</f>
        <v>Výroba jízdních kol a vozíků pro invalidy</v>
      </c>
      <c r="U562">
        <f>IF(ISNUMBER(SEARCH('1Př1'!$A$34,N562)),MAX($M$2:M561)+1,0)</f>
        <v>560</v>
      </c>
      <c r="V562" s="336" t="s">
        <v>2536</v>
      </c>
      <c r="W562" t="str">
        <f>IFERROR(VLOOKUP(ROWS($W$3:W562),$U$3:$V$992,2,0),"")</f>
        <v>Výroba jízdních kol a vozíků pro invalidy</v>
      </c>
      <c r="X562">
        <f>IF(ISNUMBER(SEARCH('1Př1'!$A$35,N562)),MAX($M$2:M561)+1,0)</f>
        <v>560</v>
      </c>
      <c r="Y562" s="336" t="s">
        <v>2536</v>
      </c>
      <c r="Z562" t="str">
        <f>IFERROR(VLOOKUP(ROWS($Z$3:Z562),$X$3:$Y$992,2,0),"")</f>
        <v>Výroba jízdních kol a vozíků pro invalidy</v>
      </c>
    </row>
    <row r="563" spans="13:26" ht="12.75">
      <c r="M563" s="335">
        <f>IF(ISNUMBER(SEARCH(ZAKL_DATA!$B$29,N563)),MAX($M$2:M562)+1,0)</f>
        <v>561</v>
      </c>
      <c r="N563" s="336" t="s">
        <v>2538</v>
      </c>
      <c r="O563" s="353" t="s">
        <v>2539</v>
      </c>
      <c r="P563" s="338"/>
      <c r="Q563" s="339" t="str">
        <f>IFERROR(VLOOKUP(ROWS($Q$3:Q563),$M$3:$N$992,2,0),"")</f>
        <v>Výroba ostatních dopravních prostředků a zařízení j. n.</v>
      </c>
      <c r="R563">
        <f>IF(ISNUMBER(SEARCH('1Př1'!$A$33,N563)),MAX($M$2:M562)+1,0)</f>
        <v>561</v>
      </c>
      <c r="S563" s="336" t="s">
        <v>2538</v>
      </c>
      <c r="T563" t="str">
        <f>IFERROR(VLOOKUP(ROWS($T$3:T563),$R$3:$S$992,2,0),"")</f>
        <v>Výroba ostatních dopravních prostředků a zařízení j. n.</v>
      </c>
      <c r="U563">
        <f>IF(ISNUMBER(SEARCH('1Př1'!$A$34,N563)),MAX($M$2:M562)+1,0)</f>
        <v>561</v>
      </c>
      <c r="V563" s="336" t="s">
        <v>2538</v>
      </c>
      <c r="W563" t="str">
        <f>IFERROR(VLOOKUP(ROWS($W$3:W563),$U$3:$V$992,2,0),"")</f>
        <v>Výroba ostatních dopravních prostředků a zařízení j. n.</v>
      </c>
      <c r="X563">
        <f>IF(ISNUMBER(SEARCH('1Př1'!$A$35,N563)),MAX($M$2:M562)+1,0)</f>
        <v>561</v>
      </c>
      <c r="Y563" s="336" t="s">
        <v>2538</v>
      </c>
      <c r="Z563" t="str">
        <f>IFERROR(VLOOKUP(ROWS($Z$3:Z563),$X$3:$Y$992,2,0),"")</f>
        <v>Výroba ostatních dopravních prostředků a zařízení j. n.</v>
      </c>
    </row>
    <row r="564" spans="13:26" ht="12.75">
      <c r="M564" s="335">
        <f>IF(ISNUMBER(SEARCH(ZAKL_DATA!$B$29,N564)),MAX($M$2:M563)+1,0)</f>
        <v>562</v>
      </c>
      <c r="N564" s="336" t="s">
        <v>2540</v>
      </c>
      <c r="O564" s="353" t="s">
        <v>2541</v>
      </c>
      <c r="P564" s="338"/>
      <c r="Q564" s="339" t="str">
        <f>IFERROR(VLOOKUP(ROWS($Q$3:Q564),$M$3:$N$992,2,0),"")</f>
        <v>Výroba kancelářského nábytku a zařízení obchodů</v>
      </c>
      <c r="R564">
        <f>IF(ISNUMBER(SEARCH('1Př1'!$A$33,N564)),MAX($M$2:M563)+1,0)</f>
        <v>562</v>
      </c>
      <c r="S564" s="336" t="s">
        <v>2540</v>
      </c>
      <c r="T564" t="str">
        <f>IFERROR(VLOOKUP(ROWS($T$3:T564),$R$3:$S$992,2,0),"")</f>
        <v>Výroba kancelářského nábytku a zařízení obchodů</v>
      </c>
      <c r="U564">
        <f>IF(ISNUMBER(SEARCH('1Př1'!$A$34,N564)),MAX($M$2:M563)+1,0)</f>
        <v>562</v>
      </c>
      <c r="V564" s="336" t="s">
        <v>2540</v>
      </c>
      <c r="W564" t="str">
        <f>IFERROR(VLOOKUP(ROWS($W$3:W564),$U$3:$V$992,2,0),"")</f>
        <v>Výroba kancelářského nábytku a zařízení obchodů</v>
      </c>
      <c r="X564">
        <f>IF(ISNUMBER(SEARCH('1Př1'!$A$35,N564)),MAX($M$2:M563)+1,0)</f>
        <v>562</v>
      </c>
      <c r="Y564" s="336" t="s">
        <v>2540</v>
      </c>
      <c r="Z564" t="str">
        <f>IFERROR(VLOOKUP(ROWS($Z$3:Z564),$X$3:$Y$992,2,0),"")</f>
        <v>Výroba kancelářského nábytku a zařízení obchodů</v>
      </c>
    </row>
    <row r="565" spans="13:26" ht="12.75">
      <c r="M565" s="335">
        <f>IF(ISNUMBER(SEARCH(ZAKL_DATA!$B$29,N565)),MAX($M$2:M564)+1,0)</f>
        <v>563</v>
      </c>
      <c r="N565" s="336" t="s">
        <v>2542</v>
      </c>
      <c r="O565" s="353" t="s">
        <v>2543</v>
      </c>
      <c r="P565" s="338"/>
      <c r="Q565" s="339" t="str">
        <f>IFERROR(VLOOKUP(ROWS($Q$3:Q565),$M$3:$N$992,2,0),"")</f>
        <v>Výroba kuchyňského nábytku</v>
      </c>
      <c r="R565">
        <f>IF(ISNUMBER(SEARCH('1Př1'!$A$33,N565)),MAX($M$2:M564)+1,0)</f>
        <v>563</v>
      </c>
      <c r="S565" s="336" t="s">
        <v>2542</v>
      </c>
      <c r="T565" t="str">
        <f>IFERROR(VLOOKUP(ROWS($T$3:T565),$R$3:$S$992,2,0),"")</f>
        <v>Výroba kuchyňského nábytku</v>
      </c>
      <c r="U565">
        <f>IF(ISNUMBER(SEARCH('1Př1'!$A$34,N565)),MAX($M$2:M564)+1,0)</f>
        <v>563</v>
      </c>
      <c r="V565" s="336" t="s">
        <v>2542</v>
      </c>
      <c r="W565" t="str">
        <f>IFERROR(VLOOKUP(ROWS($W$3:W565),$U$3:$V$992,2,0),"")</f>
        <v>Výroba kuchyňského nábytku</v>
      </c>
      <c r="X565">
        <f>IF(ISNUMBER(SEARCH('1Př1'!$A$35,N565)),MAX($M$2:M564)+1,0)</f>
        <v>563</v>
      </c>
      <c r="Y565" s="336" t="s">
        <v>2542</v>
      </c>
      <c r="Z565" t="str">
        <f>IFERROR(VLOOKUP(ROWS($Z$3:Z565),$X$3:$Y$992,2,0),"")</f>
        <v>Výroba kuchyňského nábytku</v>
      </c>
    </row>
    <row r="566" spans="13:26" ht="12.75">
      <c r="M566" s="335">
        <f>IF(ISNUMBER(SEARCH(ZAKL_DATA!$B$29,N566)),MAX($M$2:M565)+1,0)</f>
        <v>564</v>
      </c>
      <c r="N566" s="336" t="s">
        <v>2544</v>
      </c>
      <c r="O566" s="353" t="s">
        <v>2545</v>
      </c>
      <c r="P566" s="338"/>
      <c r="Q566" s="339" t="str">
        <f>IFERROR(VLOOKUP(ROWS($Q$3:Q566),$M$3:$N$992,2,0),"")</f>
        <v>Výroba matrací</v>
      </c>
      <c r="R566">
        <f>IF(ISNUMBER(SEARCH('1Př1'!$A$33,N566)),MAX($M$2:M565)+1,0)</f>
        <v>564</v>
      </c>
      <c r="S566" s="336" t="s">
        <v>2544</v>
      </c>
      <c r="T566" t="str">
        <f>IFERROR(VLOOKUP(ROWS($T$3:T566),$R$3:$S$992,2,0),"")</f>
        <v>Výroba matrací</v>
      </c>
      <c r="U566">
        <f>IF(ISNUMBER(SEARCH('1Př1'!$A$34,N566)),MAX($M$2:M565)+1,0)</f>
        <v>564</v>
      </c>
      <c r="V566" s="336" t="s">
        <v>2544</v>
      </c>
      <c r="W566" t="str">
        <f>IFERROR(VLOOKUP(ROWS($W$3:W566),$U$3:$V$992,2,0),"")</f>
        <v>Výroba matrací</v>
      </c>
      <c r="X566">
        <f>IF(ISNUMBER(SEARCH('1Př1'!$A$35,N566)),MAX($M$2:M565)+1,0)</f>
        <v>564</v>
      </c>
      <c r="Y566" s="336" t="s">
        <v>2544</v>
      </c>
      <c r="Z566" t="str">
        <f>IFERROR(VLOOKUP(ROWS($Z$3:Z566),$X$3:$Y$992,2,0),"")</f>
        <v>Výroba matrací</v>
      </c>
    </row>
    <row r="567" spans="13:26" ht="12.75">
      <c r="M567" s="335">
        <f>IF(ISNUMBER(SEARCH(ZAKL_DATA!$B$29,N567)),MAX($M$2:M566)+1,0)</f>
        <v>565</v>
      </c>
      <c r="N567" s="336" t="s">
        <v>2546</v>
      </c>
      <c r="O567" s="353" t="s">
        <v>2547</v>
      </c>
      <c r="P567" s="338"/>
      <c r="Q567" s="339" t="str">
        <f>IFERROR(VLOOKUP(ROWS($Q$3:Q567),$M$3:$N$992,2,0),"")</f>
        <v>Výroba ostatního nábytku</v>
      </c>
      <c r="R567">
        <f>IF(ISNUMBER(SEARCH('1Př1'!$A$33,N567)),MAX($M$2:M566)+1,0)</f>
        <v>565</v>
      </c>
      <c r="S567" s="336" t="s">
        <v>2546</v>
      </c>
      <c r="T567" t="str">
        <f>IFERROR(VLOOKUP(ROWS($T$3:T567),$R$3:$S$992,2,0),"")</f>
        <v>Výroba ostatního nábytku</v>
      </c>
      <c r="U567">
        <f>IF(ISNUMBER(SEARCH('1Př1'!$A$34,N567)),MAX($M$2:M566)+1,0)</f>
        <v>565</v>
      </c>
      <c r="V567" s="336" t="s">
        <v>2546</v>
      </c>
      <c r="W567" t="str">
        <f>IFERROR(VLOOKUP(ROWS($W$3:W567),$U$3:$V$992,2,0),"")</f>
        <v>Výroba ostatního nábytku</v>
      </c>
      <c r="X567">
        <f>IF(ISNUMBER(SEARCH('1Př1'!$A$35,N567)),MAX($M$2:M566)+1,0)</f>
        <v>565</v>
      </c>
      <c r="Y567" s="336" t="s">
        <v>2546</v>
      </c>
      <c r="Z567" t="str">
        <f>IFERROR(VLOOKUP(ROWS($Z$3:Z567),$X$3:$Y$992,2,0),"")</f>
        <v>Výroba ostatního nábytku</v>
      </c>
    </row>
    <row r="568" spans="13:26" ht="12.75">
      <c r="M568" s="335">
        <f>IF(ISNUMBER(SEARCH(ZAKL_DATA!$B$29,N568)),MAX($M$2:M567)+1,0)</f>
        <v>566</v>
      </c>
      <c r="N568" s="336" t="s">
        <v>2548</v>
      </c>
      <c r="O568" s="353" t="s">
        <v>2549</v>
      </c>
      <c r="P568" s="338"/>
      <c r="Q568" s="339" t="str">
        <f>IFERROR(VLOOKUP(ROWS($Q$3:Q568),$M$3:$N$992,2,0),"")</f>
        <v>Ražení mincí</v>
      </c>
      <c r="R568">
        <f>IF(ISNUMBER(SEARCH('1Př1'!$A$33,N568)),MAX($M$2:M567)+1,0)</f>
        <v>566</v>
      </c>
      <c r="S568" s="336" t="s">
        <v>2548</v>
      </c>
      <c r="T568" t="str">
        <f>IFERROR(VLOOKUP(ROWS($T$3:T568),$R$3:$S$992,2,0),"")</f>
        <v>Ražení mincí</v>
      </c>
      <c r="U568">
        <f>IF(ISNUMBER(SEARCH('1Př1'!$A$34,N568)),MAX($M$2:M567)+1,0)</f>
        <v>566</v>
      </c>
      <c r="V568" s="336" t="s">
        <v>2548</v>
      </c>
      <c r="W568" t="str">
        <f>IFERROR(VLOOKUP(ROWS($W$3:W568),$U$3:$V$992,2,0),"")</f>
        <v>Ražení mincí</v>
      </c>
      <c r="X568">
        <f>IF(ISNUMBER(SEARCH('1Př1'!$A$35,N568)),MAX($M$2:M567)+1,0)</f>
        <v>566</v>
      </c>
      <c r="Y568" s="336" t="s">
        <v>2548</v>
      </c>
      <c r="Z568" t="str">
        <f>IFERROR(VLOOKUP(ROWS($Z$3:Z568),$X$3:$Y$992,2,0),"")</f>
        <v>Ražení mincí</v>
      </c>
    </row>
    <row r="569" spans="13:26" ht="12.75">
      <c r="M569" s="335">
        <f>IF(ISNUMBER(SEARCH(ZAKL_DATA!$B$29,N569)),MAX($M$2:M568)+1,0)</f>
        <v>567</v>
      </c>
      <c r="N569" s="336" t="s">
        <v>2550</v>
      </c>
      <c r="O569" s="353" t="s">
        <v>2551</v>
      </c>
      <c r="P569" s="338"/>
      <c r="Q569" s="339" t="str">
        <f>IFERROR(VLOOKUP(ROWS($Q$3:Q569),$M$3:$N$992,2,0),"")</f>
        <v>Výroba klenotů a příbuzných výrobků</v>
      </c>
      <c r="R569">
        <f>IF(ISNUMBER(SEARCH('1Př1'!$A$33,N569)),MAX($M$2:M568)+1,0)</f>
        <v>567</v>
      </c>
      <c r="S569" s="336" t="s">
        <v>2550</v>
      </c>
      <c r="T569" t="str">
        <f>IFERROR(VLOOKUP(ROWS($T$3:T569),$R$3:$S$992,2,0),"")</f>
        <v>Výroba klenotů a příbuzných výrobků</v>
      </c>
      <c r="U569">
        <f>IF(ISNUMBER(SEARCH('1Př1'!$A$34,N569)),MAX($M$2:M568)+1,0)</f>
        <v>567</v>
      </c>
      <c r="V569" s="336" t="s">
        <v>2550</v>
      </c>
      <c r="W569" t="str">
        <f>IFERROR(VLOOKUP(ROWS($W$3:W569),$U$3:$V$992,2,0),"")</f>
        <v>Výroba klenotů a příbuzných výrobků</v>
      </c>
      <c r="X569">
        <f>IF(ISNUMBER(SEARCH('1Př1'!$A$35,N569)),MAX($M$2:M568)+1,0)</f>
        <v>567</v>
      </c>
      <c r="Y569" s="336" t="s">
        <v>2550</v>
      </c>
      <c r="Z569" t="str">
        <f>IFERROR(VLOOKUP(ROWS($Z$3:Z569),$X$3:$Y$992,2,0),"")</f>
        <v>Výroba klenotů a příbuzných výrobků</v>
      </c>
    </row>
    <row r="570" spans="13:26" ht="12.75">
      <c r="M570" s="335">
        <f>IF(ISNUMBER(SEARCH(ZAKL_DATA!$B$29,N570)),MAX($M$2:M569)+1,0)</f>
        <v>568</v>
      </c>
      <c r="N570" s="336" t="s">
        <v>2552</v>
      </c>
      <c r="O570" s="353" t="s">
        <v>2553</v>
      </c>
      <c r="P570" s="338"/>
      <c r="Q570" s="339" t="str">
        <f>IFERROR(VLOOKUP(ROWS($Q$3:Q570),$M$3:$N$992,2,0),"")</f>
        <v>Výroba bižuterie a příbuzných výrobků</v>
      </c>
      <c r="R570">
        <f>IF(ISNUMBER(SEARCH('1Př1'!$A$33,N570)),MAX($M$2:M569)+1,0)</f>
        <v>568</v>
      </c>
      <c r="S570" s="336" t="s">
        <v>2552</v>
      </c>
      <c r="T570" t="str">
        <f>IFERROR(VLOOKUP(ROWS($T$3:T570),$R$3:$S$992,2,0),"")</f>
        <v>Výroba bižuterie a příbuzných výrobků</v>
      </c>
      <c r="U570">
        <f>IF(ISNUMBER(SEARCH('1Př1'!$A$34,N570)),MAX($M$2:M569)+1,0)</f>
        <v>568</v>
      </c>
      <c r="V570" s="336" t="s">
        <v>2552</v>
      </c>
      <c r="W570" t="str">
        <f>IFERROR(VLOOKUP(ROWS($W$3:W570),$U$3:$V$992,2,0),"")</f>
        <v>Výroba bižuterie a příbuzných výrobků</v>
      </c>
      <c r="X570">
        <f>IF(ISNUMBER(SEARCH('1Př1'!$A$35,N570)),MAX($M$2:M569)+1,0)</f>
        <v>568</v>
      </c>
      <c r="Y570" s="336" t="s">
        <v>2552</v>
      </c>
      <c r="Z570" t="str">
        <f>IFERROR(VLOOKUP(ROWS($Z$3:Z570),$X$3:$Y$992,2,0),"")</f>
        <v>Výroba bižuterie a příbuzných výrobků</v>
      </c>
    </row>
    <row r="571" spans="13:26" ht="12.75">
      <c r="M571" s="335">
        <f>IF(ISNUMBER(SEARCH(ZAKL_DATA!$B$29,N571)),MAX($M$2:M570)+1,0)</f>
        <v>569</v>
      </c>
      <c r="N571" s="336" t="s">
        <v>2554</v>
      </c>
      <c r="O571" s="353" t="s">
        <v>2555</v>
      </c>
      <c r="P571" s="338"/>
      <c r="Q571" s="339" t="str">
        <f>IFERROR(VLOOKUP(ROWS($Q$3:Q571),$M$3:$N$992,2,0),"")</f>
        <v>Výroba košťat a kartáčnických výrobků</v>
      </c>
      <c r="R571">
        <f>IF(ISNUMBER(SEARCH('1Př1'!$A$33,N571)),MAX($M$2:M570)+1,0)</f>
        <v>569</v>
      </c>
      <c r="S571" s="336" t="s">
        <v>2554</v>
      </c>
      <c r="T571" t="str">
        <f>IFERROR(VLOOKUP(ROWS($T$3:T571),$R$3:$S$992,2,0),"")</f>
        <v>Výroba košťat a kartáčnických výrobků</v>
      </c>
      <c r="U571">
        <f>IF(ISNUMBER(SEARCH('1Př1'!$A$34,N571)),MAX($M$2:M570)+1,0)</f>
        <v>569</v>
      </c>
      <c r="V571" s="336" t="s">
        <v>2554</v>
      </c>
      <c r="W571" t="str">
        <f>IFERROR(VLOOKUP(ROWS($W$3:W571),$U$3:$V$992,2,0),"")</f>
        <v>Výroba košťat a kartáčnických výrobků</v>
      </c>
      <c r="X571">
        <f>IF(ISNUMBER(SEARCH('1Př1'!$A$35,N571)),MAX($M$2:M570)+1,0)</f>
        <v>569</v>
      </c>
      <c r="Y571" s="336" t="s">
        <v>2554</v>
      </c>
      <c r="Z571" t="str">
        <f>IFERROR(VLOOKUP(ROWS($Z$3:Z571),$X$3:$Y$992,2,0),"")</f>
        <v>Výroba košťat a kartáčnických výrobků</v>
      </c>
    </row>
    <row r="572" spans="13:26" ht="12.75">
      <c r="M572" s="335">
        <f>IF(ISNUMBER(SEARCH(ZAKL_DATA!$B$29,N572)),MAX($M$2:M571)+1,0)</f>
        <v>570</v>
      </c>
      <c r="N572" s="336" t="s">
        <v>2556</v>
      </c>
      <c r="O572" s="353" t="s">
        <v>2557</v>
      </c>
      <c r="P572" s="338"/>
      <c r="Q572" s="339" t="str">
        <f>IFERROR(VLOOKUP(ROWS($Q$3:Q572),$M$3:$N$992,2,0),"")</f>
        <v>Ostatní zpracovatelský průmysl j. n.</v>
      </c>
      <c r="R572">
        <f>IF(ISNUMBER(SEARCH('1Př1'!$A$33,N572)),MAX($M$2:M571)+1,0)</f>
        <v>570</v>
      </c>
      <c r="S572" s="336" t="s">
        <v>2556</v>
      </c>
      <c r="T572" t="str">
        <f>IFERROR(VLOOKUP(ROWS($T$3:T572),$R$3:$S$992,2,0),"")</f>
        <v>Ostatní zpracovatelský průmysl j. n.</v>
      </c>
      <c r="U572">
        <f>IF(ISNUMBER(SEARCH('1Př1'!$A$34,N572)),MAX($M$2:M571)+1,0)</f>
        <v>570</v>
      </c>
      <c r="V572" s="336" t="s">
        <v>2556</v>
      </c>
      <c r="W572" t="str">
        <f>IFERROR(VLOOKUP(ROWS($W$3:W572),$U$3:$V$992,2,0),"")</f>
        <v>Ostatní zpracovatelský průmysl j. n.</v>
      </c>
      <c r="X572">
        <f>IF(ISNUMBER(SEARCH('1Př1'!$A$35,N572)),MAX($M$2:M571)+1,0)</f>
        <v>570</v>
      </c>
      <c r="Y572" s="336" t="s">
        <v>2556</v>
      </c>
      <c r="Z572" t="str">
        <f>IFERROR(VLOOKUP(ROWS($Z$3:Z572),$X$3:$Y$992,2,0),"")</f>
        <v>Ostatní zpracovatelský průmysl j. n.</v>
      </c>
    </row>
    <row r="573" spans="13:26" ht="12.75">
      <c r="M573" s="335">
        <f>IF(ISNUMBER(SEARCH(ZAKL_DATA!$B$29,N573)),MAX($M$2:M572)+1,0)</f>
        <v>571</v>
      </c>
      <c r="N573" s="336" t="s">
        <v>2558</v>
      </c>
      <c r="O573" s="353" t="s">
        <v>2559</v>
      </c>
      <c r="P573" s="338"/>
      <c r="Q573" s="339" t="str">
        <f>IFERROR(VLOOKUP(ROWS($Q$3:Q573),$M$3:$N$992,2,0),"")</f>
        <v>Opravy kovodělných výrobků</v>
      </c>
      <c r="R573">
        <f>IF(ISNUMBER(SEARCH('1Př1'!$A$33,N573)),MAX($M$2:M572)+1,0)</f>
        <v>571</v>
      </c>
      <c r="S573" s="336" t="s">
        <v>2558</v>
      </c>
      <c r="T573" t="str">
        <f>IFERROR(VLOOKUP(ROWS($T$3:T573),$R$3:$S$992,2,0),"")</f>
        <v>Opravy kovodělných výrobků</v>
      </c>
      <c r="U573">
        <f>IF(ISNUMBER(SEARCH('1Př1'!$A$34,N573)),MAX($M$2:M572)+1,0)</f>
        <v>571</v>
      </c>
      <c r="V573" s="336" t="s">
        <v>2558</v>
      </c>
      <c r="W573" t="str">
        <f>IFERROR(VLOOKUP(ROWS($W$3:W573),$U$3:$V$992,2,0),"")</f>
        <v>Opravy kovodělných výrobků</v>
      </c>
      <c r="X573">
        <f>IF(ISNUMBER(SEARCH('1Př1'!$A$35,N573)),MAX($M$2:M572)+1,0)</f>
        <v>571</v>
      </c>
      <c r="Y573" s="336" t="s">
        <v>2558</v>
      </c>
      <c r="Z573" t="str">
        <f>IFERROR(VLOOKUP(ROWS($Z$3:Z573),$X$3:$Y$992,2,0),"")</f>
        <v>Opravy kovodělných výrobků</v>
      </c>
    </row>
    <row r="574" spans="13:26" ht="12.75">
      <c r="M574" s="335">
        <f>IF(ISNUMBER(SEARCH(ZAKL_DATA!$B$29,N574)),MAX($M$2:M573)+1,0)</f>
        <v>572</v>
      </c>
      <c r="N574" s="336" t="s">
        <v>2560</v>
      </c>
      <c r="O574" s="353" t="s">
        <v>2561</v>
      </c>
      <c r="P574" s="338"/>
      <c r="Q574" s="339" t="str">
        <f>IFERROR(VLOOKUP(ROWS($Q$3:Q574),$M$3:$N$992,2,0),"")</f>
        <v>Opravy strojů</v>
      </c>
      <c r="R574">
        <f>IF(ISNUMBER(SEARCH('1Př1'!$A$33,N574)),MAX($M$2:M573)+1,0)</f>
        <v>572</v>
      </c>
      <c r="S574" s="336" t="s">
        <v>2560</v>
      </c>
      <c r="T574" t="str">
        <f>IFERROR(VLOOKUP(ROWS($T$3:T574),$R$3:$S$992,2,0),"")</f>
        <v>Opravy strojů</v>
      </c>
      <c r="U574">
        <f>IF(ISNUMBER(SEARCH('1Př1'!$A$34,N574)),MAX($M$2:M573)+1,0)</f>
        <v>572</v>
      </c>
      <c r="V574" s="336" t="s">
        <v>2560</v>
      </c>
      <c r="W574" t="str">
        <f>IFERROR(VLOOKUP(ROWS($W$3:W574),$U$3:$V$992,2,0),"")</f>
        <v>Opravy strojů</v>
      </c>
      <c r="X574">
        <f>IF(ISNUMBER(SEARCH('1Př1'!$A$35,N574)),MAX($M$2:M573)+1,0)</f>
        <v>572</v>
      </c>
      <c r="Y574" s="336" t="s">
        <v>2560</v>
      </c>
      <c r="Z574" t="str">
        <f>IFERROR(VLOOKUP(ROWS($Z$3:Z574),$X$3:$Y$992,2,0),"")</f>
        <v>Opravy strojů</v>
      </c>
    </row>
    <row r="575" spans="13:26" ht="12.75">
      <c r="M575" s="335">
        <f>IF(ISNUMBER(SEARCH(ZAKL_DATA!$B$29,N575)),MAX($M$2:M574)+1,0)</f>
        <v>573</v>
      </c>
      <c r="N575" s="336" t="s">
        <v>2562</v>
      </c>
      <c r="O575" s="353" t="s">
        <v>2563</v>
      </c>
      <c r="P575" s="338"/>
      <c r="Q575" s="339" t="str">
        <f>IFERROR(VLOOKUP(ROWS($Q$3:Q575),$M$3:$N$992,2,0),"")</f>
        <v>Opravy elektronických a optických přístrojů a zařízení</v>
      </c>
      <c r="R575">
        <f>IF(ISNUMBER(SEARCH('1Př1'!$A$33,N575)),MAX($M$2:M574)+1,0)</f>
        <v>573</v>
      </c>
      <c r="S575" s="336" t="s">
        <v>2562</v>
      </c>
      <c r="T575" t="str">
        <f>IFERROR(VLOOKUP(ROWS($T$3:T575),$R$3:$S$992,2,0),"")</f>
        <v>Opravy elektronických a optických přístrojů a zařízení</v>
      </c>
      <c r="U575">
        <f>IF(ISNUMBER(SEARCH('1Př1'!$A$34,N575)),MAX($M$2:M574)+1,0)</f>
        <v>573</v>
      </c>
      <c r="V575" s="336" t="s">
        <v>2562</v>
      </c>
      <c r="W575" t="str">
        <f>IFERROR(VLOOKUP(ROWS($W$3:W575),$U$3:$V$992,2,0),"")</f>
        <v>Opravy elektronických a optických přístrojů a zařízení</v>
      </c>
      <c r="X575">
        <f>IF(ISNUMBER(SEARCH('1Př1'!$A$35,N575)),MAX($M$2:M574)+1,0)</f>
        <v>573</v>
      </c>
      <c r="Y575" s="336" t="s">
        <v>2562</v>
      </c>
      <c r="Z575" t="str">
        <f>IFERROR(VLOOKUP(ROWS($Z$3:Z575),$X$3:$Y$992,2,0),"")</f>
        <v>Opravy elektronických a optických přístrojů a zařízení</v>
      </c>
    </row>
    <row r="576" spans="13:26" ht="12.75">
      <c r="M576" s="335">
        <f>IF(ISNUMBER(SEARCH(ZAKL_DATA!$B$29,N576)),MAX($M$2:M575)+1,0)</f>
        <v>574</v>
      </c>
      <c r="N576" s="336" t="s">
        <v>2564</v>
      </c>
      <c r="O576" s="353" t="s">
        <v>2565</v>
      </c>
      <c r="P576" s="338"/>
      <c r="Q576" s="339" t="str">
        <f>IFERROR(VLOOKUP(ROWS($Q$3:Q576),$M$3:$N$992,2,0),"")</f>
        <v>Opravy elektrických zařízen</v>
      </c>
      <c r="R576">
        <f>IF(ISNUMBER(SEARCH('1Př1'!$A$33,N576)),MAX($M$2:M575)+1,0)</f>
        <v>574</v>
      </c>
      <c r="S576" s="336" t="s">
        <v>2564</v>
      </c>
      <c r="T576" t="str">
        <f>IFERROR(VLOOKUP(ROWS($T$3:T576),$R$3:$S$992,2,0),"")</f>
        <v>Opravy elektrických zařízen</v>
      </c>
      <c r="U576">
        <f>IF(ISNUMBER(SEARCH('1Př1'!$A$34,N576)),MAX($M$2:M575)+1,0)</f>
        <v>574</v>
      </c>
      <c r="V576" s="336" t="s">
        <v>2564</v>
      </c>
      <c r="W576" t="str">
        <f>IFERROR(VLOOKUP(ROWS($W$3:W576),$U$3:$V$992,2,0),"")</f>
        <v>Opravy elektrických zařízen</v>
      </c>
      <c r="X576">
        <f>IF(ISNUMBER(SEARCH('1Př1'!$A$35,N576)),MAX($M$2:M575)+1,0)</f>
        <v>574</v>
      </c>
      <c r="Y576" s="336" t="s">
        <v>2564</v>
      </c>
      <c r="Z576" t="str">
        <f>IFERROR(VLOOKUP(ROWS($Z$3:Z576),$X$3:$Y$992,2,0),"")</f>
        <v>Opravy elektrických zařízen</v>
      </c>
    </row>
    <row r="577" spans="13:26" ht="12.75">
      <c r="M577" s="335">
        <f>IF(ISNUMBER(SEARCH(ZAKL_DATA!$B$29,N577)),MAX($M$2:M576)+1,0)</f>
        <v>575</v>
      </c>
      <c r="N577" s="336" t="s">
        <v>2566</v>
      </c>
      <c r="O577" s="353" t="s">
        <v>2567</v>
      </c>
      <c r="P577" s="338"/>
      <c r="Q577" s="339" t="str">
        <f>IFERROR(VLOOKUP(ROWS($Q$3:Q577),$M$3:$N$992,2,0),"")</f>
        <v>Opravy a údržba lodí a člunů</v>
      </c>
      <c r="R577">
        <f>IF(ISNUMBER(SEARCH('1Př1'!$A$33,N577)),MAX($M$2:M576)+1,0)</f>
        <v>575</v>
      </c>
      <c r="S577" s="336" t="s">
        <v>2566</v>
      </c>
      <c r="T577" t="str">
        <f>IFERROR(VLOOKUP(ROWS($T$3:T577),$R$3:$S$992,2,0),"")</f>
        <v>Opravy a údržba lodí a člunů</v>
      </c>
      <c r="U577">
        <f>IF(ISNUMBER(SEARCH('1Př1'!$A$34,N577)),MAX($M$2:M576)+1,0)</f>
        <v>575</v>
      </c>
      <c r="V577" s="336" t="s">
        <v>2566</v>
      </c>
      <c r="W577" t="str">
        <f>IFERROR(VLOOKUP(ROWS($W$3:W577),$U$3:$V$992,2,0),"")</f>
        <v>Opravy a údržba lodí a člunů</v>
      </c>
      <c r="X577">
        <f>IF(ISNUMBER(SEARCH('1Př1'!$A$35,N577)),MAX($M$2:M576)+1,0)</f>
        <v>575</v>
      </c>
      <c r="Y577" s="336" t="s">
        <v>2566</v>
      </c>
      <c r="Z577" t="str">
        <f>IFERROR(VLOOKUP(ROWS($Z$3:Z577),$X$3:$Y$992,2,0),"")</f>
        <v>Opravy a údržba lodí a člunů</v>
      </c>
    </row>
    <row r="578" spans="13:26" ht="12.75">
      <c r="M578" s="335">
        <f>IF(ISNUMBER(SEARCH(ZAKL_DATA!$B$29,N578)),MAX($M$2:M577)+1,0)</f>
        <v>576</v>
      </c>
      <c r="N578" s="336" t="s">
        <v>2568</v>
      </c>
      <c r="O578" s="353" t="s">
        <v>2569</v>
      </c>
      <c r="P578" s="338"/>
      <c r="Q578" s="339" t="str">
        <f>IFERROR(VLOOKUP(ROWS($Q$3:Q578),$M$3:$N$992,2,0),"")</f>
        <v>Opravy a údržba letadel a kosmických lodí</v>
      </c>
      <c r="R578">
        <f>IF(ISNUMBER(SEARCH('1Př1'!$A$33,N578)),MAX($M$2:M577)+1,0)</f>
        <v>576</v>
      </c>
      <c r="S578" s="336" t="s">
        <v>2568</v>
      </c>
      <c r="T578" t="str">
        <f>IFERROR(VLOOKUP(ROWS($T$3:T578),$R$3:$S$992,2,0),"")</f>
        <v>Opravy a údržba letadel a kosmických lodí</v>
      </c>
      <c r="U578">
        <f>IF(ISNUMBER(SEARCH('1Př1'!$A$34,N578)),MAX($M$2:M577)+1,0)</f>
        <v>576</v>
      </c>
      <c r="V578" s="336" t="s">
        <v>2568</v>
      </c>
      <c r="W578" t="str">
        <f>IFERROR(VLOOKUP(ROWS($W$3:W578),$U$3:$V$992,2,0),"")</f>
        <v>Opravy a údržba letadel a kosmických lodí</v>
      </c>
      <c r="X578">
        <f>IF(ISNUMBER(SEARCH('1Př1'!$A$35,N578)),MAX($M$2:M577)+1,0)</f>
        <v>576</v>
      </c>
      <c r="Y578" s="336" t="s">
        <v>2568</v>
      </c>
      <c r="Z578" t="str">
        <f>IFERROR(VLOOKUP(ROWS($Z$3:Z578),$X$3:$Y$992,2,0),"")</f>
        <v>Opravy a údržba letadel a kosmických lodí</v>
      </c>
    </row>
    <row r="579" spans="13:26" ht="12.75">
      <c r="M579" s="335">
        <f>IF(ISNUMBER(SEARCH(ZAKL_DATA!$B$29,N579)),MAX($M$2:M578)+1,0)</f>
        <v>577</v>
      </c>
      <c r="N579" s="336" t="s">
        <v>2570</v>
      </c>
      <c r="O579" s="353" t="s">
        <v>2571</v>
      </c>
      <c r="P579" s="338"/>
      <c r="Q579" s="339" t="str">
        <f>IFERROR(VLOOKUP(ROWS($Q$3:Q579),$M$3:$N$992,2,0),"")</f>
        <v>Opravy a údržba ostatních dopravních prostředků a zařízení j. n.</v>
      </c>
      <c r="R579">
        <f>IF(ISNUMBER(SEARCH('1Př1'!$A$33,N579)),MAX($M$2:M578)+1,0)</f>
        <v>577</v>
      </c>
      <c r="S579" s="336" t="s">
        <v>2570</v>
      </c>
      <c r="T579" t="str">
        <f>IFERROR(VLOOKUP(ROWS($T$3:T579),$R$3:$S$992,2,0),"")</f>
        <v>Opravy a údržba ostatních dopravních prostředků a zařízení j. n.</v>
      </c>
      <c r="U579">
        <f>IF(ISNUMBER(SEARCH('1Př1'!$A$34,N579)),MAX($M$2:M578)+1,0)</f>
        <v>577</v>
      </c>
      <c r="V579" s="336" t="s">
        <v>2570</v>
      </c>
      <c r="W579" t="str">
        <f>IFERROR(VLOOKUP(ROWS($W$3:W579),$U$3:$V$992,2,0),"")</f>
        <v>Opravy a údržba ostatních dopravních prostředků a zařízení j. n.</v>
      </c>
      <c r="X579">
        <f>IF(ISNUMBER(SEARCH('1Př1'!$A$35,N579)),MAX($M$2:M578)+1,0)</f>
        <v>577</v>
      </c>
      <c r="Y579" s="336" t="s">
        <v>2570</v>
      </c>
      <c r="Z579" t="str">
        <f>IFERROR(VLOOKUP(ROWS($Z$3:Z579),$X$3:$Y$992,2,0),"")</f>
        <v>Opravy a údržba ostatních dopravních prostředků a zařízení j. n.</v>
      </c>
    </row>
    <row r="580" spans="13:26" ht="12.75">
      <c r="M580" s="335">
        <f>IF(ISNUMBER(SEARCH(ZAKL_DATA!$B$29,N580)),MAX($M$2:M579)+1,0)</f>
        <v>578</v>
      </c>
      <c r="N580" s="336" t="s">
        <v>2572</v>
      </c>
      <c r="O580" s="353" t="s">
        <v>2573</v>
      </c>
      <c r="P580" s="338"/>
      <c r="Q580" s="339" t="str">
        <f>IFERROR(VLOOKUP(ROWS($Q$3:Q580),$M$3:$N$992,2,0),"")</f>
        <v>Opravy ostatních zařízení</v>
      </c>
      <c r="R580">
        <f>IF(ISNUMBER(SEARCH('1Př1'!$A$33,N580)),MAX($M$2:M579)+1,0)</f>
        <v>578</v>
      </c>
      <c r="S580" s="336" t="s">
        <v>2572</v>
      </c>
      <c r="T580" t="str">
        <f>IFERROR(VLOOKUP(ROWS($T$3:T580),$R$3:$S$992,2,0),"")</f>
        <v>Opravy ostatních zařízení</v>
      </c>
      <c r="U580">
        <f>IF(ISNUMBER(SEARCH('1Př1'!$A$34,N580)),MAX($M$2:M579)+1,0)</f>
        <v>578</v>
      </c>
      <c r="V580" s="336" t="s">
        <v>2572</v>
      </c>
      <c r="W580" t="str">
        <f>IFERROR(VLOOKUP(ROWS($W$3:W580),$U$3:$V$992,2,0),"")</f>
        <v>Opravy ostatních zařízení</v>
      </c>
      <c r="X580">
        <f>IF(ISNUMBER(SEARCH('1Př1'!$A$35,N580)),MAX($M$2:M579)+1,0)</f>
        <v>578</v>
      </c>
      <c r="Y580" s="336" t="s">
        <v>2572</v>
      </c>
      <c r="Z580" t="str">
        <f>IFERROR(VLOOKUP(ROWS($Z$3:Z580),$X$3:$Y$992,2,0),"")</f>
        <v>Opravy ostatních zařízení</v>
      </c>
    </row>
    <row r="581" spans="13:26" ht="12.75">
      <c r="M581" s="335">
        <f>IF(ISNUMBER(SEARCH(ZAKL_DATA!$B$29,N581)),MAX($M$2:M580)+1,0)</f>
        <v>579</v>
      </c>
      <c r="N581" s="336" t="s">
        <v>2574</v>
      </c>
      <c r="O581" s="353" t="s">
        <v>2575</v>
      </c>
      <c r="P581" s="338"/>
      <c r="Q581" s="339" t="str">
        <f>IFERROR(VLOOKUP(ROWS($Q$3:Q581),$M$3:$N$992,2,0),"")</f>
        <v>Výroba elektřiny</v>
      </c>
      <c r="R581">
        <f>IF(ISNUMBER(SEARCH('1Př1'!$A$33,N581)),MAX($M$2:M580)+1,0)</f>
        <v>579</v>
      </c>
      <c r="S581" s="336" t="s">
        <v>2574</v>
      </c>
      <c r="T581" t="str">
        <f>IFERROR(VLOOKUP(ROWS($T$3:T581),$R$3:$S$992,2,0),"")</f>
        <v>Výroba elektřiny</v>
      </c>
      <c r="U581">
        <f>IF(ISNUMBER(SEARCH('1Př1'!$A$34,N581)),MAX($M$2:M580)+1,0)</f>
        <v>579</v>
      </c>
      <c r="V581" s="336" t="s">
        <v>2574</v>
      </c>
      <c r="W581" t="str">
        <f>IFERROR(VLOOKUP(ROWS($W$3:W581),$U$3:$V$992,2,0),"")</f>
        <v>Výroba elektřiny</v>
      </c>
      <c r="X581">
        <f>IF(ISNUMBER(SEARCH('1Př1'!$A$35,N581)),MAX($M$2:M580)+1,0)</f>
        <v>579</v>
      </c>
      <c r="Y581" s="336" t="s">
        <v>2574</v>
      </c>
      <c r="Z581" t="str">
        <f>IFERROR(VLOOKUP(ROWS($Z$3:Z581),$X$3:$Y$992,2,0),"")</f>
        <v>Výroba elektřiny</v>
      </c>
    </row>
    <row r="582" spans="13:26" ht="12.75">
      <c r="M582" s="335">
        <f>IF(ISNUMBER(SEARCH(ZAKL_DATA!$B$29,N582)),MAX($M$2:M581)+1,0)</f>
        <v>580</v>
      </c>
      <c r="N582" s="336" t="s">
        <v>2576</v>
      </c>
      <c r="O582" s="353" t="s">
        <v>2577</v>
      </c>
      <c r="P582" s="338"/>
      <c r="Q582" s="339" t="str">
        <f>IFERROR(VLOOKUP(ROWS($Q$3:Q582),$M$3:$N$992,2,0),"")</f>
        <v>Přenos elektřiny</v>
      </c>
      <c r="R582">
        <f>IF(ISNUMBER(SEARCH('1Př1'!$A$33,N582)),MAX($M$2:M581)+1,0)</f>
        <v>580</v>
      </c>
      <c r="S582" s="336" t="s">
        <v>2576</v>
      </c>
      <c r="T582" t="str">
        <f>IFERROR(VLOOKUP(ROWS($T$3:T582),$R$3:$S$992,2,0),"")</f>
        <v>Přenos elektřiny</v>
      </c>
      <c r="U582">
        <f>IF(ISNUMBER(SEARCH('1Př1'!$A$34,N582)),MAX($M$2:M581)+1,0)</f>
        <v>580</v>
      </c>
      <c r="V582" s="336" t="s">
        <v>2576</v>
      </c>
      <c r="W582" t="str">
        <f>IFERROR(VLOOKUP(ROWS($W$3:W582),$U$3:$V$992,2,0),"")</f>
        <v>Přenos elektřiny</v>
      </c>
      <c r="X582">
        <f>IF(ISNUMBER(SEARCH('1Př1'!$A$35,N582)),MAX($M$2:M581)+1,0)</f>
        <v>580</v>
      </c>
      <c r="Y582" s="336" t="s">
        <v>2576</v>
      </c>
      <c r="Z582" t="str">
        <f>IFERROR(VLOOKUP(ROWS($Z$3:Z582),$X$3:$Y$992,2,0),"")</f>
        <v>Přenos elektřiny</v>
      </c>
    </row>
    <row r="583" spans="13:26" ht="12.75">
      <c r="M583" s="335">
        <f>IF(ISNUMBER(SEARCH(ZAKL_DATA!$B$29,N583)),MAX($M$2:M582)+1,0)</f>
        <v>581</v>
      </c>
      <c r="N583" s="336" t="s">
        <v>2578</v>
      </c>
      <c r="O583" s="353" t="s">
        <v>2579</v>
      </c>
      <c r="P583" s="338"/>
      <c r="Q583" s="339" t="str">
        <f>IFERROR(VLOOKUP(ROWS($Q$3:Q583),$M$3:$N$992,2,0),"")</f>
        <v>Rozvod elektřiny</v>
      </c>
      <c r="R583">
        <f>IF(ISNUMBER(SEARCH('1Př1'!$A$33,N583)),MAX($M$2:M582)+1,0)</f>
        <v>581</v>
      </c>
      <c r="S583" s="336" t="s">
        <v>2578</v>
      </c>
      <c r="T583" t="str">
        <f>IFERROR(VLOOKUP(ROWS($T$3:T583),$R$3:$S$992,2,0),"")</f>
        <v>Rozvod elektřiny</v>
      </c>
      <c r="U583">
        <f>IF(ISNUMBER(SEARCH('1Př1'!$A$34,N583)),MAX($M$2:M582)+1,0)</f>
        <v>581</v>
      </c>
      <c r="V583" s="336" t="s">
        <v>2578</v>
      </c>
      <c r="W583" t="str">
        <f>IFERROR(VLOOKUP(ROWS($W$3:W583),$U$3:$V$992,2,0),"")</f>
        <v>Rozvod elektřiny</v>
      </c>
      <c r="X583">
        <f>IF(ISNUMBER(SEARCH('1Př1'!$A$35,N583)),MAX($M$2:M582)+1,0)</f>
        <v>581</v>
      </c>
      <c r="Y583" s="336" t="s">
        <v>2578</v>
      </c>
      <c r="Z583" t="str">
        <f>IFERROR(VLOOKUP(ROWS($Z$3:Z583),$X$3:$Y$992,2,0),"")</f>
        <v>Rozvod elektřiny</v>
      </c>
    </row>
    <row r="584" spans="13:26" ht="12.75">
      <c r="M584" s="335">
        <f>IF(ISNUMBER(SEARCH(ZAKL_DATA!$B$29,N584)),MAX($M$2:M583)+1,0)</f>
        <v>582</v>
      </c>
      <c r="N584" s="336" t="s">
        <v>2580</v>
      </c>
      <c r="O584" s="353" t="s">
        <v>2581</v>
      </c>
      <c r="P584" s="338"/>
      <c r="Q584" s="339" t="str">
        <f>IFERROR(VLOOKUP(ROWS($Q$3:Q584),$M$3:$N$992,2,0),"")</f>
        <v>Obchod s elektřinou</v>
      </c>
      <c r="R584">
        <f>IF(ISNUMBER(SEARCH('1Př1'!$A$33,N584)),MAX($M$2:M583)+1,0)</f>
        <v>582</v>
      </c>
      <c r="S584" s="336" t="s">
        <v>2580</v>
      </c>
      <c r="T584" t="str">
        <f>IFERROR(VLOOKUP(ROWS($T$3:T584),$R$3:$S$992,2,0),"")</f>
        <v>Obchod s elektřinou</v>
      </c>
      <c r="U584">
        <f>IF(ISNUMBER(SEARCH('1Př1'!$A$34,N584)),MAX($M$2:M583)+1,0)</f>
        <v>582</v>
      </c>
      <c r="V584" s="336" t="s">
        <v>2580</v>
      </c>
      <c r="W584" t="str">
        <f>IFERROR(VLOOKUP(ROWS($W$3:W584),$U$3:$V$992,2,0),"")</f>
        <v>Obchod s elektřinou</v>
      </c>
      <c r="X584">
        <f>IF(ISNUMBER(SEARCH('1Př1'!$A$35,N584)),MAX($M$2:M583)+1,0)</f>
        <v>582</v>
      </c>
      <c r="Y584" s="336" t="s">
        <v>2580</v>
      </c>
      <c r="Z584" t="str">
        <f>IFERROR(VLOOKUP(ROWS($Z$3:Z584),$X$3:$Y$992,2,0),"")</f>
        <v>Obchod s elektřinou</v>
      </c>
    </row>
    <row r="585" spans="13:26" ht="12.75">
      <c r="M585" s="335">
        <f>IF(ISNUMBER(SEARCH(ZAKL_DATA!$B$29,N585)),MAX($M$2:M584)+1,0)</f>
        <v>583</v>
      </c>
      <c r="N585" s="336" t="s">
        <v>2582</v>
      </c>
      <c r="O585" s="353" t="s">
        <v>2583</v>
      </c>
      <c r="P585" s="338"/>
      <c r="Q585" s="339" t="str">
        <f>IFERROR(VLOOKUP(ROWS($Q$3:Q585),$M$3:$N$992,2,0),"")</f>
        <v>Výroba plynu</v>
      </c>
      <c r="R585">
        <f>IF(ISNUMBER(SEARCH('1Př1'!$A$33,N585)),MAX($M$2:M584)+1,0)</f>
        <v>583</v>
      </c>
      <c r="S585" s="336" t="s">
        <v>2582</v>
      </c>
      <c r="T585" t="str">
        <f>IFERROR(VLOOKUP(ROWS($T$3:T585),$R$3:$S$992,2,0),"")</f>
        <v>Výroba plynu</v>
      </c>
      <c r="U585">
        <f>IF(ISNUMBER(SEARCH('1Př1'!$A$34,N585)),MAX($M$2:M584)+1,0)</f>
        <v>583</v>
      </c>
      <c r="V585" s="336" t="s">
        <v>2582</v>
      </c>
      <c r="W585" t="str">
        <f>IFERROR(VLOOKUP(ROWS($W$3:W585),$U$3:$V$992,2,0),"")</f>
        <v>Výroba plynu</v>
      </c>
      <c r="X585">
        <f>IF(ISNUMBER(SEARCH('1Př1'!$A$35,N585)),MAX($M$2:M584)+1,0)</f>
        <v>583</v>
      </c>
      <c r="Y585" s="336" t="s">
        <v>2582</v>
      </c>
      <c r="Z585" t="str">
        <f>IFERROR(VLOOKUP(ROWS($Z$3:Z585),$X$3:$Y$992,2,0),"")</f>
        <v>Výroba plynu</v>
      </c>
    </row>
    <row r="586" spans="13:26" ht="12.75">
      <c r="M586" s="335">
        <f>IF(ISNUMBER(SEARCH(ZAKL_DATA!$B$29,N586)),MAX($M$2:M585)+1,0)</f>
        <v>584</v>
      </c>
      <c r="N586" s="336" t="s">
        <v>2584</v>
      </c>
      <c r="O586" s="353" t="s">
        <v>2585</v>
      </c>
      <c r="P586" s="338"/>
      <c r="Q586" s="339" t="str">
        <f>IFERROR(VLOOKUP(ROWS($Q$3:Q586),$M$3:$N$992,2,0),"")</f>
        <v>Rozvod plynných paliv prostřednictvím sítí</v>
      </c>
      <c r="R586">
        <f>IF(ISNUMBER(SEARCH('1Př1'!$A$33,N586)),MAX($M$2:M585)+1,0)</f>
        <v>584</v>
      </c>
      <c r="S586" s="336" t="s">
        <v>2584</v>
      </c>
      <c r="T586" t="str">
        <f>IFERROR(VLOOKUP(ROWS($T$3:T586),$R$3:$S$992,2,0),"")</f>
        <v>Rozvod plynných paliv prostřednictvím sítí</v>
      </c>
      <c r="U586">
        <f>IF(ISNUMBER(SEARCH('1Př1'!$A$34,N586)),MAX($M$2:M585)+1,0)</f>
        <v>584</v>
      </c>
      <c r="V586" s="336" t="s">
        <v>2584</v>
      </c>
      <c r="W586" t="str">
        <f>IFERROR(VLOOKUP(ROWS($W$3:W586),$U$3:$V$992,2,0),"")</f>
        <v>Rozvod plynných paliv prostřednictvím sítí</v>
      </c>
      <c r="X586">
        <f>IF(ISNUMBER(SEARCH('1Př1'!$A$35,N586)),MAX($M$2:M585)+1,0)</f>
        <v>584</v>
      </c>
      <c r="Y586" s="336" t="s">
        <v>2584</v>
      </c>
      <c r="Z586" t="str">
        <f>IFERROR(VLOOKUP(ROWS($Z$3:Z586),$X$3:$Y$992,2,0),"")</f>
        <v>Rozvod plynných paliv prostřednictvím sítí</v>
      </c>
    </row>
    <row r="587" spans="13:26" ht="12.75">
      <c r="M587" s="335">
        <f>IF(ISNUMBER(SEARCH(ZAKL_DATA!$B$29,N587)),MAX($M$2:M586)+1,0)</f>
        <v>585</v>
      </c>
      <c r="N587" s="336" t="s">
        <v>2586</v>
      </c>
      <c r="O587" s="353" t="s">
        <v>2587</v>
      </c>
      <c r="P587" s="338"/>
      <c r="Q587" s="339" t="str">
        <f>IFERROR(VLOOKUP(ROWS($Q$3:Q587),$M$3:$N$992,2,0),"")</f>
        <v>Obchod s plynem prostřednictvím sítí</v>
      </c>
      <c r="R587">
        <f>IF(ISNUMBER(SEARCH('1Př1'!$A$33,N587)),MAX($M$2:M586)+1,0)</f>
        <v>585</v>
      </c>
      <c r="S587" s="336" t="s">
        <v>2586</v>
      </c>
      <c r="T587" t="str">
        <f>IFERROR(VLOOKUP(ROWS($T$3:T587),$R$3:$S$992,2,0),"")</f>
        <v>Obchod s plynem prostřednictvím sítí</v>
      </c>
      <c r="U587">
        <f>IF(ISNUMBER(SEARCH('1Př1'!$A$34,N587)),MAX($M$2:M586)+1,0)</f>
        <v>585</v>
      </c>
      <c r="V587" s="336" t="s">
        <v>2586</v>
      </c>
      <c r="W587" t="str">
        <f>IFERROR(VLOOKUP(ROWS($W$3:W587),$U$3:$V$992,2,0),"")</f>
        <v>Obchod s plynem prostřednictvím sítí</v>
      </c>
      <c r="X587">
        <f>IF(ISNUMBER(SEARCH('1Př1'!$A$35,N587)),MAX($M$2:M586)+1,0)</f>
        <v>585</v>
      </c>
      <c r="Y587" s="336" t="s">
        <v>2586</v>
      </c>
      <c r="Z587" t="str">
        <f>IFERROR(VLOOKUP(ROWS($Z$3:Z587),$X$3:$Y$992,2,0),"")</f>
        <v>Obchod s plynem prostřednictvím sítí</v>
      </c>
    </row>
    <row r="588" spans="13:26" ht="12.75">
      <c r="M588" s="335">
        <f>IF(ISNUMBER(SEARCH(ZAKL_DATA!$B$29,N588)),MAX($M$2:M587)+1,0)</f>
        <v>586</v>
      </c>
      <c r="N588" s="336" t="s">
        <v>2588</v>
      </c>
      <c r="O588" s="353" t="s">
        <v>2589</v>
      </c>
      <c r="P588" s="338"/>
      <c r="Q588" s="339" t="str">
        <f>IFERROR(VLOOKUP(ROWS($Q$3:Q588),$M$3:$N$992,2,0),"")</f>
        <v>Shromažďování a sběr odpadů, kromě nebezpečných</v>
      </c>
      <c r="R588">
        <f>IF(ISNUMBER(SEARCH('1Př1'!$A$33,N588)),MAX($M$2:M587)+1,0)</f>
        <v>586</v>
      </c>
      <c r="S588" s="336" t="s">
        <v>2588</v>
      </c>
      <c r="T588" t="str">
        <f>IFERROR(VLOOKUP(ROWS($T$3:T588),$R$3:$S$992,2,0),"")</f>
        <v>Shromažďování a sběr odpadů, kromě nebezpečných</v>
      </c>
      <c r="U588">
        <f>IF(ISNUMBER(SEARCH('1Př1'!$A$34,N588)),MAX($M$2:M587)+1,0)</f>
        <v>586</v>
      </c>
      <c r="V588" s="336" t="s">
        <v>2588</v>
      </c>
      <c r="W588" t="str">
        <f>IFERROR(VLOOKUP(ROWS($W$3:W588),$U$3:$V$992,2,0),"")</f>
        <v>Shromažďování a sběr odpadů, kromě nebezpečných</v>
      </c>
      <c r="X588">
        <f>IF(ISNUMBER(SEARCH('1Př1'!$A$35,N588)),MAX($M$2:M587)+1,0)</f>
        <v>586</v>
      </c>
      <c r="Y588" s="336" t="s">
        <v>2588</v>
      </c>
      <c r="Z588" t="str">
        <f>IFERROR(VLOOKUP(ROWS($Z$3:Z588),$X$3:$Y$992,2,0),"")</f>
        <v>Shromažďování a sběr odpadů, kromě nebezpečných</v>
      </c>
    </row>
    <row r="589" spans="13:26" ht="12.75">
      <c r="M589" s="335">
        <f>IF(ISNUMBER(SEARCH(ZAKL_DATA!$B$29,N589)),MAX($M$2:M588)+1,0)</f>
        <v>587</v>
      </c>
      <c r="N589" s="336" t="s">
        <v>2590</v>
      </c>
      <c r="O589" s="353" t="s">
        <v>2591</v>
      </c>
      <c r="P589" s="338"/>
      <c r="Q589" s="339" t="str">
        <f>IFERROR(VLOOKUP(ROWS($Q$3:Q589),$M$3:$N$992,2,0),"")</f>
        <v>Shromažďování a sběr nebezpečných odpadů</v>
      </c>
      <c r="R589">
        <f>IF(ISNUMBER(SEARCH('1Př1'!$A$33,N589)),MAX($M$2:M588)+1,0)</f>
        <v>587</v>
      </c>
      <c r="S589" s="336" t="s">
        <v>2590</v>
      </c>
      <c r="T589" t="str">
        <f>IFERROR(VLOOKUP(ROWS($T$3:T589),$R$3:$S$992,2,0),"")</f>
        <v>Shromažďování a sběr nebezpečných odpadů</v>
      </c>
      <c r="U589">
        <f>IF(ISNUMBER(SEARCH('1Př1'!$A$34,N589)),MAX($M$2:M588)+1,0)</f>
        <v>587</v>
      </c>
      <c r="V589" s="336" t="s">
        <v>2590</v>
      </c>
      <c r="W589" t="str">
        <f>IFERROR(VLOOKUP(ROWS($W$3:W589),$U$3:$V$992,2,0),"")</f>
        <v>Shromažďování a sběr nebezpečných odpadů</v>
      </c>
      <c r="X589">
        <f>IF(ISNUMBER(SEARCH('1Př1'!$A$35,N589)),MAX($M$2:M588)+1,0)</f>
        <v>587</v>
      </c>
      <c r="Y589" s="336" t="s">
        <v>2590</v>
      </c>
      <c r="Z589" t="str">
        <f>IFERROR(VLOOKUP(ROWS($Z$3:Z589),$X$3:$Y$992,2,0),"")</f>
        <v>Shromažďování a sběr nebezpečných odpadů</v>
      </c>
    </row>
    <row r="590" spans="13:26" ht="12.75">
      <c r="M590" s="335">
        <f>IF(ISNUMBER(SEARCH(ZAKL_DATA!$B$29,N590)),MAX($M$2:M589)+1,0)</f>
        <v>588</v>
      </c>
      <c r="N590" s="336" t="s">
        <v>2592</v>
      </c>
      <c r="O590" s="353" t="s">
        <v>2593</v>
      </c>
      <c r="P590" s="338"/>
      <c r="Q590" s="339" t="str">
        <f>IFERROR(VLOOKUP(ROWS($Q$3:Q590),$M$3:$N$992,2,0),"")</f>
        <v>Odstraňování odpadů, kromě nebezpečných</v>
      </c>
      <c r="R590">
        <f>IF(ISNUMBER(SEARCH('1Př1'!$A$33,N590)),MAX($M$2:M589)+1,0)</f>
        <v>588</v>
      </c>
      <c r="S590" s="336" t="s">
        <v>2592</v>
      </c>
      <c r="T590" t="str">
        <f>IFERROR(VLOOKUP(ROWS($T$3:T590),$R$3:$S$992,2,0),"")</f>
        <v>Odstraňování odpadů, kromě nebezpečných</v>
      </c>
      <c r="U590">
        <f>IF(ISNUMBER(SEARCH('1Př1'!$A$34,N590)),MAX($M$2:M589)+1,0)</f>
        <v>588</v>
      </c>
      <c r="V590" s="336" t="s">
        <v>2592</v>
      </c>
      <c r="W590" t="str">
        <f>IFERROR(VLOOKUP(ROWS($W$3:W590),$U$3:$V$992,2,0),"")</f>
        <v>Odstraňování odpadů, kromě nebezpečných</v>
      </c>
      <c r="X590">
        <f>IF(ISNUMBER(SEARCH('1Př1'!$A$35,N590)),MAX($M$2:M589)+1,0)</f>
        <v>588</v>
      </c>
      <c r="Y590" s="336" t="s">
        <v>2592</v>
      </c>
      <c r="Z590" t="str">
        <f>IFERROR(VLOOKUP(ROWS($Z$3:Z590),$X$3:$Y$992,2,0),"")</f>
        <v>Odstraňování odpadů, kromě nebezpečných</v>
      </c>
    </row>
    <row r="591" spans="13:26" ht="12.75">
      <c r="M591" s="335">
        <f>IF(ISNUMBER(SEARCH(ZAKL_DATA!$B$29,N591)),MAX($M$2:M590)+1,0)</f>
        <v>589</v>
      </c>
      <c r="N591" s="336" t="s">
        <v>2594</v>
      </c>
      <c r="O591" s="353" t="s">
        <v>2595</v>
      </c>
      <c r="P591" s="338"/>
      <c r="Q591" s="339" t="str">
        <f>IFERROR(VLOOKUP(ROWS($Q$3:Q591),$M$3:$N$992,2,0),"")</f>
        <v>Odstraňování nebezpečných odpadů</v>
      </c>
      <c r="R591">
        <f>IF(ISNUMBER(SEARCH('1Př1'!$A$33,N591)),MAX($M$2:M590)+1,0)</f>
        <v>589</v>
      </c>
      <c r="S591" s="336" t="s">
        <v>2594</v>
      </c>
      <c r="T591" t="str">
        <f>IFERROR(VLOOKUP(ROWS($T$3:T591),$R$3:$S$992,2,0),"")</f>
        <v>Odstraňování nebezpečných odpadů</v>
      </c>
      <c r="U591">
        <f>IF(ISNUMBER(SEARCH('1Př1'!$A$34,N591)),MAX($M$2:M590)+1,0)</f>
        <v>589</v>
      </c>
      <c r="V591" s="336" t="s">
        <v>2594</v>
      </c>
      <c r="W591" t="str">
        <f>IFERROR(VLOOKUP(ROWS($W$3:W591),$U$3:$V$992,2,0),"")</f>
        <v>Odstraňování nebezpečných odpadů</v>
      </c>
      <c r="X591">
        <f>IF(ISNUMBER(SEARCH('1Př1'!$A$35,N591)),MAX($M$2:M590)+1,0)</f>
        <v>589</v>
      </c>
      <c r="Y591" s="336" t="s">
        <v>2594</v>
      </c>
      <c r="Z591" t="str">
        <f>IFERROR(VLOOKUP(ROWS($Z$3:Z591),$X$3:$Y$992,2,0),"")</f>
        <v>Odstraňování nebezpečných odpadů</v>
      </c>
    </row>
    <row r="592" spans="13:26" ht="12.75">
      <c r="M592" s="335">
        <f>IF(ISNUMBER(SEARCH(ZAKL_DATA!$B$29,N592)),MAX($M$2:M591)+1,0)</f>
        <v>590</v>
      </c>
      <c r="N592" s="336" t="s">
        <v>2596</v>
      </c>
      <c r="O592" s="353" t="s">
        <v>2597</v>
      </c>
      <c r="P592" s="338"/>
      <c r="Q592" s="339" t="str">
        <f>IFERROR(VLOOKUP(ROWS($Q$3:Q592),$M$3:$N$992,2,0),"")</f>
        <v>Demontáž vraků a vyřazených strojů a zařízení pro účely recyklace</v>
      </c>
      <c r="R592">
        <f>IF(ISNUMBER(SEARCH('1Př1'!$A$33,N592)),MAX($M$2:M591)+1,0)</f>
        <v>590</v>
      </c>
      <c r="S592" s="336" t="s">
        <v>2596</v>
      </c>
      <c r="T592" t="str">
        <f>IFERROR(VLOOKUP(ROWS($T$3:T592),$R$3:$S$992,2,0),"")</f>
        <v>Demontáž vraků a vyřazených strojů a zařízení pro účely recyklace</v>
      </c>
      <c r="U592">
        <f>IF(ISNUMBER(SEARCH('1Př1'!$A$34,N592)),MAX($M$2:M591)+1,0)</f>
        <v>590</v>
      </c>
      <c r="V592" s="336" t="s">
        <v>2596</v>
      </c>
      <c r="W592" t="str">
        <f>IFERROR(VLOOKUP(ROWS($W$3:W592),$U$3:$V$992,2,0),"")</f>
        <v>Demontáž vraků a vyřazených strojů a zařízení pro účely recyklace</v>
      </c>
      <c r="X592">
        <f>IF(ISNUMBER(SEARCH('1Př1'!$A$35,N592)),MAX($M$2:M591)+1,0)</f>
        <v>590</v>
      </c>
      <c r="Y592" s="336" t="s">
        <v>2596</v>
      </c>
      <c r="Z592" t="str">
        <f>IFERROR(VLOOKUP(ROWS($Z$3:Z592),$X$3:$Y$992,2,0),"")</f>
        <v>Demontáž vraků a vyřazených strojů a zařízení pro účely recyklace</v>
      </c>
    </row>
    <row r="593" spans="13:26" ht="12.75">
      <c r="M593" s="335">
        <f>IF(ISNUMBER(SEARCH(ZAKL_DATA!$B$29,N593)),MAX($M$2:M592)+1,0)</f>
        <v>591</v>
      </c>
      <c r="N593" s="336" t="s">
        <v>2598</v>
      </c>
      <c r="O593" s="353" t="s">
        <v>2599</v>
      </c>
      <c r="P593" s="338"/>
      <c r="Q593" s="339" t="str">
        <f>IFERROR(VLOOKUP(ROWS($Q$3:Q593),$M$3:$N$992,2,0),"")</f>
        <v>Úprava odpadů k dalšímu využití,kromě demontáže vraků,strojů a zařízení</v>
      </c>
      <c r="R593">
        <f>IF(ISNUMBER(SEARCH('1Př1'!$A$33,N593)),MAX($M$2:M592)+1,0)</f>
        <v>591</v>
      </c>
      <c r="S593" s="336" t="s">
        <v>2598</v>
      </c>
      <c r="T593" t="str">
        <f>IFERROR(VLOOKUP(ROWS($T$3:T593),$R$3:$S$992,2,0),"")</f>
        <v>Úprava odpadů k dalšímu využití,kromě demontáže vraků,strojů a zařízení</v>
      </c>
      <c r="U593">
        <f>IF(ISNUMBER(SEARCH('1Př1'!$A$34,N593)),MAX($M$2:M592)+1,0)</f>
        <v>591</v>
      </c>
      <c r="V593" s="336" t="s">
        <v>2598</v>
      </c>
      <c r="W593" t="str">
        <f>IFERROR(VLOOKUP(ROWS($W$3:W593),$U$3:$V$992,2,0),"")</f>
        <v>Úprava odpadů k dalšímu využití,kromě demontáže vraků,strojů a zařízení</v>
      </c>
      <c r="X593">
        <f>IF(ISNUMBER(SEARCH('1Př1'!$A$35,N593)),MAX($M$2:M592)+1,0)</f>
        <v>591</v>
      </c>
      <c r="Y593" s="336" t="s">
        <v>2598</v>
      </c>
      <c r="Z593" t="str">
        <f>IFERROR(VLOOKUP(ROWS($Z$3:Z593),$X$3:$Y$992,2,0),"")</f>
        <v>Úprava odpadů k dalšímu využití,kromě demontáže vraků,strojů a zařízení</v>
      </c>
    </row>
    <row r="594" spans="13:26" ht="12.75">
      <c r="M594" s="335">
        <f>IF(ISNUMBER(SEARCH(ZAKL_DATA!$B$29,N594)),MAX($M$2:M593)+1,0)</f>
        <v>592</v>
      </c>
      <c r="N594" s="336" t="s">
        <v>2600</v>
      </c>
      <c r="O594" s="353" t="s">
        <v>1889</v>
      </c>
      <c r="P594" s="338"/>
      <c r="Q594" s="339" t="str">
        <f>IFERROR(VLOOKUP(ROWS($Q$3:Q594),$M$3:$N$992,2,0),"")</f>
        <v>Výstavba bytových budov</v>
      </c>
      <c r="R594">
        <f>IF(ISNUMBER(SEARCH('1Př1'!$A$33,N594)),MAX($M$2:M593)+1,0)</f>
        <v>592</v>
      </c>
      <c r="S594" s="336" t="s">
        <v>2600</v>
      </c>
      <c r="T594" t="str">
        <f>IFERROR(VLOOKUP(ROWS($T$3:T594),$R$3:$S$992,2,0),"")</f>
        <v>Výstavba bytových budov</v>
      </c>
      <c r="U594">
        <f>IF(ISNUMBER(SEARCH('1Př1'!$A$34,N594)),MAX($M$2:M593)+1,0)</f>
        <v>592</v>
      </c>
      <c r="V594" s="336" t="s">
        <v>2600</v>
      </c>
      <c r="W594" t="str">
        <f>IFERROR(VLOOKUP(ROWS($W$3:W594),$U$3:$V$992,2,0),"")</f>
        <v>Výstavba bytových budov</v>
      </c>
      <c r="X594">
        <f>IF(ISNUMBER(SEARCH('1Př1'!$A$35,N594)),MAX($M$2:M593)+1,0)</f>
        <v>592</v>
      </c>
      <c r="Y594" s="336" t="s">
        <v>2600</v>
      </c>
      <c r="Z594" t="str">
        <f>IFERROR(VLOOKUP(ROWS($Z$3:Z594),$X$3:$Y$992,2,0),"")</f>
        <v>Výstavba bytových budov</v>
      </c>
    </row>
    <row r="595" spans="13:26" ht="12.75">
      <c r="M595" s="335">
        <f>IF(ISNUMBER(SEARCH(ZAKL_DATA!$B$29,N595)),MAX($M$2:M594)+1,0)</f>
        <v>593</v>
      </c>
      <c r="N595" s="336" t="s">
        <v>2601</v>
      </c>
      <c r="O595" s="353" t="s">
        <v>2602</v>
      </c>
      <c r="P595" s="338"/>
      <c r="Q595" s="339" t="str">
        <f>IFERROR(VLOOKUP(ROWS($Q$3:Q595),$M$3:$N$992,2,0),"")</f>
        <v>Výstavba silnic a dálnic</v>
      </c>
      <c r="R595">
        <f>IF(ISNUMBER(SEARCH('1Př1'!$A$33,N595)),MAX($M$2:M594)+1,0)</f>
        <v>593</v>
      </c>
      <c r="S595" s="336" t="s">
        <v>2601</v>
      </c>
      <c r="T595" t="str">
        <f>IFERROR(VLOOKUP(ROWS($T$3:T595),$R$3:$S$992,2,0),"")</f>
        <v>Výstavba silnic a dálnic</v>
      </c>
      <c r="U595">
        <f>IF(ISNUMBER(SEARCH('1Př1'!$A$34,N595)),MAX($M$2:M594)+1,0)</f>
        <v>593</v>
      </c>
      <c r="V595" s="336" t="s">
        <v>2601</v>
      </c>
      <c r="W595" t="str">
        <f>IFERROR(VLOOKUP(ROWS($W$3:W595),$U$3:$V$992,2,0),"")</f>
        <v>Výstavba silnic a dálnic</v>
      </c>
      <c r="X595">
        <f>IF(ISNUMBER(SEARCH('1Př1'!$A$35,N595)),MAX($M$2:M594)+1,0)</f>
        <v>593</v>
      </c>
      <c r="Y595" s="336" t="s">
        <v>2601</v>
      </c>
      <c r="Z595" t="str">
        <f>IFERROR(VLOOKUP(ROWS($Z$3:Z595),$X$3:$Y$992,2,0),"")</f>
        <v>Výstavba silnic a dálnic</v>
      </c>
    </row>
    <row r="596" spans="13:26" ht="12.75">
      <c r="M596" s="335">
        <f>IF(ISNUMBER(SEARCH(ZAKL_DATA!$B$29,N596)),MAX($M$2:M595)+1,0)</f>
        <v>594</v>
      </c>
      <c r="N596" s="336" t="s">
        <v>2603</v>
      </c>
      <c r="O596" s="353" t="s">
        <v>2604</v>
      </c>
      <c r="P596" s="338"/>
      <c r="Q596" s="339" t="str">
        <f>IFERROR(VLOOKUP(ROWS($Q$3:Q596),$M$3:$N$992,2,0),"")</f>
        <v>Výstavba železnic a podzemních drah</v>
      </c>
      <c r="R596">
        <f>IF(ISNUMBER(SEARCH('1Př1'!$A$33,N596)),MAX($M$2:M595)+1,0)</f>
        <v>594</v>
      </c>
      <c r="S596" s="336" t="s">
        <v>2603</v>
      </c>
      <c r="T596" t="str">
        <f>IFERROR(VLOOKUP(ROWS($T$3:T596),$R$3:$S$992,2,0),"")</f>
        <v>Výstavba železnic a podzemních drah</v>
      </c>
      <c r="U596">
        <f>IF(ISNUMBER(SEARCH('1Př1'!$A$34,N596)),MAX($M$2:M595)+1,0)</f>
        <v>594</v>
      </c>
      <c r="V596" s="336" t="s">
        <v>2603</v>
      </c>
      <c r="W596" t="str">
        <f>IFERROR(VLOOKUP(ROWS($W$3:W596),$U$3:$V$992,2,0),"")</f>
        <v>Výstavba železnic a podzemních drah</v>
      </c>
      <c r="X596">
        <f>IF(ISNUMBER(SEARCH('1Př1'!$A$35,N596)),MAX($M$2:M595)+1,0)</f>
        <v>594</v>
      </c>
      <c r="Y596" s="336" t="s">
        <v>2603</v>
      </c>
      <c r="Z596" t="str">
        <f>IFERROR(VLOOKUP(ROWS($Z$3:Z596),$X$3:$Y$992,2,0),"")</f>
        <v>Výstavba železnic a podzemních drah</v>
      </c>
    </row>
    <row r="597" spans="13:26" ht="12.75">
      <c r="M597" s="335">
        <f>IF(ISNUMBER(SEARCH(ZAKL_DATA!$B$29,N597)),MAX($M$2:M596)+1,0)</f>
        <v>595</v>
      </c>
      <c r="N597" s="336" t="s">
        <v>2605</v>
      </c>
      <c r="O597" s="353" t="s">
        <v>2606</v>
      </c>
      <c r="P597" s="338"/>
      <c r="Q597" s="339" t="str">
        <f>IFERROR(VLOOKUP(ROWS($Q$3:Q597),$M$3:$N$992,2,0),"")</f>
        <v>Výstavba mostů a tunelů</v>
      </c>
      <c r="R597">
        <f>IF(ISNUMBER(SEARCH('1Př1'!$A$33,N597)),MAX($M$2:M596)+1,0)</f>
        <v>595</v>
      </c>
      <c r="S597" s="336" t="s">
        <v>2605</v>
      </c>
      <c r="T597" t="str">
        <f>IFERROR(VLOOKUP(ROWS($T$3:T597),$R$3:$S$992,2,0),"")</f>
        <v>Výstavba mostů a tunelů</v>
      </c>
      <c r="U597">
        <f>IF(ISNUMBER(SEARCH('1Př1'!$A$34,N597)),MAX($M$2:M596)+1,0)</f>
        <v>595</v>
      </c>
      <c r="V597" s="336" t="s">
        <v>2605</v>
      </c>
      <c r="W597" t="str">
        <f>IFERROR(VLOOKUP(ROWS($W$3:W597),$U$3:$V$992,2,0),"")</f>
        <v>Výstavba mostů a tunelů</v>
      </c>
      <c r="X597">
        <f>IF(ISNUMBER(SEARCH('1Př1'!$A$35,N597)),MAX($M$2:M596)+1,0)</f>
        <v>595</v>
      </c>
      <c r="Y597" s="336" t="s">
        <v>2605</v>
      </c>
      <c r="Z597" t="str">
        <f>IFERROR(VLOOKUP(ROWS($Z$3:Z597),$X$3:$Y$992,2,0),"")</f>
        <v>Výstavba mostů a tunelů</v>
      </c>
    </row>
    <row r="598" spans="13:26" ht="12.75">
      <c r="M598" s="335">
        <f>IF(ISNUMBER(SEARCH(ZAKL_DATA!$B$29,N598)),MAX($M$2:M597)+1,0)</f>
        <v>596</v>
      </c>
      <c r="N598" s="336" t="s">
        <v>2607</v>
      </c>
      <c r="O598" s="353" t="s">
        <v>2608</v>
      </c>
      <c r="P598" s="338"/>
      <c r="Q598" s="339" t="str">
        <f>IFERROR(VLOOKUP(ROWS($Q$3:Q598),$M$3:$N$992,2,0),"")</f>
        <v>Výstavba inženýrských sítí pro kapaliny a plyny</v>
      </c>
      <c r="R598">
        <f>IF(ISNUMBER(SEARCH('1Př1'!$A$33,N598)),MAX($M$2:M597)+1,0)</f>
        <v>596</v>
      </c>
      <c r="S598" s="336" t="s">
        <v>2607</v>
      </c>
      <c r="T598" t="str">
        <f>IFERROR(VLOOKUP(ROWS($T$3:T598),$R$3:$S$992,2,0),"")</f>
        <v>Výstavba inženýrských sítí pro kapaliny a plyny</v>
      </c>
      <c r="U598">
        <f>IF(ISNUMBER(SEARCH('1Př1'!$A$34,N598)),MAX($M$2:M597)+1,0)</f>
        <v>596</v>
      </c>
      <c r="V598" s="336" t="s">
        <v>2607</v>
      </c>
      <c r="W598" t="str">
        <f>IFERROR(VLOOKUP(ROWS($W$3:W598),$U$3:$V$992,2,0),"")</f>
        <v>Výstavba inženýrských sítí pro kapaliny a plyny</v>
      </c>
      <c r="X598">
        <f>IF(ISNUMBER(SEARCH('1Př1'!$A$35,N598)),MAX($M$2:M597)+1,0)</f>
        <v>596</v>
      </c>
      <c r="Y598" s="336" t="s">
        <v>2607</v>
      </c>
      <c r="Z598" t="str">
        <f>IFERROR(VLOOKUP(ROWS($Z$3:Z598),$X$3:$Y$992,2,0),"")</f>
        <v>Výstavba inženýrských sítí pro kapaliny a plyny</v>
      </c>
    </row>
    <row r="599" spans="13:26" ht="12.75">
      <c r="M599" s="335">
        <f>IF(ISNUMBER(SEARCH(ZAKL_DATA!$B$29,N599)),MAX($M$2:M598)+1,0)</f>
        <v>597</v>
      </c>
      <c r="N599" s="336" t="s">
        <v>2609</v>
      </c>
      <c r="O599" s="353" t="s">
        <v>2610</v>
      </c>
      <c r="P599" s="338"/>
      <c r="Q599" s="339" t="str">
        <f>IFERROR(VLOOKUP(ROWS($Q$3:Q599),$M$3:$N$992,2,0),"")</f>
        <v>Výstavba inženýrských sítí pro elektřinu a telekomunikace</v>
      </c>
      <c r="R599">
        <f>IF(ISNUMBER(SEARCH('1Př1'!$A$33,N599)),MAX($M$2:M598)+1,0)</f>
        <v>597</v>
      </c>
      <c r="S599" s="336" t="s">
        <v>2609</v>
      </c>
      <c r="T599" t="str">
        <f>IFERROR(VLOOKUP(ROWS($T$3:T599),$R$3:$S$992,2,0),"")</f>
        <v>Výstavba inženýrských sítí pro elektřinu a telekomunikace</v>
      </c>
      <c r="U599">
        <f>IF(ISNUMBER(SEARCH('1Př1'!$A$34,N599)),MAX($M$2:M598)+1,0)</f>
        <v>597</v>
      </c>
      <c r="V599" s="336" t="s">
        <v>2609</v>
      </c>
      <c r="W599" t="str">
        <f>IFERROR(VLOOKUP(ROWS($W$3:W599),$U$3:$V$992,2,0),"")</f>
        <v>Výstavba inženýrských sítí pro elektřinu a telekomunikace</v>
      </c>
      <c r="X599">
        <f>IF(ISNUMBER(SEARCH('1Př1'!$A$35,N599)),MAX($M$2:M598)+1,0)</f>
        <v>597</v>
      </c>
      <c r="Y599" s="336" t="s">
        <v>2609</v>
      </c>
      <c r="Z599" t="str">
        <f>IFERROR(VLOOKUP(ROWS($Z$3:Z599),$X$3:$Y$992,2,0),"")</f>
        <v>Výstavba inženýrských sítí pro elektřinu a telekomunikace</v>
      </c>
    </row>
    <row r="600" spans="13:26" ht="12.75">
      <c r="M600" s="335">
        <f>IF(ISNUMBER(SEARCH(ZAKL_DATA!$B$29,N600)),MAX($M$2:M599)+1,0)</f>
        <v>598</v>
      </c>
      <c r="N600" s="336" t="s">
        <v>2611</v>
      </c>
      <c r="O600" s="353" t="s">
        <v>2612</v>
      </c>
      <c r="P600" s="338"/>
      <c r="Q600" s="339" t="str">
        <f>IFERROR(VLOOKUP(ROWS($Q$3:Q600),$M$3:$N$992,2,0),"")</f>
        <v>Výstavba vodních děl</v>
      </c>
      <c r="R600">
        <f>IF(ISNUMBER(SEARCH('1Př1'!$A$33,N600)),MAX($M$2:M599)+1,0)</f>
        <v>598</v>
      </c>
      <c r="S600" s="336" t="s">
        <v>2611</v>
      </c>
      <c r="T600" t="str">
        <f>IFERROR(VLOOKUP(ROWS($T$3:T600),$R$3:$S$992,2,0),"")</f>
        <v>Výstavba vodních děl</v>
      </c>
      <c r="U600">
        <f>IF(ISNUMBER(SEARCH('1Př1'!$A$34,N600)),MAX($M$2:M599)+1,0)</f>
        <v>598</v>
      </c>
      <c r="V600" s="336" t="s">
        <v>2611</v>
      </c>
      <c r="W600" t="str">
        <f>IFERROR(VLOOKUP(ROWS($W$3:W600),$U$3:$V$992,2,0),"")</f>
        <v>Výstavba vodních děl</v>
      </c>
      <c r="X600">
        <f>IF(ISNUMBER(SEARCH('1Př1'!$A$35,N600)),MAX($M$2:M599)+1,0)</f>
        <v>598</v>
      </c>
      <c r="Y600" s="336" t="s">
        <v>2611</v>
      </c>
      <c r="Z600" t="str">
        <f>IFERROR(VLOOKUP(ROWS($Z$3:Z600),$X$3:$Y$992,2,0),"")</f>
        <v>Výstavba vodních děl</v>
      </c>
    </row>
    <row r="601" spans="13:26" ht="12.75">
      <c r="M601" s="335">
        <f>IF(ISNUMBER(SEARCH(ZAKL_DATA!$B$29,N601)),MAX($M$2:M600)+1,0)</f>
        <v>599</v>
      </c>
      <c r="N601" s="336" t="s">
        <v>2613</v>
      </c>
      <c r="O601" s="353" t="s">
        <v>2614</v>
      </c>
      <c r="P601" s="338"/>
      <c r="Q601" s="339" t="str">
        <f>IFERROR(VLOOKUP(ROWS($Q$3:Q601),$M$3:$N$992,2,0),"")</f>
        <v>Výstavba ostatních staveb j. n.</v>
      </c>
      <c r="R601">
        <f>IF(ISNUMBER(SEARCH('1Př1'!$A$33,N601)),MAX($M$2:M600)+1,0)</f>
        <v>599</v>
      </c>
      <c r="S601" s="336" t="s">
        <v>2613</v>
      </c>
      <c r="T601" t="str">
        <f>IFERROR(VLOOKUP(ROWS($T$3:T601),$R$3:$S$992,2,0),"")</f>
        <v>Výstavba ostatních staveb j. n.</v>
      </c>
      <c r="U601">
        <f>IF(ISNUMBER(SEARCH('1Př1'!$A$34,N601)),MAX($M$2:M600)+1,0)</f>
        <v>599</v>
      </c>
      <c r="V601" s="336" t="s">
        <v>2613</v>
      </c>
      <c r="W601" t="str">
        <f>IFERROR(VLOOKUP(ROWS($W$3:W601),$U$3:$V$992,2,0),"")</f>
        <v>Výstavba ostatních staveb j. n.</v>
      </c>
      <c r="X601">
        <f>IF(ISNUMBER(SEARCH('1Př1'!$A$35,N601)),MAX($M$2:M600)+1,0)</f>
        <v>599</v>
      </c>
      <c r="Y601" s="336" t="s">
        <v>2613</v>
      </c>
      <c r="Z601" t="str">
        <f>IFERROR(VLOOKUP(ROWS($Z$3:Z601),$X$3:$Y$992,2,0),"")</f>
        <v>Výstavba ostatních staveb j. n.</v>
      </c>
    </row>
    <row r="602" spans="13:26" ht="12.75">
      <c r="M602" s="335">
        <f>IF(ISNUMBER(SEARCH(ZAKL_DATA!$B$29,N602)),MAX($M$2:M601)+1,0)</f>
        <v>600</v>
      </c>
      <c r="N602" s="336" t="s">
        <v>2615</v>
      </c>
      <c r="O602" s="353" t="s">
        <v>2616</v>
      </c>
      <c r="P602" s="338"/>
      <c r="Q602" s="339" t="str">
        <f>IFERROR(VLOOKUP(ROWS($Q$3:Q602),$M$3:$N$992,2,0),"")</f>
        <v>Demolice</v>
      </c>
      <c r="R602">
        <f>IF(ISNUMBER(SEARCH('1Př1'!$A$33,N602)),MAX($M$2:M601)+1,0)</f>
        <v>600</v>
      </c>
      <c r="S602" s="336" t="s">
        <v>2615</v>
      </c>
      <c r="T602" t="str">
        <f>IFERROR(VLOOKUP(ROWS($T$3:T602),$R$3:$S$992,2,0),"")</f>
        <v>Demolice</v>
      </c>
      <c r="U602">
        <f>IF(ISNUMBER(SEARCH('1Př1'!$A$34,N602)),MAX($M$2:M601)+1,0)</f>
        <v>600</v>
      </c>
      <c r="V602" s="336" t="s">
        <v>2615</v>
      </c>
      <c r="W602" t="str">
        <f>IFERROR(VLOOKUP(ROWS($W$3:W602),$U$3:$V$992,2,0),"")</f>
        <v>Demolice</v>
      </c>
      <c r="X602">
        <f>IF(ISNUMBER(SEARCH('1Př1'!$A$35,N602)),MAX($M$2:M601)+1,0)</f>
        <v>600</v>
      </c>
      <c r="Y602" s="336" t="s">
        <v>2615</v>
      </c>
      <c r="Z602" t="str">
        <f>IFERROR(VLOOKUP(ROWS($Z$3:Z602),$X$3:$Y$992,2,0),"")</f>
        <v>Demolice</v>
      </c>
    </row>
    <row r="603" spans="13:26" ht="12.75">
      <c r="M603" s="335">
        <f>IF(ISNUMBER(SEARCH(ZAKL_DATA!$B$29,N603)),MAX($M$2:M602)+1,0)</f>
        <v>601</v>
      </c>
      <c r="N603" s="336" t="s">
        <v>2617</v>
      </c>
      <c r="O603" s="353" t="s">
        <v>2618</v>
      </c>
      <c r="P603" s="338"/>
      <c r="Q603" s="339" t="str">
        <f>IFERROR(VLOOKUP(ROWS($Q$3:Q603),$M$3:$N$992,2,0),"")</f>
        <v>Příprava staveniště</v>
      </c>
      <c r="R603">
        <f>IF(ISNUMBER(SEARCH('1Př1'!$A$33,N603)),MAX($M$2:M602)+1,0)</f>
        <v>601</v>
      </c>
      <c r="S603" s="336" t="s">
        <v>2617</v>
      </c>
      <c r="T603" t="str">
        <f>IFERROR(VLOOKUP(ROWS($T$3:T603),$R$3:$S$992,2,0),"")</f>
        <v>Příprava staveniště</v>
      </c>
      <c r="U603">
        <f>IF(ISNUMBER(SEARCH('1Př1'!$A$34,N603)),MAX($M$2:M602)+1,0)</f>
        <v>601</v>
      </c>
      <c r="V603" s="336" t="s">
        <v>2617</v>
      </c>
      <c r="W603" t="str">
        <f>IFERROR(VLOOKUP(ROWS($W$3:W603),$U$3:$V$992,2,0),"")</f>
        <v>Příprava staveniště</v>
      </c>
      <c r="X603">
        <f>IF(ISNUMBER(SEARCH('1Př1'!$A$35,N603)),MAX($M$2:M602)+1,0)</f>
        <v>601</v>
      </c>
      <c r="Y603" s="336" t="s">
        <v>2617</v>
      </c>
      <c r="Z603" t="str">
        <f>IFERROR(VLOOKUP(ROWS($Z$3:Z603),$X$3:$Y$992,2,0),"")</f>
        <v>Příprava staveniště</v>
      </c>
    </row>
    <row r="604" spans="13:26" ht="12.75">
      <c r="M604" s="335">
        <f>IF(ISNUMBER(SEARCH(ZAKL_DATA!$B$29,N604)),MAX($M$2:M603)+1,0)</f>
        <v>602</v>
      </c>
      <c r="N604" s="336" t="s">
        <v>2619</v>
      </c>
      <c r="O604" s="353" t="s">
        <v>2620</v>
      </c>
      <c r="P604" s="338"/>
      <c r="Q604" s="339" t="str">
        <f>IFERROR(VLOOKUP(ROWS($Q$3:Q604),$M$3:$N$992,2,0),"")</f>
        <v>Průzkumné vrtné práce</v>
      </c>
      <c r="R604">
        <f>IF(ISNUMBER(SEARCH('1Př1'!$A$33,N604)),MAX($M$2:M603)+1,0)</f>
        <v>602</v>
      </c>
      <c r="S604" s="336" t="s">
        <v>2619</v>
      </c>
      <c r="T604" t="str">
        <f>IFERROR(VLOOKUP(ROWS($T$3:T604),$R$3:$S$992,2,0),"")</f>
        <v>Průzkumné vrtné práce</v>
      </c>
      <c r="U604">
        <f>IF(ISNUMBER(SEARCH('1Př1'!$A$34,N604)),MAX($M$2:M603)+1,0)</f>
        <v>602</v>
      </c>
      <c r="V604" s="336" t="s">
        <v>2619</v>
      </c>
      <c r="W604" t="str">
        <f>IFERROR(VLOOKUP(ROWS($W$3:W604),$U$3:$V$992,2,0),"")</f>
        <v>Průzkumné vrtné práce</v>
      </c>
      <c r="X604">
        <f>IF(ISNUMBER(SEARCH('1Př1'!$A$35,N604)),MAX($M$2:M603)+1,0)</f>
        <v>602</v>
      </c>
      <c r="Y604" s="336" t="s">
        <v>2619</v>
      </c>
      <c r="Z604" t="str">
        <f>IFERROR(VLOOKUP(ROWS($Z$3:Z604),$X$3:$Y$992,2,0),"")</f>
        <v>Průzkumné vrtné práce</v>
      </c>
    </row>
    <row r="605" spans="13:26" ht="12.75">
      <c r="M605" s="335">
        <f>IF(ISNUMBER(SEARCH(ZAKL_DATA!$B$29,N605)),MAX($M$2:M604)+1,0)</f>
        <v>603</v>
      </c>
      <c r="N605" s="336" t="s">
        <v>2621</v>
      </c>
      <c r="O605" s="353" t="s">
        <v>2622</v>
      </c>
      <c r="P605" s="338"/>
      <c r="Q605" s="339" t="str">
        <f>IFERROR(VLOOKUP(ROWS($Q$3:Q605),$M$3:$N$992,2,0),"")</f>
        <v>Elektrické instalace</v>
      </c>
      <c r="R605">
        <f>IF(ISNUMBER(SEARCH('1Př1'!$A$33,N605)),MAX($M$2:M604)+1,0)</f>
        <v>603</v>
      </c>
      <c r="S605" s="336" t="s">
        <v>2621</v>
      </c>
      <c r="T605" t="str">
        <f>IFERROR(VLOOKUP(ROWS($T$3:T605),$R$3:$S$992,2,0),"")</f>
        <v>Elektrické instalace</v>
      </c>
      <c r="U605">
        <f>IF(ISNUMBER(SEARCH('1Př1'!$A$34,N605)),MAX($M$2:M604)+1,0)</f>
        <v>603</v>
      </c>
      <c r="V605" s="336" t="s">
        <v>2621</v>
      </c>
      <c r="W605" t="str">
        <f>IFERROR(VLOOKUP(ROWS($W$3:W605),$U$3:$V$992,2,0),"")</f>
        <v>Elektrické instalace</v>
      </c>
      <c r="X605">
        <f>IF(ISNUMBER(SEARCH('1Př1'!$A$35,N605)),MAX($M$2:M604)+1,0)</f>
        <v>603</v>
      </c>
      <c r="Y605" s="336" t="s">
        <v>2621</v>
      </c>
      <c r="Z605" t="str">
        <f>IFERROR(VLOOKUP(ROWS($Z$3:Z605),$X$3:$Y$992,2,0),"")</f>
        <v>Elektrické instalace</v>
      </c>
    </row>
    <row r="606" spans="13:26" ht="12.75">
      <c r="M606" s="335">
        <f>IF(ISNUMBER(SEARCH(ZAKL_DATA!$B$29,N606)),MAX($M$2:M605)+1,0)</f>
        <v>604</v>
      </c>
      <c r="N606" s="336" t="s">
        <v>2623</v>
      </c>
      <c r="O606" s="353" t="s">
        <v>2624</v>
      </c>
      <c r="P606" s="338"/>
      <c r="Q606" s="339" t="str">
        <f>IFERROR(VLOOKUP(ROWS($Q$3:Q606),$M$3:$N$992,2,0),"")</f>
        <v>Instalace vody, odpadu, plynu, topení a klimatizace</v>
      </c>
      <c r="R606">
        <f>IF(ISNUMBER(SEARCH('1Př1'!$A$33,N606)),MAX($M$2:M605)+1,0)</f>
        <v>604</v>
      </c>
      <c r="S606" s="336" t="s">
        <v>2623</v>
      </c>
      <c r="T606" t="str">
        <f>IFERROR(VLOOKUP(ROWS($T$3:T606),$R$3:$S$992,2,0),"")</f>
        <v>Instalace vody, odpadu, plynu, topení a klimatizace</v>
      </c>
      <c r="U606">
        <f>IF(ISNUMBER(SEARCH('1Př1'!$A$34,N606)),MAX($M$2:M605)+1,0)</f>
        <v>604</v>
      </c>
      <c r="V606" s="336" t="s">
        <v>2623</v>
      </c>
      <c r="W606" t="str">
        <f>IFERROR(VLOOKUP(ROWS($W$3:W606),$U$3:$V$992,2,0),"")</f>
        <v>Instalace vody, odpadu, plynu, topení a klimatizace</v>
      </c>
      <c r="X606">
        <f>IF(ISNUMBER(SEARCH('1Př1'!$A$35,N606)),MAX($M$2:M605)+1,0)</f>
        <v>604</v>
      </c>
      <c r="Y606" s="336" t="s">
        <v>2623</v>
      </c>
      <c r="Z606" t="str">
        <f>IFERROR(VLOOKUP(ROWS($Z$3:Z606),$X$3:$Y$992,2,0),"")</f>
        <v>Instalace vody, odpadu, plynu, topení a klimatizace</v>
      </c>
    </row>
    <row r="607" spans="13:26" ht="12.75">
      <c r="M607" s="335">
        <f>IF(ISNUMBER(SEARCH(ZAKL_DATA!$B$29,N607)),MAX($M$2:M606)+1,0)</f>
        <v>605</v>
      </c>
      <c r="N607" s="336" t="s">
        <v>2625</v>
      </c>
      <c r="O607" s="353" t="s">
        <v>2626</v>
      </c>
      <c r="P607" s="338"/>
      <c r="Q607" s="339" t="str">
        <f>IFERROR(VLOOKUP(ROWS($Q$3:Q607),$M$3:$N$992,2,0),"")</f>
        <v>Ostatní stavební instalace</v>
      </c>
      <c r="R607">
        <f>IF(ISNUMBER(SEARCH('1Př1'!$A$33,N607)),MAX($M$2:M606)+1,0)</f>
        <v>605</v>
      </c>
      <c r="S607" s="336" t="s">
        <v>2625</v>
      </c>
      <c r="T607" t="str">
        <f>IFERROR(VLOOKUP(ROWS($T$3:T607),$R$3:$S$992,2,0),"")</f>
        <v>Ostatní stavební instalace</v>
      </c>
      <c r="U607">
        <f>IF(ISNUMBER(SEARCH('1Př1'!$A$34,N607)),MAX($M$2:M606)+1,0)</f>
        <v>605</v>
      </c>
      <c r="V607" s="336" t="s">
        <v>2625</v>
      </c>
      <c r="W607" t="str">
        <f>IFERROR(VLOOKUP(ROWS($W$3:W607),$U$3:$V$992,2,0),"")</f>
        <v>Ostatní stavební instalace</v>
      </c>
      <c r="X607">
        <f>IF(ISNUMBER(SEARCH('1Př1'!$A$35,N607)),MAX($M$2:M606)+1,0)</f>
        <v>605</v>
      </c>
      <c r="Y607" s="336" t="s">
        <v>2625</v>
      </c>
      <c r="Z607" t="str">
        <f>IFERROR(VLOOKUP(ROWS($Z$3:Z607),$X$3:$Y$992,2,0),"")</f>
        <v>Ostatní stavební instalace</v>
      </c>
    </row>
    <row r="608" spans="13:26" ht="12.75">
      <c r="M608" s="335">
        <f>IF(ISNUMBER(SEARCH(ZAKL_DATA!$B$29,N608)),MAX($M$2:M607)+1,0)</f>
        <v>606</v>
      </c>
      <c r="N608" s="336" t="s">
        <v>2627</v>
      </c>
      <c r="O608" s="353" t="s">
        <v>2628</v>
      </c>
      <c r="P608" s="338"/>
      <c r="Q608" s="339" t="str">
        <f>IFERROR(VLOOKUP(ROWS($Q$3:Q608),$M$3:$N$992,2,0),"")</f>
        <v>Omítkářské práce</v>
      </c>
      <c r="R608">
        <f>IF(ISNUMBER(SEARCH('1Př1'!$A$33,N608)),MAX($M$2:M607)+1,0)</f>
        <v>606</v>
      </c>
      <c r="S608" s="336" t="s">
        <v>2627</v>
      </c>
      <c r="T608" t="str">
        <f>IFERROR(VLOOKUP(ROWS($T$3:T608),$R$3:$S$992,2,0),"")</f>
        <v>Omítkářské práce</v>
      </c>
      <c r="U608">
        <f>IF(ISNUMBER(SEARCH('1Př1'!$A$34,N608)),MAX($M$2:M607)+1,0)</f>
        <v>606</v>
      </c>
      <c r="V608" s="336" t="s">
        <v>2627</v>
      </c>
      <c r="W608" t="str">
        <f>IFERROR(VLOOKUP(ROWS($W$3:W608),$U$3:$V$992,2,0),"")</f>
        <v>Omítkářské práce</v>
      </c>
      <c r="X608">
        <f>IF(ISNUMBER(SEARCH('1Př1'!$A$35,N608)),MAX($M$2:M607)+1,0)</f>
        <v>606</v>
      </c>
      <c r="Y608" s="336" t="s">
        <v>2627</v>
      </c>
      <c r="Z608" t="str">
        <f>IFERROR(VLOOKUP(ROWS($Z$3:Z608),$X$3:$Y$992,2,0),"")</f>
        <v>Omítkářské práce</v>
      </c>
    </row>
    <row r="609" spans="13:26" ht="12.75">
      <c r="M609" s="335">
        <f>IF(ISNUMBER(SEARCH(ZAKL_DATA!$B$29,N609)),MAX($M$2:M608)+1,0)</f>
        <v>607</v>
      </c>
      <c r="N609" s="336" t="s">
        <v>2629</v>
      </c>
      <c r="O609" s="353" t="s">
        <v>2630</v>
      </c>
      <c r="P609" s="338"/>
      <c r="Q609" s="339" t="str">
        <f>IFERROR(VLOOKUP(ROWS($Q$3:Q609),$M$3:$N$992,2,0),"")</f>
        <v>Truhlářské práce</v>
      </c>
      <c r="R609">
        <f>IF(ISNUMBER(SEARCH('1Př1'!$A$33,N609)),MAX($M$2:M608)+1,0)</f>
        <v>607</v>
      </c>
      <c r="S609" s="336" t="s">
        <v>2629</v>
      </c>
      <c r="T609" t="str">
        <f>IFERROR(VLOOKUP(ROWS($T$3:T609),$R$3:$S$992,2,0),"")</f>
        <v>Truhlářské práce</v>
      </c>
      <c r="U609">
        <f>IF(ISNUMBER(SEARCH('1Př1'!$A$34,N609)),MAX($M$2:M608)+1,0)</f>
        <v>607</v>
      </c>
      <c r="V609" s="336" t="s">
        <v>2629</v>
      </c>
      <c r="W609" t="str">
        <f>IFERROR(VLOOKUP(ROWS($W$3:W609),$U$3:$V$992,2,0),"")</f>
        <v>Truhlářské práce</v>
      </c>
      <c r="X609">
        <f>IF(ISNUMBER(SEARCH('1Př1'!$A$35,N609)),MAX($M$2:M608)+1,0)</f>
        <v>607</v>
      </c>
      <c r="Y609" s="336" t="s">
        <v>2629</v>
      </c>
      <c r="Z609" t="str">
        <f>IFERROR(VLOOKUP(ROWS($Z$3:Z609),$X$3:$Y$992,2,0),"")</f>
        <v>Truhlářské práce</v>
      </c>
    </row>
    <row r="610" spans="13:26" ht="12.75">
      <c r="M610" s="335">
        <f>IF(ISNUMBER(SEARCH(ZAKL_DATA!$B$29,N610)),MAX($M$2:M609)+1,0)</f>
        <v>608</v>
      </c>
      <c r="N610" s="336" t="s">
        <v>2631</v>
      </c>
      <c r="O610" s="353" t="s">
        <v>2632</v>
      </c>
      <c r="P610" s="338"/>
      <c r="Q610" s="339" t="str">
        <f>IFERROR(VLOOKUP(ROWS($Q$3:Q610),$M$3:$N$992,2,0),"")</f>
        <v>Obkládání stěn a pokládání podlahových krytin</v>
      </c>
      <c r="R610">
        <f>IF(ISNUMBER(SEARCH('1Př1'!$A$33,N610)),MAX($M$2:M609)+1,0)</f>
        <v>608</v>
      </c>
      <c r="S610" s="336" t="s">
        <v>2631</v>
      </c>
      <c r="T610" t="str">
        <f>IFERROR(VLOOKUP(ROWS($T$3:T610),$R$3:$S$992,2,0),"")</f>
        <v>Obkládání stěn a pokládání podlahových krytin</v>
      </c>
      <c r="U610">
        <f>IF(ISNUMBER(SEARCH('1Př1'!$A$34,N610)),MAX($M$2:M609)+1,0)</f>
        <v>608</v>
      </c>
      <c r="V610" s="336" t="s">
        <v>2631</v>
      </c>
      <c r="W610" t="str">
        <f>IFERROR(VLOOKUP(ROWS($W$3:W610),$U$3:$V$992,2,0),"")</f>
        <v>Obkládání stěn a pokládání podlahových krytin</v>
      </c>
      <c r="X610">
        <f>IF(ISNUMBER(SEARCH('1Př1'!$A$35,N610)),MAX($M$2:M609)+1,0)</f>
        <v>608</v>
      </c>
      <c r="Y610" s="336" t="s">
        <v>2631</v>
      </c>
      <c r="Z610" t="str">
        <f>IFERROR(VLOOKUP(ROWS($Z$3:Z610),$X$3:$Y$992,2,0),"")</f>
        <v>Obkládání stěn a pokládání podlahových krytin</v>
      </c>
    </row>
    <row r="611" spans="13:26" ht="12.75">
      <c r="M611" s="335">
        <f>IF(ISNUMBER(SEARCH(ZAKL_DATA!$B$29,N611)),MAX($M$2:M610)+1,0)</f>
        <v>609</v>
      </c>
      <c r="N611" s="336" t="s">
        <v>2633</v>
      </c>
      <c r="O611" s="353" t="s">
        <v>2634</v>
      </c>
      <c r="P611" s="338"/>
      <c r="Q611" s="339" t="str">
        <f>IFERROR(VLOOKUP(ROWS($Q$3:Q611),$M$3:$N$992,2,0),"")</f>
        <v>Sklenářské, malířské a natěračské práce</v>
      </c>
      <c r="R611">
        <f>IF(ISNUMBER(SEARCH('1Př1'!$A$33,N611)),MAX($M$2:M610)+1,0)</f>
        <v>609</v>
      </c>
      <c r="S611" s="336" t="s">
        <v>2633</v>
      </c>
      <c r="T611" t="str">
        <f>IFERROR(VLOOKUP(ROWS($T$3:T611),$R$3:$S$992,2,0),"")</f>
        <v>Sklenářské, malířské a natěračské práce</v>
      </c>
      <c r="U611">
        <f>IF(ISNUMBER(SEARCH('1Př1'!$A$34,N611)),MAX($M$2:M610)+1,0)</f>
        <v>609</v>
      </c>
      <c r="V611" s="336" t="s">
        <v>2633</v>
      </c>
      <c r="W611" t="str">
        <f>IFERROR(VLOOKUP(ROWS($W$3:W611),$U$3:$V$992,2,0),"")</f>
        <v>Sklenářské, malířské a natěračské práce</v>
      </c>
      <c r="X611">
        <f>IF(ISNUMBER(SEARCH('1Př1'!$A$35,N611)),MAX($M$2:M610)+1,0)</f>
        <v>609</v>
      </c>
      <c r="Y611" s="336" t="s">
        <v>2633</v>
      </c>
      <c r="Z611" t="str">
        <f>IFERROR(VLOOKUP(ROWS($Z$3:Z611),$X$3:$Y$992,2,0),"")</f>
        <v>Sklenářské, malířské a natěračské práce</v>
      </c>
    </row>
    <row r="612" spans="13:26" ht="12.75">
      <c r="M612" s="335">
        <f>IF(ISNUMBER(SEARCH(ZAKL_DATA!$B$29,N612)),MAX($M$2:M611)+1,0)</f>
        <v>610</v>
      </c>
      <c r="N612" s="336" t="s">
        <v>2635</v>
      </c>
      <c r="O612" s="353" t="s">
        <v>2636</v>
      </c>
      <c r="P612" s="338"/>
      <c r="Q612" s="339" t="str">
        <f>IFERROR(VLOOKUP(ROWS($Q$3:Q612),$M$3:$N$992,2,0),"")</f>
        <v>Ostatní kompletační a dokončovací práce</v>
      </c>
      <c r="R612">
        <f>IF(ISNUMBER(SEARCH('1Př1'!$A$33,N612)),MAX($M$2:M611)+1,0)</f>
        <v>610</v>
      </c>
      <c r="S612" s="336" t="s">
        <v>2635</v>
      </c>
      <c r="T612" t="str">
        <f>IFERROR(VLOOKUP(ROWS($T$3:T612),$R$3:$S$992,2,0),"")</f>
        <v>Ostatní kompletační a dokončovací práce</v>
      </c>
      <c r="U612">
        <f>IF(ISNUMBER(SEARCH('1Př1'!$A$34,N612)),MAX($M$2:M611)+1,0)</f>
        <v>610</v>
      </c>
      <c r="V612" s="336" t="s">
        <v>2635</v>
      </c>
      <c r="W612" t="str">
        <f>IFERROR(VLOOKUP(ROWS($W$3:W612),$U$3:$V$992,2,0),"")</f>
        <v>Ostatní kompletační a dokončovací práce</v>
      </c>
      <c r="X612">
        <f>IF(ISNUMBER(SEARCH('1Př1'!$A$35,N612)),MAX($M$2:M611)+1,0)</f>
        <v>610</v>
      </c>
      <c r="Y612" s="336" t="s">
        <v>2635</v>
      </c>
      <c r="Z612" t="str">
        <f>IFERROR(VLOOKUP(ROWS($Z$3:Z612),$X$3:$Y$992,2,0),"")</f>
        <v>Ostatní kompletační a dokončovací práce</v>
      </c>
    </row>
    <row r="613" spans="13:26" ht="12.75">
      <c r="M613" s="335">
        <f>IF(ISNUMBER(SEARCH(ZAKL_DATA!$B$29,N613)),MAX($M$2:M612)+1,0)</f>
        <v>611</v>
      </c>
      <c r="N613" s="336" t="s">
        <v>2637</v>
      </c>
      <c r="O613" s="353" t="s">
        <v>2638</v>
      </c>
      <c r="P613" s="338"/>
      <c r="Q613" s="339" t="str">
        <f>IFERROR(VLOOKUP(ROWS($Q$3:Q613),$M$3:$N$992,2,0),"")</f>
        <v>Pokrývačské práce</v>
      </c>
      <c r="R613">
        <f>IF(ISNUMBER(SEARCH('1Př1'!$A$33,N613)),MAX($M$2:M612)+1,0)</f>
        <v>611</v>
      </c>
      <c r="S613" s="336" t="s">
        <v>2637</v>
      </c>
      <c r="T613" t="str">
        <f>IFERROR(VLOOKUP(ROWS($T$3:T613),$R$3:$S$992,2,0),"")</f>
        <v>Pokrývačské práce</v>
      </c>
      <c r="U613">
        <f>IF(ISNUMBER(SEARCH('1Př1'!$A$34,N613)),MAX($M$2:M612)+1,0)</f>
        <v>611</v>
      </c>
      <c r="V613" s="336" t="s">
        <v>2637</v>
      </c>
      <c r="W613" t="str">
        <f>IFERROR(VLOOKUP(ROWS($W$3:W613),$U$3:$V$992,2,0),"")</f>
        <v>Pokrývačské práce</v>
      </c>
      <c r="X613">
        <f>IF(ISNUMBER(SEARCH('1Př1'!$A$35,N613)),MAX($M$2:M612)+1,0)</f>
        <v>611</v>
      </c>
      <c r="Y613" s="336" t="s">
        <v>2637</v>
      </c>
      <c r="Z613" t="str">
        <f>IFERROR(VLOOKUP(ROWS($Z$3:Z613),$X$3:$Y$992,2,0),"")</f>
        <v>Pokrývačské práce</v>
      </c>
    </row>
    <row r="614" spans="13:26" ht="12.75">
      <c r="M614" s="335">
        <f>IF(ISNUMBER(SEARCH(ZAKL_DATA!$B$29,N614)),MAX($M$2:M613)+1,0)</f>
        <v>612</v>
      </c>
      <c r="N614" s="336" t="s">
        <v>2639</v>
      </c>
      <c r="O614" s="353" t="s">
        <v>2640</v>
      </c>
      <c r="P614" s="338"/>
      <c r="Q614" s="339" t="str">
        <f>IFERROR(VLOOKUP(ROWS($Q$3:Q614),$M$3:$N$992,2,0),"")</f>
        <v>Ostatní specializované stavební činnosti j. n.</v>
      </c>
      <c r="R614">
        <f>IF(ISNUMBER(SEARCH('1Př1'!$A$33,N614)),MAX($M$2:M613)+1,0)</f>
        <v>612</v>
      </c>
      <c r="S614" s="336" t="s">
        <v>2639</v>
      </c>
      <c r="T614" t="str">
        <f>IFERROR(VLOOKUP(ROWS($T$3:T614),$R$3:$S$992,2,0),"")</f>
        <v>Ostatní specializované stavební činnosti j. n.</v>
      </c>
      <c r="U614">
        <f>IF(ISNUMBER(SEARCH('1Př1'!$A$34,N614)),MAX($M$2:M613)+1,0)</f>
        <v>612</v>
      </c>
      <c r="V614" s="336" t="s">
        <v>2639</v>
      </c>
      <c r="W614" t="str">
        <f>IFERROR(VLOOKUP(ROWS($W$3:W614),$U$3:$V$992,2,0),"")</f>
        <v>Ostatní specializované stavební činnosti j. n.</v>
      </c>
      <c r="X614">
        <f>IF(ISNUMBER(SEARCH('1Př1'!$A$35,N614)),MAX($M$2:M613)+1,0)</f>
        <v>612</v>
      </c>
      <c r="Y614" s="336" t="s">
        <v>2639</v>
      </c>
      <c r="Z614" t="str">
        <f>IFERROR(VLOOKUP(ROWS($Z$3:Z614),$X$3:$Y$992,2,0),"")</f>
        <v>Ostatní specializované stavební činnosti j. n.</v>
      </c>
    </row>
    <row r="615" spans="13:26" ht="12.75">
      <c r="M615" s="335">
        <f>IF(ISNUMBER(SEARCH(ZAKL_DATA!$B$29,N615)),MAX($M$2:M614)+1,0)</f>
        <v>613</v>
      </c>
      <c r="N615" s="336" t="s">
        <v>2641</v>
      </c>
      <c r="O615" s="353" t="s">
        <v>2642</v>
      </c>
      <c r="P615" s="338"/>
      <c r="Q615" s="339" t="str">
        <f>IFERROR(VLOOKUP(ROWS($Q$3:Q615),$M$3:$N$992,2,0),"")</f>
        <v>Obchod s automobily a jinými lehkými motorovými vozidly</v>
      </c>
      <c r="R615">
        <f>IF(ISNUMBER(SEARCH('1Př1'!$A$33,N615)),MAX($M$2:M614)+1,0)</f>
        <v>613</v>
      </c>
      <c r="S615" s="336" t="s">
        <v>2641</v>
      </c>
      <c r="T615" t="str">
        <f>IFERROR(VLOOKUP(ROWS($T$3:T615),$R$3:$S$992,2,0),"")</f>
        <v>Obchod s automobily a jinými lehkými motorovými vozidly</v>
      </c>
      <c r="U615">
        <f>IF(ISNUMBER(SEARCH('1Př1'!$A$34,N615)),MAX($M$2:M614)+1,0)</f>
        <v>613</v>
      </c>
      <c r="V615" s="336" t="s">
        <v>2641</v>
      </c>
      <c r="W615" t="str">
        <f>IFERROR(VLOOKUP(ROWS($W$3:W615),$U$3:$V$992,2,0),"")</f>
        <v>Obchod s automobily a jinými lehkými motorovými vozidly</v>
      </c>
      <c r="X615">
        <f>IF(ISNUMBER(SEARCH('1Př1'!$A$35,N615)),MAX($M$2:M614)+1,0)</f>
        <v>613</v>
      </c>
      <c r="Y615" s="336" t="s">
        <v>2641</v>
      </c>
      <c r="Z615" t="str">
        <f>IFERROR(VLOOKUP(ROWS($Z$3:Z615),$X$3:$Y$992,2,0),"")</f>
        <v>Obchod s automobily a jinými lehkými motorovými vozidly</v>
      </c>
    </row>
    <row r="616" spans="13:26" ht="12.75">
      <c r="M616" s="335">
        <f>IF(ISNUMBER(SEARCH(ZAKL_DATA!$B$29,N616)),MAX($M$2:M615)+1,0)</f>
        <v>614</v>
      </c>
      <c r="N616" s="336" t="s">
        <v>2643</v>
      </c>
      <c r="O616" s="353" t="s">
        <v>2644</v>
      </c>
      <c r="P616" s="338"/>
      <c r="Q616" s="339" t="str">
        <f>IFERROR(VLOOKUP(ROWS($Q$3:Q616),$M$3:$N$992,2,0),"")</f>
        <v>Obchod s ostatními motorovými vozidly, kromě motocyklů</v>
      </c>
      <c r="R616">
        <f>IF(ISNUMBER(SEARCH('1Př1'!$A$33,N616)),MAX($M$2:M615)+1,0)</f>
        <v>614</v>
      </c>
      <c r="S616" s="336" t="s">
        <v>2643</v>
      </c>
      <c r="T616" t="str">
        <f>IFERROR(VLOOKUP(ROWS($T$3:T616),$R$3:$S$992,2,0),"")</f>
        <v>Obchod s ostatními motorovými vozidly, kromě motocyklů</v>
      </c>
      <c r="U616">
        <f>IF(ISNUMBER(SEARCH('1Př1'!$A$34,N616)),MAX($M$2:M615)+1,0)</f>
        <v>614</v>
      </c>
      <c r="V616" s="336" t="s">
        <v>2643</v>
      </c>
      <c r="W616" t="str">
        <f>IFERROR(VLOOKUP(ROWS($W$3:W616),$U$3:$V$992,2,0),"")</f>
        <v>Obchod s ostatními motorovými vozidly, kromě motocyklů</v>
      </c>
      <c r="X616">
        <f>IF(ISNUMBER(SEARCH('1Př1'!$A$35,N616)),MAX($M$2:M615)+1,0)</f>
        <v>614</v>
      </c>
      <c r="Y616" s="336" t="s">
        <v>2643</v>
      </c>
      <c r="Z616" t="str">
        <f>IFERROR(VLOOKUP(ROWS($Z$3:Z616),$X$3:$Y$992,2,0),"")</f>
        <v>Obchod s ostatními motorovými vozidly, kromě motocyklů</v>
      </c>
    </row>
    <row r="617" spans="13:26" ht="12.75">
      <c r="M617" s="335">
        <f>IF(ISNUMBER(SEARCH(ZAKL_DATA!$B$29,N617)),MAX($M$2:M616)+1,0)</f>
        <v>615</v>
      </c>
      <c r="N617" s="336" t="s">
        <v>2645</v>
      </c>
      <c r="O617" s="353" t="s">
        <v>2646</v>
      </c>
      <c r="P617" s="338"/>
      <c r="Q617" s="339" t="str">
        <f>IFERROR(VLOOKUP(ROWS($Q$3:Q617),$M$3:$N$992,2,0),"")</f>
        <v>Velkoobchod s díly a příslušenstvím pro motorová vozidla,kromě motocyklů</v>
      </c>
      <c r="R617">
        <f>IF(ISNUMBER(SEARCH('1Př1'!$A$33,N617)),MAX($M$2:M616)+1,0)</f>
        <v>615</v>
      </c>
      <c r="S617" s="336" t="s">
        <v>2645</v>
      </c>
      <c r="T617" t="str">
        <f>IFERROR(VLOOKUP(ROWS($T$3:T617),$R$3:$S$992,2,0),"")</f>
        <v>Velkoobchod s díly a příslušenstvím pro motorová vozidla,kromě motocyklů</v>
      </c>
      <c r="U617">
        <f>IF(ISNUMBER(SEARCH('1Př1'!$A$34,N617)),MAX($M$2:M616)+1,0)</f>
        <v>615</v>
      </c>
      <c r="V617" s="336" t="s">
        <v>2645</v>
      </c>
      <c r="W617" t="str">
        <f>IFERROR(VLOOKUP(ROWS($W$3:W617),$U$3:$V$992,2,0),"")</f>
        <v>Velkoobchod s díly a příslušenstvím pro motorová vozidla,kromě motocyklů</v>
      </c>
      <c r="X617">
        <f>IF(ISNUMBER(SEARCH('1Př1'!$A$35,N617)),MAX($M$2:M616)+1,0)</f>
        <v>615</v>
      </c>
      <c r="Y617" s="336" t="s">
        <v>2645</v>
      </c>
      <c r="Z617" t="str">
        <f>IFERROR(VLOOKUP(ROWS($Z$3:Z617),$X$3:$Y$992,2,0),"")</f>
        <v>Velkoobchod s díly a příslušenstvím pro motorová vozidla,kromě motocyklů</v>
      </c>
    </row>
    <row r="618" spans="13:26" ht="12.75">
      <c r="M618" s="335">
        <f>IF(ISNUMBER(SEARCH(ZAKL_DATA!$B$29,N618)),MAX($M$2:M617)+1,0)</f>
        <v>616</v>
      </c>
      <c r="N618" s="336" t="s">
        <v>2647</v>
      </c>
      <c r="O618" s="353" t="s">
        <v>2648</v>
      </c>
      <c r="P618" s="338"/>
      <c r="Q618" s="339" t="str">
        <f>IFERROR(VLOOKUP(ROWS($Q$3:Q618),$M$3:$N$992,2,0),"")</f>
        <v>Maloobchod s díly a příslušenstvím pro motorová vozidla,kromě motocyklů</v>
      </c>
      <c r="R618">
        <f>IF(ISNUMBER(SEARCH('1Př1'!$A$33,N618)),MAX($M$2:M617)+1,0)</f>
        <v>616</v>
      </c>
      <c r="S618" s="336" t="s">
        <v>2647</v>
      </c>
      <c r="T618" t="str">
        <f>IFERROR(VLOOKUP(ROWS($T$3:T618),$R$3:$S$992,2,0),"")</f>
        <v>Maloobchod s díly a příslušenstvím pro motorová vozidla,kromě motocyklů</v>
      </c>
      <c r="U618">
        <f>IF(ISNUMBER(SEARCH('1Př1'!$A$34,N618)),MAX($M$2:M617)+1,0)</f>
        <v>616</v>
      </c>
      <c r="V618" s="336" t="s">
        <v>2647</v>
      </c>
      <c r="W618" t="str">
        <f>IFERROR(VLOOKUP(ROWS($W$3:W618),$U$3:$V$992,2,0),"")</f>
        <v>Maloobchod s díly a příslušenstvím pro motorová vozidla,kromě motocyklů</v>
      </c>
      <c r="X618">
        <f>IF(ISNUMBER(SEARCH('1Př1'!$A$35,N618)),MAX($M$2:M617)+1,0)</f>
        <v>616</v>
      </c>
      <c r="Y618" s="336" t="s">
        <v>2647</v>
      </c>
      <c r="Z618" t="str">
        <f>IFERROR(VLOOKUP(ROWS($Z$3:Z618),$X$3:$Y$992,2,0),"")</f>
        <v>Maloobchod s díly a příslušenstvím pro motorová vozidla,kromě motocyklů</v>
      </c>
    </row>
    <row r="619" spans="13:26" ht="12.75">
      <c r="M619" s="335">
        <f>IF(ISNUMBER(SEARCH(ZAKL_DATA!$B$29,N619)),MAX($M$2:M618)+1,0)</f>
        <v>617</v>
      </c>
      <c r="N619" s="336" t="s">
        <v>2649</v>
      </c>
      <c r="O619" s="353" t="s">
        <v>2650</v>
      </c>
      <c r="P619" s="338"/>
      <c r="Q619" s="339" t="str">
        <f>IFERROR(VLOOKUP(ROWS($Q$3:Q619),$M$3:$N$992,2,0),"")</f>
        <v>Zprostř.velkoob.a velkoob.v zast.se zákl.zem.pr.,živými zv.,text.sur.a pol.</v>
      </c>
      <c r="R619">
        <f>IF(ISNUMBER(SEARCH('1Př1'!$A$33,N619)),MAX($M$2:M618)+1,0)</f>
        <v>617</v>
      </c>
      <c r="S619" s="336" t="s">
        <v>2649</v>
      </c>
      <c r="T619" t="str">
        <f>IFERROR(VLOOKUP(ROWS($T$3:T619),$R$3:$S$992,2,0),"")</f>
        <v>Zprostř.velkoob.a velkoob.v zast.se zákl.zem.pr.,živými zv.,text.sur.a pol.</v>
      </c>
      <c r="U619">
        <f>IF(ISNUMBER(SEARCH('1Př1'!$A$34,N619)),MAX($M$2:M618)+1,0)</f>
        <v>617</v>
      </c>
      <c r="V619" s="336" t="s">
        <v>2649</v>
      </c>
      <c r="W619" t="str">
        <f>IFERROR(VLOOKUP(ROWS($W$3:W619),$U$3:$V$992,2,0),"")</f>
        <v>Zprostř.velkoob.a velkoob.v zast.se zákl.zem.pr.,živými zv.,text.sur.a pol.</v>
      </c>
      <c r="X619">
        <f>IF(ISNUMBER(SEARCH('1Př1'!$A$35,N619)),MAX($M$2:M618)+1,0)</f>
        <v>617</v>
      </c>
      <c r="Y619" s="336" t="s">
        <v>2649</v>
      </c>
      <c r="Z619" t="str">
        <f>IFERROR(VLOOKUP(ROWS($Z$3:Z619),$X$3:$Y$992,2,0),"")</f>
        <v>Zprostř.velkoob.a velkoob.v zast.se zákl.zem.pr.,živými zv.,text.sur.a pol.</v>
      </c>
    </row>
    <row r="620" spans="13:26" ht="12.75">
      <c r="M620" s="335">
        <f>IF(ISNUMBER(SEARCH(ZAKL_DATA!$B$29,N620)),MAX($M$2:M619)+1,0)</f>
        <v>618</v>
      </c>
      <c r="N620" s="336" t="s">
        <v>2651</v>
      </c>
      <c r="O620" s="353" t="s">
        <v>2652</v>
      </c>
      <c r="P620" s="338"/>
      <c r="Q620" s="339" t="str">
        <f>IFERROR(VLOOKUP(ROWS($Q$3:Q620),$M$3:$N$992,2,0),"")</f>
        <v>Zprostř.velkoob.a velkoob.v zast.s palivy,rudami,kovy a prům.chemikáliemi</v>
      </c>
      <c r="R620">
        <f>IF(ISNUMBER(SEARCH('1Př1'!$A$33,N620)),MAX($M$2:M619)+1,0)</f>
        <v>618</v>
      </c>
      <c r="S620" s="336" t="s">
        <v>2651</v>
      </c>
      <c r="T620" t="str">
        <f>IFERROR(VLOOKUP(ROWS($T$3:T620),$R$3:$S$992,2,0),"")</f>
        <v>Zprostř.velkoob.a velkoob.v zast.s palivy,rudami,kovy a prům.chemikáliemi</v>
      </c>
      <c r="U620">
        <f>IF(ISNUMBER(SEARCH('1Př1'!$A$34,N620)),MAX($M$2:M619)+1,0)</f>
        <v>618</v>
      </c>
      <c r="V620" s="336" t="s">
        <v>2651</v>
      </c>
      <c r="W620" t="str">
        <f>IFERROR(VLOOKUP(ROWS($W$3:W620),$U$3:$V$992,2,0),"")</f>
        <v>Zprostř.velkoob.a velkoob.v zast.s palivy,rudami,kovy a prům.chemikáliemi</v>
      </c>
      <c r="X620">
        <f>IF(ISNUMBER(SEARCH('1Př1'!$A$35,N620)),MAX($M$2:M619)+1,0)</f>
        <v>618</v>
      </c>
      <c r="Y620" s="336" t="s">
        <v>2651</v>
      </c>
      <c r="Z620" t="str">
        <f>IFERROR(VLOOKUP(ROWS($Z$3:Z620),$X$3:$Y$992,2,0),"")</f>
        <v>Zprostř.velkoob.a velkoob.v zast.s palivy,rudami,kovy a prům.chemikáliemi</v>
      </c>
    </row>
    <row r="621" spans="13:26" ht="12.75">
      <c r="M621" s="335">
        <f>IF(ISNUMBER(SEARCH(ZAKL_DATA!$B$29,N621)),MAX($M$2:M620)+1,0)</f>
        <v>619</v>
      </c>
      <c r="N621" s="336" t="s">
        <v>2653</v>
      </c>
      <c r="O621" s="353" t="s">
        <v>2654</v>
      </c>
      <c r="P621" s="338"/>
      <c r="Q621" s="339" t="str">
        <f>IFERROR(VLOOKUP(ROWS($Q$3:Q621),$M$3:$N$992,2,0),"")</f>
        <v>Zprostř.velkoobchodu a velkoobchod v zast.se dřevem a staveb.materiály</v>
      </c>
      <c r="R621">
        <f>IF(ISNUMBER(SEARCH('1Př1'!$A$33,N621)),MAX($M$2:M620)+1,0)</f>
        <v>619</v>
      </c>
      <c r="S621" s="336" t="s">
        <v>2653</v>
      </c>
      <c r="T621" t="str">
        <f>IFERROR(VLOOKUP(ROWS($T$3:T621),$R$3:$S$992,2,0),"")</f>
        <v>Zprostř.velkoobchodu a velkoobchod v zast.se dřevem a staveb.materiály</v>
      </c>
      <c r="U621">
        <f>IF(ISNUMBER(SEARCH('1Př1'!$A$34,N621)),MAX($M$2:M620)+1,0)</f>
        <v>619</v>
      </c>
      <c r="V621" s="336" t="s">
        <v>2653</v>
      </c>
      <c r="W621" t="str">
        <f>IFERROR(VLOOKUP(ROWS($W$3:W621),$U$3:$V$992,2,0),"")</f>
        <v>Zprostř.velkoobchodu a velkoobchod v zast.se dřevem a staveb.materiály</v>
      </c>
      <c r="X621">
        <f>IF(ISNUMBER(SEARCH('1Př1'!$A$35,N621)),MAX($M$2:M620)+1,0)</f>
        <v>619</v>
      </c>
      <c r="Y621" s="336" t="s">
        <v>2653</v>
      </c>
      <c r="Z621" t="str">
        <f>IFERROR(VLOOKUP(ROWS($Z$3:Z621),$X$3:$Y$992,2,0),"")</f>
        <v>Zprostř.velkoobchodu a velkoobchod v zast.se dřevem a staveb.materiály</v>
      </c>
    </row>
    <row r="622" spans="13:26" ht="12.75">
      <c r="M622" s="335">
        <f>IF(ISNUMBER(SEARCH(ZAKL_DATA!$B$29,N622)),MAX($M$2:M621)+1,0)</f>
        <v>620</v>
      </c>
      <c r="N622" s="336" t="s">
        <v>2655</v>
      </c>
      <c r="O622" s="353" t="s">
        <v>2656</v>
      </c>
      <c r="P622" s="338"/>
      <c r="Q622" s="339" t="str">
        <f>IFERROR(VLOOKUP(ROWS($Q$3:Q622),$M$3:$N$992,2,0),"")</f>
        <v>Zprostř.velkoobchodu a velkoob.v zast.se stroji,prům.zař.,loděmi a letadly</v>
      </c>
      <c r="R622">
        <f>IF(ISNUMBER(SEARCH('1Př1'!$A$33,N622)),MAX($M$2:M621)+1,0)</f>
        <v>620</v>
      </c>
      <c r="S622" s="336" t="s">
        <v>2655</v>
      </c>
      <c r="T622" t="str">
        <f>IFERROR(VLOOKUP(ROWS($T$3:T622),$R$3:$S$992,2,0),"")</f>
        <v>Zprostř.velkoobchodu a velkoob.v zast.se stroji,prům.zař.,loděmi a letadly</v>
      </c>
      <c r="U622">
        <f>IF(ISNUMBER(SEARCH('1Př1'!$A$34,N622)),MAX($M$2:M621)+1,0)</f>
        <v>620</v>
      </c>
      <c r="V622" s="336" t="s">
        <v>2655</v>
      </c>
      <c r="W622" t="str">
        <f>IFERROR(VLOOKUP(ROWS($W$3:W622),$U$3:$V$992,2,0),"")</f>
        <v>Zprostř.velkoobchodu a velkoob.v zast.se stroji,prům.zař.,loděmi a letadly</v>
      </c>
      <c r="X622">
        <f>IF(ISNUMBER(SEARCH('1Př1'!$A$35,N622)),MAX($M$2:M621)+1,0)</f>
        <v>620</v>
      </c>
      <c r="Y622" s="336" t="s">
        <v>2655</v>
      </c>
      <c r="Z622" t="str">
        <f>IFERROR(VLOOKUP(ROWS($Z$3:Z622),$X$3:$Y$992,2,0),"")</f>
        <v>Zprostř.velkoobchodu a velkoob.v zast.se stroji,prům.zař.,loděmi a letadly</v>
      </c>
    </row>
    <row r="623" spans="13:26" ht="12.75">
      <c r="M623" s="335">
        <f>IF(ISNUMBER(SEARCH(ZAKL_DATA!$B$29,N623)),MAX($M$2:M622)+1,0)</f>
        <v>621</v>
      </c>
      <c r="N623" s="336" t="s">
        <v>2657</v>
      </c>
      <c r="O623" s="353" t="s">
        <v>2658</v>
      </c>
      <c r="P623" s="338"/>
      <c r="Q623" s="339" t="str">
        <f>IFERROR(VLOOKUP(ROWS($Q$3:Q623),$M$3:$N$992,2,0),"")</f>
        <v>Zprostř.velkoob.a velkoob.v zast.s náb.,želez.zbožím a potř.převáž.pro dom.</v>
      </c>
      <c r="R623">
        <f>IF(ISNUMBER(SEARCH('1Př1'!$A$33,N623)),MAX($M$2:M622)+1,0)</f>
        <v>621</v>
      </c>
      <c r="S623" s="336" t="s">
        <v>2657</v>
      </c>
      <c r="T623" t="str">
        <f>IFERROR(VLOOKUP(ROWS($T$3:T623),$R$3:$S$992,2,0),"")</f>
        <v>Zprostř.velkoob.a velkoob.v zast.s náb.,želez.zbožím a potř.převáž.pro dom.</v>
      </c>
      <c r="U623">
        <f>IF(ISNUMBER(SEARCH('1Př1'!$A$34,N623)),MAX($M$2:M622)+1,0)</f>
        <v>621</v>
      </c>
      <c r="V623" s="336" t="s">
        <v>2657</v>
      </c>
      <c r="W623" t="str">
        <f>IFERROR(VLOOKUP(ROWS($W$3:W623),$U$3:$V$992,2,0),"")</f>
        <v>Zprostř.velkoob.a velkoob.v zast.s náb.,želez.zbožím a potř.převáž.pro dom.</v>
      </c>
      <c r="X623">
        <f>IF(ISNUMBER(SEARCH('1Př1'!$A$35,N623)),MAX($M$2:M622)+1,0)</f>
        <v>621</v>
      </c>
      <c r="Y623" s="336" t="s">
        <v>2657</v>
      </c>
      <c r="Z623" t="str">
        <f>IFERROR(VLOOKUP(ROWS($Z$3:Z623),$X$3:$Y$992,2,0),"")</f>
        <v>Zprostř.velkoob.a velkoob.v zast.s náb.,želez.zbožím a potř.převáž.pro dom.</v>
      </c>
    </row>
    <row r="624" spans="13:26" ht="12.75">
      <c r="M624" s="335">
        <f>IF(ISNUMBER(SEARCH(ZAKL_DATA!$B$29,N624)),MAX($M$2:M623)+1,0)</f>
        <v>622</v>
      </c>
      <c r="N624" s="336" t="s">
        <v>2659</v>
      </c>
      <c r="O624" s="353" t="s">
        <v>2660</v>
      </c>
      <c r="P624" s="338"/>
      <c r="Q624" s="339" t="str">
        <f>IFERROR(VLOOKUP(ROWS($Q$3:Q624),$M$3:$N$992,2,0),"")</f>
        <v>Zprostř.velkoob.a velkoob.v zast.s text.,oděvy,kožešinami,obuví a kož.výr.</v>
      </c>
      <c r="R624">
        <f>IF(ISNUMBER(SEARCH('1Př1'!$A$33,N624)),MAX($M$2:M623)+1,0)</f>
        <v>622</v>
      </c>
      <c r="S624" s="336" t="s">
        <v>2659</v>
      </c>
      <c r="T624" t="str">
        <f>IFERROR(VLOOKUP(ROWS($T$3:T624),$R$3:$S$992,2,0),"")</f>
        <v>Zprostř.velkoob.a velkoob.v zast.s text.,oděvy,kožešinami,obuví a kož.výr.</v>
      </c>
      <c r="U624">
        <f>IF(ISNUMBER(SEARCH('1Př1'!$A$34,N624)),MAX($M$2:M623)+1,0)</f>
        <v>622</v>
      </c>
      <c r="V624" s="336" t="s">
        <v>2659</v>
      </c>
      <c r="W624" t="str">
        <f>IFERROR(VLOOKUP(ROWS($W$3:W624),$U$3:$V$992,2,0),"")</f>
        <v>Zprostř.velkoob.a velkoob.v zast.s text.,oděvy,kožešinami,obuví a kož.výr.</v>
      </c>
      <c r="X624">
        <f>IF(ISNUMBER(SEARCH('1Př1'!$A$35,N624)),MAX($M$2:M623)+1,0)</f>
        <v>622</v>
      </c>
      <c r="Y624" s="336" t="s">
        <v>2659</v>
      </c>
      <c r="Z624" t="str">
        <f>IFERROR(VLOOKUP(ROWS($Z$3:Z624),$X$3:$Y$992,2,0),"")</f>
        <v>Zprostř.velkoob.a velkoob.v zast.s text.,oděvy,kožešinami,obuví a kož.výr.</v>
      </c>
    </row>
    <row r="625" spans="13:26" ht="12.75">
      <c r="M625" s="335">
        <f>IF(ISNUMBER(SEARCH(ZAKL_DATA!$B$29,N625)),MAX($M$2:M624)+1,0)</f>
        <v>623</v>
      </c>
      <c r="N625" s="336" t="s">
        <v>2661</v>
      </c>
      <c r="O625" s="353" t="s">
        <v>2662</v>
      </c>
      <c r="P625" s="338"/>
      <c r="Q625" s="339" t="str">
        <f>IFERROR(VLOOKUP(ROWS($Q$3:Q625),$M$3:$N$992,2,0),"")</f>
        <v>Zprostř.velkoob.a velkoob.v zast.s potr.,nápoji,tabákem a tabák.výrobky</v>
      </c>
      <c r="R625">
        <f>IF(ISNUMBER(SEARCH('1Př1'!$A$33,N625)),MAX($M$2:M624)+1,0)</f>
        <v>623</v>
      </c>
      <c r="S625" s="336" t="s">
        <v>2661</v>
      </c>
      <c r="T625" t="str">
        <f>IFERROR(VLOOKUP(ROWS($T$3:T625),$R$3:$S$992,2,0),"")</f>
        <v>Zprostř.velkoob.a velkoob.v zast.s potr.,nápoji,tabákem a tabák.výrobky</v>
      </c>
      <c r="U625">
        <f>IF(ISNUMBER(SEARCH('1Př1'!$A$34,N625)),MAX($M$2:M624)+1,0)</f>
        <v>623</v>
      </c>
      <c r="V625" s="336" t="s">
        <v>2661</v>
      </c>
      <c r="W625" t="str">
        <f>IFERROR(VLOOKUP(ROWS($W$3:W625),$U$3:$V$992,2,0),"")</f>
        <v>Zprostř.velkoob.a velkoob.v zast.s potr.,nápoji,tabákem a tabák.výrobky</v>
      </c>
      <c r="X625">
        <f>IF(ISNUMBER(SEARCH('1Př1'!$A$35,N625)),MAX($M$2:M624)+1,0)</f>
        <v>623</v>
      </c>
      <c r="Y625" s="336" t="s">
        <v>2661</v>
      </c>
      <c r="Z625" t="str">
        <f>IFERROR(VLOOKUP(ROWS($Z$3:Z625),$X$3:$Y$992,2,0),"")</f>
        <v>Zprostř.velkoob.a velkoob.v zast.s potr.,nápoji,tabákem a tabák.výrobky</v>
      </c>
    </row>
    <row r="626" spans="13:26" ht="12.75">
      <c r="M626" s="335">
        <f>IF(ISNUMBER(SEARCH(ZAKL_DATA!$B$29,N626)),MAX($M$2:M625)+1,0)</f>
        <v>624</v>
      </c>
      <c r="N626" s="336" t="s">
        <v>2663</v>
      </c>
      <c r="O626" s="353" t="s">
        <v>2664</v>
      </c>
      <c r="P626" s="338"/>
      <c r="Q626" s="339" t="str">
        <f>IFERROR(VLOOKUP(ROWS($Q$3:Q626),$M$3:$N$992,2,0),"")</f>
        <v>Zprostř.specializ.velkoob.a specializ.velkoob.v zast.s ost.výrobky</v>
      </c>
      <c r="R626">
        <f>IF(ISNUMBER(SEARCH('1Př1'!$A$33,N626)),MAX($M$2:M625)+1,0)</f>
        <v>624</v>
      </c>
      <c r="S626" s="336" t="s">
        <v>2663</v>
      </c>
      <c r="T626" t="str">
        <f>IFERROR(VLOOKUP(ROWS($T$3:T626),$R$3:$S$992,2,0),"")</f>
        <v>Zprostř.specializ.velkoob.a specializ.velkoob.v zast.s ost.výrobky</v>
      </c>
      <c r="U626">
        <f>IF(ISNUMBER(SEARCH('1Př1'!$A$34,N626)),MAX($M$2:M625)+1,0)</f>
        <v>624</v>
      </c>
      <c r="V626" s="336" t="s">
        <v>2663</v>
      </c>
      <c r="W626" t="str">
        <f>IFERROR(VLOOKUP(ROWS($W$3:W626),$U$3:$V$992,2,0),"")</f>
        <v>Zprostř.specializ.velkoob.a specializ.velkoob.v zast.s ost.výrobky</v>
      </c>
      <c r="X626">
        <f>IF(ISNUMBER(SEARCH('1Př1'!$A$35,N626)),MAX($M$2:M625)+1,0)</f>
        <v>624</v>
      </c>
      <c r="Y626" s="336" t="s">
        <v>2663</v>
      </c>
      <c r="Z626" t="str">
        <f>IFERROR(VLOOKUP(ROWS($Z$3:Z626),$X$3:$Y$992,2,0),"")</f>
        <v>Zprostř.specializ.velkoob.a specializ.velkoob.v zast.s ost.výrobky</v>
      </c>
    </row>
    <row r="627" spans="13:26" ht="12.75">
      <c r="M627" s="335">
        <f>IF(ISNUMBER(SEARCH(ZAKL_DATA!$B$29,N627)),MAX($M$2:M626)+1,0)</f>
        <v>625</v>
      </c>
      <c r="N627" s="336" t="s">
        <v>2665</v>
      </c>
      <c r="O627" s="353" t="s">
        <v>2666</v>
      </c>
      <c r="P627" s="338"/>
      <c r="Q627" s="339" t="str">
        <f>IFERROR(VLOOKUP(ROWS($Q$3:Q627),$M$3:$N$992,2,0),"")</f>
        <v>Zprostř.nespecializ.velkoobchodu a nespecializ.velkoobchod v zast.</v>
      </c>
      <c r="R627">
        <f>IF(ISNUMBER(SEARCH('1Př1'!$A$33,N627)),MAX($M$2:M626)+1,0)</f>
        <v>625</v>
      </c>
      <c r="S627" s="336" t="s">
        <v>2665</v>
      </c>
      <c r="T627" t="str">
        <f>IFERROR(VLOOKUP(ROWS($T$3:T627),$R$3:$S$992,2,0),"")</f>
        <v>Zprostř.nespecializ.velkoobchodu a nespecializ.velkoobchod v zast.</v>
      </c>
      <c r="U627">
        <f>IF(ISNUMBER(SEARCH('1Př1'!$A$34,N627)),MAX($M$2:M626)+1,0)</f>
        <v>625</v>
      </c>
      <c r="V627" s="336" t="s">
        <v>2665</v>
      </c>
      <c r="W627" t="str">
        <f>IFERROR(VLOOKUP(ROWS($W$3:W627),$U$3:$V$992,2,0),"")</f>
        <v>Zprostř.nespecializ.velkoobchodu a nespecializ.velkoobchod v zast.</v>
      </c>
      <c r="X627">
        <f>IF(ISNUMBER(SEARCH('1Př1'!$A$35,N627)),MAX($M$2:M626)+1,0)</f>
        <v>625</v>
      </c>
      <c r="Y627" s="336" t="s">
        <v>2665</v>
      </c>
      <c r="Z627" t="str">
        <f>IFERROR(VLOOKUP(ROWS($Z$3:Z627),$X$3:$Y$992,2,0),"")</f>
        <v>Zprostř.nespecializ.velkoobchodu a nespecializ.velkoobchod v zast.</v>
      </c>
    </row>
    <row r="628" spans="13:26" ht="12.75">
      <c r="M628" s="335">
        <f>IF(ISNUMBER(SEARCH(ZAKL_DATA!$B$29,N628)),MAX($M$2:M627)+1,0)</f>
        <v>626</v>
      </c>
      <c r="N628" s="336" t="s">
        <v>2667</v>
      </c>
      <c r="O628" s="353" t="s">
        <v>2668</v>
      </c>
      <c r="P628" s="338"/>
      <c r="Q628" s="339" t="str">
        <f>IFERROR(VLOOKUP(ROWS($Q$3:Q628),$M$3:$N$992,2,0),"")</f>
        <v>Velkoobchod s obilím, surovým tabákem, osivy a krmivy</v>
      </c>
      <c r="R628">
        <f>IF(ISNUMBER(SEARCH('1Př1'!$A$33,N628)),MAX($M$2:M627)+1,0)</f>
        <v>626</v>
      </c>
      <c r="S628" s="336" t="s">
        <v>2667</v>
      </c>
      <c r="T628" t="str">
        <f>IFERROR(VLOOKUP(ROWS($T$3:T628),$R$3:$S$992,2,0),"")</f>
        <v>Velkoobchod s obilím, surovým tabákem, osivy a krmivy</v>
      </c>
      <c r="U628">
        <f>IF(ISNUMBER(SEARCH('1Př1'!$A$34,N628)),MAX($M$2:M627)+1,0)</f>
        <v>626</v>
      </c>
      <c r="V628" s="336" t="s">
        <v>2667</v>
      </c>
      <c r="W628" t="str">
        <f>IFERROR(VLOOKUP(ROWS($W$3:W628),$U$3:$V$992,2,0),"")</f>
        <v>Velkoobchod s obilím, surovým tabákem, osivy a krmivy</v>
      </c>
      <c r="X628">
        <f>IF(ISNUMBER(SEARCH('1Př1'!$A$35,N628)),MAX($M$2:M627)+1,0)</f>
        <v>626</v>
      </c>
      <c r="Y628" s="336" t="s">
        <v>2667</v>
      </c>
      <c r="Z628" t="str">
        <f>IFERROR(VLOOKUP(ROWS($Z$3:Z628),$X$3:$Y$992,2,0),"")</f>
        <v>Velkoobchod s obilím, surovým tabákem, osivy a krmivy</v>
      </c>
    </row>
    <row r="629" spans="13:26" ht="12.75">
      <c r="M629" s="335">
        <f>IF(ISNUMBER(SEARCH(ZAKL_DATA!$B$29,N629)),MAX($M$2:M628)+1,0)</f>
        <v>627</v>
      </c>
      <c r="N629" s="336" t="s">
        <v>2669</v>
      </c>
      <c r="O629" s="353" t="s">
        <v>2670</v>
      </c>
      <c r="P629" s="338"/>
      <c r="Q629" s="339" t="str">
        <f>IFERROR(VLOOKUP(ROWS($Q$3:Q629),$M$3:$N$992,2,0),"")</f>
        <v>Velkoobchod s květinami a jinými rostlinami</v>
      </c>
      <c r="R629">
        <f>IF(ISNUMBER(SEARCH('1Př1'!$A$33,N629)),MAX($M$2:M628)+1,0)</f>
        <v>627</v>
      </c>
      <c r="S629" s="336" t="s">
        <v>2669</v>
      </c>
      <c r="T629" t="str">
        <f>IFERROR(VLOOKUP(ROWS($T$3:T629),$R$3:$S$992,2,0),"")</f>
        <v>Velkoobchod s květinami a jinými rostlinami</v>
      </c>
      <c r="U629">
        <f>IF(ISNUMBER(SEARCH('1Př1'!$A$34,N629)),MAX($M$2:M628)+1,0)</f>
        <v>627</v>
      </c>
      <c r="V629" s="336" t="s">
        <v>2669</v>
      </c>
      <c r="W629" t="str">
        <f>IFERROR(VLOOKUP(ROWS($W$3:W629),$U$3:$V$992,2,0),"")</f>
        <v>Velkoobchod s květinami a jinými rostlinami</v>
      </c>
      <c r="X629">
        <f>IF(ISNUMBER(SEARCH('1Př1'!$A$35,N629)),MAX($M$2:M628)+1,0)</f>
        <v>627</v>
      </c>
      <c r="Y629" s="336" t="s">
        <v>2669</v>
      </c>
      <c r="Z629" t="str">
        <f>IFERROR(VLOOKUP(ROWS($Z$3:Z629),$X$3:$Y$992,2,0),"")</f>
        <v>Velkoobchod s květinami a jinými rostlinami</v>
      </c>
    </row>
    <row r="630" spans="13:26" ht="12.75">
      <c r="M630" s="335">
        <f>IF(ISNUMBER(SEARCH(ZAKL_DATA!$B$29,N630)),MAX($M$2:M629)+1,0)</f>
        <v>628</v>
      </c>
      <c r="N630" s="336" t="s">
        <v>2671</v>
      </c>
      <c r="O630" s="353" t="s">
        <v>2672</v>
      </c>
      <c r="P630" s="338"/>
      <c r="Q630" s="339" t="str">
        <f>IFERROR(VLOOKUP(ROWS($Q$3:Q630),$M$3:$N$992,2,0),"")</f>
        <v>Velkoobchod s živými zvířaty</v>
      </c>
      <c r="R630">
        <f>IF(ISNUMBER(SEARCH('1Př1'!$A$33,N630)),MAX($M$2:M629)+1,0)</f>
        <v>628</v>
      </c>
      <c r="S630" s="336" t="s">
        <v>2671</v>
      </c>
      <c r="T630" t="str">
        <f>IFERROR(VLOOKUP(ROWS($T$3:T630),$R$3:$S$992,2,0),"")</f>
        <v>Velkoobchod s živými zvířaty</v>
      </c>
      <c r="U630">
        <f>IF(ISNUMBER(SEARCH('1Př1'!$A$34,N630)),MAX($M$2:M629)+1,0)</f>
        <v>628</v>
      </c>
      <c r="V630" s="336" t="s">
        <v>2671</v>
      </c>
      <c r="W630" t="str">
        <f>IFERROR(VLOOKUP(ROWS($W$3:W630),$U$3:$V$992,2,0),"")</f>
        <v>Velkoobchod s živými zvířaty</v>
      </c>
      <c r="X630">
        <f>IF(ISNUMBER(SEARCH('1Př1'!$A$35,N630)),MAX($M$2:M629)+1,0)</f>
        <v>628</v>
      </c>
      <c r="Y630" s="336" t="s">
        <v>2671</v>
      </c>
      <c r="Z630" t="str">
        <f>IFERROR(VLOOKUP(ROWS($Z$3:Z630),$X$3:$Y$992,2,0),"")</f>
        <v>Velkoobchod s živými zvířaty</v>
      </c>
    </row>
    <row r="631" spans="13:26" ht="12.75">
      <c r="M631" s="335">
        <f>IF(ISNUMBER(SEARCH(ZAKL_DATA!$B$29,N631)),MAX($M$2:M630)+1,0)</f>
        <v>629</v>
      </c>
      <c r="N631" s="336" t="s">
        <v>2673</v>
      </c>
      <c r="O631" s="353" t="s">
        <v>2674</v>
      </c>
      <c r="P631" s="338"/>
      <c r="Q631" s="339" t="str">
        <f>IFERROR(VLOOKUP(ROWS($Q$3:Q631),$M$3:$N$992,2,0),"")</f>
        <v>Velkoobchod se surovými kůžemi, kožešinami a usněmi</v>
      </c>
      <c r="R631">
        <f>IF(ISNUMBER(SEARCH('1Př1'!$A$33,N631)),MAX($M$2:M630)+1,0)</f>
        <v>629</v>
      </c>
      <c r="S631" s="336" t="s">
        <v>2673</v>
      </c>
      <c r="T631" t="str">
        <f>IFERROR(VLOOKUP(ROWS($T$3:T631),$R$3:$S$992,2,0),"")</f>
        <v>Velkoobchod se surovými kůžemi, kožešinami a usněmi</v>
      </c>
      <c r="U631">
        <f>IF(ISNUMBER(SEARCH('1Př1'!$A$34,N631)),MAX($M$2:M630)+1,0)</f>
        <v>629</v>
      </c>
      <c r="V631" s="336" t="s">
        <v>2673</v>
      </c>
      <c r="W631" t="str">
        <f>IFERROR(VLOOKUP(ROWS($W$3:W631),$U$3:$V$992,2,0),"")</f>
        <v>Velkoobchod se surovými kůžemi, kožešinami a usněmi</v>
      </c>
      <c r="X631">
        <f>IF(ISNUMBER(SEARCH('1Př1'!$A$35,N631)),MAX($M$2:M630)+1,0)</f>
        <v>629</v>
      </c>
      <c r="Y631" s="336" t="s">
        <v>2673</v>
      </c>
      <c r="Z631" t="str">
        <f>IFERROR(VLOOKUP(ROWS($Z$3:Z631),$X$3:$Y$992,2,0),"")</f>
        <v>Velkoobchod se surovými kůžemi, kožešinami a usněmi</v>
      </c>
    </row>
    <row r="632" spans="13:26" ht="12.75">
      <c r="M632" s="335">
        <f>IF(ISNUMBER(SEARCH(ZAKL_DATA!$B$29,N632)),MAX($M$2:M631)+1,0)</f>
        <v>630</v>
      </c>
      <c r="N632" s="336" t="s">
        <v>2675</v>
      </c>
      <c r="O632" s="353" t="s">
        <v>2676</v>
      </c>
      <c r="P632" s="338"/>
      <c r="Q632" s="339" t="str">
        <f>IFERROR(VLOOKUP(ROWS($Q$3:Q632),$M$3:$N$992,2,0),"")</f>
        <v>Velkoobchod s ovocem a zeleninou</v>
      </c>
      <c r="R632">
        <f>IF(ISNUMBER(SEARCH('1Př1'!$A$33,N632)),MAX($M$2:M631)+1,0)</f>
        <v>630</v>
      </c>
      <c r="S632" s="336" t="s">
        <v>2675</v>
      </c>
      <c r="T632" t="str">
        <f>IFERROR(VLOOKUP(ROWS($T$3:T632),$R$3:$S$992,2,0),"")</f>
        <v>Velkoobchod s ovocem a zeleninou</v>
      </c>
      <c r="U632">
        <f>IF(ISNUMBER(SEARCH('1Př1'!$A$34,N632)),MAX($M$2:M631)+1,0)</f>
        <v>630</v>
      </c>
      <c r="V632" s="336" t="s">
        <v>2675</v>
      </c>
      <c r="W632" t="str">
        <f>IFERROR(VLOOKUP(ROWS($W$3:W632),$U$3:$V$992,2,0),"")</f>
        <v>Velkoobchod s ovocem a zeleninou</v>
      </c>
      <c r="X632">
        <f>IF(ISNUMBER(SEARCH('1Př1'!$A$35,N632)),MAX($M$2:M631)+1,0)</f>
        <v>630</v>
      </c>
      <c r="Y632" s="336" t="s">
        <v>2675</v>
      </c>
      <c r="Z632" t="str">
        <f>IFERROR(VLOOKUP(ROWS($Z$3:Z632),$X$3:$Y$992,2,0),"")</f>
        <v>Velkoobchod s ovocem a zeleninou</v>
      </c>
    </row>
    <row r="633" spans="13:26" ht="12.75">
      <c r="M633" s="335">
        <f>IF(ISNUMBER(SEARCH(ZAKL_DATA!$B$29,N633)),MAX($M$2:M632)+1,0)</f>
        <v>631</v>
      </c>
      <c r="N633" s="336" t="s">
        <v>2677</v>
      </c>
      <c r="O633" s="353" t="s">
        <v>2678</v>
      </c>
      <c r="P633" s="338"/>
      <c r="Q633" s="339" t="str">
        <f>IFERROR(VLOOKUP(ROWS($Q$3:Q633),$M$3:$N$992,2,0),"")</f>
        <v>Velkoobchod s masem a masnými výrobky</v>
      </c>
      <c r="R633">
        <f>IF(ISNUMBER(SEARCH('1Př1'!$A$33,N633)),MAX($M$2:M632)+1,0)</f>
        <v>631</v>
      </c>
      <c r="S633" s="336" t="s">
        <v>2677</v>
      </c>
      <c r="T633" t="str">
        <f>IFERROR(VLOOKUP(ROWS($T$3:T633),$R$3:$S$992,2,0),"")</f>
        <v>Velkoobchod s masem a masnými výrobky</v>
      </c>
      <c r="U633">
        <f>IF(ISNUMBER(SEARCH('1Př1'!$A$34,N633)),MAX($M$2:M632)+1,0)</f>
        <v>631</v>
      </c>
      <c r="V633" s="336" t="s">
        <v>2677</v>
      </c>
      <c r="W633" t="str">
        <f>IFERROR(VLOOKUP(ROWS($W$3:W633),$U$3:$V$992,2,0),"")</f>
        <v>Velkoobchod s masem a masnými výrobky</v>
      </c>
      <c r="X633">
        <f>IF(ISNUMBER(SEARCH('1Př1'!$A$35,N633)),MAX($M$2:M632)+1,0)</f>
        <v>631</v>
      </c>
      <c r="Y633" s="336" t="s">
        <v>2677</v>
      </c>
      <c r="Z633" t="str">
        <f>IFERROR(VLOOKUP(ROWS($Z$3:Z633),$X$3:$Y$992,2,0),"")</f>
        <v>Velkoobchod s masem a masnými výrobky</v>
      </c>
    </row>
    <row r="634" spans="13:26" ht="12.75">
      <c r="M634" s="335">
        <f>IF(ISNUMBER(SEARCH(ZAKL_DATA!$B$29,N634)),MAX($M$2:M633)+1,0)</f>
        <v>632</v>
      </c>
      <c r="N634" s="336" t="s">
        <v>2679</v>
      </c>
      <c r="O634" s="353" t="s">
        <v>2680</v>
      </c>
      <c r="P634" s="338"/>
      <c r="Q634" s="339" t="str">
        <f>IFERROR(VLOOKUP(ROWS($Q$3:Q634),$M$3:$N$992,2,0),"")</f>
        <v>Velkoobchod s mléčnými výrobky, vejci, jedlými oleji a tuky</v>
      </c>
      <c r="R634">
        <f>IF(ISNUMBER(SEARCH('1Př1'!$A$33,N634)),MAX($M$2:M633)+1,0)</f>
        <v>632</v>
      </c>
      <c r="S634" s="336" t="s">
        <v>2679</v>
      </c>
      <c r="T634" t="str">
        <f>IFERROR(VLOOKUP(ROWS($T$3:T634),$R$3:$S$992,2,0),"")</f>
        <v>Velkoobchod s mléčnými výrobky, vejci, jedlými oleji a tuky</v>
      </c>
      <c r="U634">
        <f>IF(ISNUMBER(SEARCH('1Př1'!$A$34,N634)),MAX($M$2:M633)+1,0)</f>
        <v>632</v>
      </c>
      <c r="V634" s="336" t="s">
        <v>2679</v>
      </c>
      <c r="W634" t="str">
        <f>IFERROR(VLOOKUP(ROWS($W$3:W634),$U$3:$V$992,2,0),"")</f>
        <v>Velkoobchod s mléčnými výrobky, vejci, jedlými oleji a tuky</v>
      </c>
      <c r="X634">
        <f>IF(ISNUMBER(SEARCH('1Př1'!$A$35,N634)),MAX($M$2:M633)+1,0)</f>
        <v>632</v>
      </c>
      <c r="Y634" s="336" t="s">
        <v>2679</v>
      </c>
      <c r="Z634" t="str">
        <f>IFERROR(VLOOKUP(ROWS($Z$3:Z634),$X$3:$Y$992,2,0),"")</f>
        <v>Velkoobchod s mléčnými výrobky, vejci, jedlými oleji a tuky</v>
      </c>
    </row>
    <row r="635" spans="13:26" ht="12.75">
      <c r="M635" s="335">
        <f>IF(ISNUMBER(SEARCH(ZAKL_DATA!$B$29,N635)),MAX($M$2:M634)+1,0)</f>
        <v>633</v>
      </c>
      <c r="N635" s="336" t="s">
        <v>2681</v>
      </c>
      <c r="O635" s="353" t="s">
        <v>2682</v>
      </c>
      <c r="P635" s="338"/>
      <c r="Q635" s="339" t="str">
        <f>IFERROR(VLOOKUP(ROWS($Q$3:Q635),$M$3:$N$992,2,0),"")</f>
        <v>Velkoobchod s nápoji</v>
      </c>
      <c r="R635">
        <f>IF(ISNUMBER(SEARCH('1Př1'!$A$33,N635)),MAX($M$2:M634)+1,0)</f>
        <v>633</v>
      </c>
      <c r="S635" s="336" t="s">
        <v>2681</v>
      </c>
      <c r="T635" t="str">
        <f>IFERROR(VLOOKUP(ROWS($T$3:T635),$R$3:$S$992,2,0),"")</f>
        <v>Velkoobchod s nápoji</v>
      </c>
      <c r="U635">
        <f>IF(ISNUMBER(SEARCH('1Př1'!$A$34,N635)),MAX($M$2:M634)+1,0)</f>
        <v>633</v>
      </c>
      <c r="V635" s="336" t="s">
        <v>2681</v>
      </c>
      <c r="W635" t="str">
        <f>IFERROR(VLOOKUP(ROWS($W$3:W635),$U$3:$V$992,2,0),"")</f>
        <v>Velkoobchod s nápoji</v>
      </c>
      <c r="X635">
        <f>IF(ISNUMBER(SEARCH('1Př1'!$A$35,N635)),MAX($M$2:M634)+1,0)</f>
        <v>633</v>
      </c>
      <c r="Y635" s="336" t="s">
        <v>2681</v>
      </c>
      <c r="Z635" t="str">
        <f>IFERROR(VLOOKUP(ROWS($Z$3:Z635),$X$3:$Y$992,2,0),"")</f>
        <v>Velkoobchod s nápoji</v>
      </c>
    </row>
    <row r="636" spans="13:26" ht="12.75">
      <c r="M636" s="335">
        <f>IF(ISNUMBER(SEARCH(ZAKL_DATA!$B$29,N636)),MAX($M$2:M635)+1,0)</f>
        <v>634</v>
      </c>
      <c r="N636" s="336" t="s">
        <v>2683</v>
      </c>
      <c r="O636" s="353" t="s">
        <v>2684</v>
      </c>
      <c r="P636" s="338"/>
      <c r="Q636" s="339" t="str">
        <f>IFERROR(VLOOKUP(ROWS($Q$3:Q636),$M$3:$N$992,2,0),"")</f>
        <v>Velkoobchod s tabákovými výrobky</v>
      </c>
      <c r="R636">
        <f>IF(ISNUMBER(SEARCH('1Př1'!$A$33,N636)),MAX($M$2:M635)+1,0)</f>
        <v>634</v>
      </c>
      <c r="S636" s="336" t="s">
        <v>2683</v>
      </c>
      <c r="T636" t="str">
        <f>IFERROR(VLOOKUP(ROWS($T$3:T636),$R$3:$S$992,2,0),"")</f>
        <v>Velkoobchod s tabákovými výrobky</v>
      </c>
      <c r="U636">
        <f>IF(ISNUMBER(SEARCH('1Př1'!$A$34,N636)),MAX($M$2:M635)+1,0)</f>
        <v>634</v>
      </c>
      <c r="V636" s="336" t="s">
        <v>2683</v>
      </c>
      <c r="W636" t="str">
        <f>IFERROR(VLOOKUP(ROWS($W$3:W636),$U$3:$V$992,2,0),"")</f>
        <v>Velkoobchod s tabákovými výrobky</v>
      </c>
      <c r="X636">
        <f>IF(ISNUMBER(SEARCH('1Př1'!$A$35,N636)),MAX($M$2:M635)+1,0)</f>
        <v>634</v>
      </c>
      <c r="Y636" s="336" t="s">
        <v>2683</v>
      </c>
      <c r="Z636" t="str">
        <f>IFERROR(VLOOKUP(ROWS($Z$3:Z636),$X$3:$Y$992,2,0),"")</f>
        <v>Velkoobchod s tabákovými výrobky</v>
      </c>
    </row>
    <row r="637" spans="13:26" ht="12.75">
      <c r="M637" s="335">
        <f>IF(ISNUMBER(SEARCH(ZAKL_DATA!$B$29,N637)),MAX($M$2:M636)+1,0)</f>
        <v>635</v>
      </c>
      <c r="N637" s="336" t="s">
        <v>2685</v>
      </c>
      <c r="O637" s="353" t="s">
        <v>2686</v>
      </c>
      <c r="P637" s="338"/>
      <c r="Q637" s="339" t="str">
        <f>IFERROR(VLOOKUP(ROWS($Q$3:Q637),$M$3:$N$992,2,0),"")</f>
        <v>Velkoobchod s cukrem, čokoládou a cukrovinkami</v>
      </c>
      <c r="R637">
        <f>IF(ISNUMBER(SEARCH('1Př1'!$A$33,N637)),MAX($M$2:M636)+1,0)</f>
        <v>635</v>
      </c>
      <c r="S637" s="336" t="s">
        <v>2685</v>
      </c>
      <c r="T637" t="str">
        <f>IFERROR(VLOOKUP(ROWS($T$3:T637),$R$3:$S$992,2,0),"")</f>
        <v>Velkoobchod s cukrem, čokoládou a cukrovinkami</v>
      </c>
      <c r="U637">
        <f>IF(ISNUMBER(SEARCH('1Př1'!$A$34,N637)),MAX($M$2:M636)+1,0)</f>
        <v>635</v>
      </c>
      <c r="V637" s="336" t="s">
        <v>2685</v>
      </c>
      <c r="W637" t="str">
        <f>IFERROR(VLOOKUP(ROWS($W$3:W637),$U$3:$V$992,2,0),"")</f>
        <v>Velkoobchod s cukrem, čokoládou a cukrovinkami</v>
      </c>
      <c r="X637">
        <f>IF(ISNUMBER(SEARCH('1Př1'!$A$35,N637)),MAX($M$2:M636)+1,0)</f>
        <v>635</v>
      </c>
      <c r="Y637" s="336" t="s">
        <v>2685</v>
      </c>
      <c r="Z637" t="str">
        <f>IFERROR(VLOOKUP(ROWS($Z$3:Z637),$X$3:$Y$992,2,0),"")</f>
        <v>Velkoobchod s cukrem, čokoládou a cukrovinkami</v>
      </c>
    </row>
    <row r="638" spans="13:26" ht="12.75">
      <c r="M638" s="335">
        <f>IF(ISNUMBER(SEARCH(ZAKL_DATA!$B$29,N638)),MAX($M$2:M637)+1,0)</f>
        <v>636</v>
      </c>
      <c r="N638" s="336" t="s">
        <v>2687</v>
      </c>
      <c r="O638" s="353" t="s">
        <v>2688</v>
      </c>
      <c r="P638" s="338"/>
      <c r="Q638" s="339" t="str">
        <f>IFERROR(VLOOKUP(ROWS($Q$3:Q638),$M$3:$N$992,2,0),"")</f>
        <v>Velkoobchod s kávou, čajem, kakaem a kořením</v>
      </c>
      <c r="R638">
        <f>IF(ISNUMBER(SEARCH('1Př1'!$A$33,N638)),MAX($M$2:M637)+1,0)</f>
        <v>636</v>
      </c>
      <c r="S638" s="336" t="s">
        <v>2687</v>
      </c>
      <c r="T638" t="str">
        <f>IFERROR(VLOOKUP(ROWS($T$3:T638),$R$3:$S$992,2,0),"")</f>
        <v>Velkoobchod s kávou, čajem, kakaem a kořením</v>
      </c>
      <c r="U638">
        <f>IF(ISNUMBER(SEARCH('1Př1'!$A$34,N638)),MAX($M$2:M637)+1,0)</f>
        <v>636</v>
      </c>
      <c r="V638" s="336" t="s">
        <v>2687</v>
      </c>
      <c r="W638" t="str">
        <f>IFERROR(VLOOKUP(ROWS($W$3:W638),$U$3:$V$992,2,0),"")</f>
        <v>Velkoobchod s kávou, čajem, kakaem a kořením</v>
      </c>
      <c r="X638">
        <f>IF(ISNUMBER(SEARCH('1Př1'!$A$35,N638)),MAX($M$2:M637)+1,0)</f>
        <v>636</v>
      </c>
      <c r="Y638" s="336" t="s">
        <v>2687</v>
      </c>
      <c r="Z638" t="str">
        <f>IFERROR(VLOOKUP(ROWS($Z$3:Z638),$X$3:$Y$992,2,0),"")</f>
        <v>Velkoobchod s kávou, čajem, kakaem a kořením</v>
      </c>
    </row>
    <row r="639" spans="13:26" ht="12.75">
      <c r="M639" s="335">
        <f>IF(ISNUMBER(SEARCH(ZAKL_DATA!$B$29,N639)),MAX($M$2:M638)+1,0)</f>
        <v>637</v>
      </c>
      <c r="N639" s="336" t="s">
        <v>2689</v>
      </c>
      <c r="O639" s="353" t="s">
        <v>2690</v>
      </c>
      <c r="P639" s="338"/>
      <c r="Q639" s="339" t="str">
        <f>IFERROR(VLOOKUP(ROWS($Q$3:Q639),$M$3:$N$992,2,0),"")</f>
        <v>Specializ.velkoobchod s jinými potravinami,včetně ryb,korýšů a měkkýšů</v>
      </c>
      <c r="R639">
        <f>IF(ISNUMBER(SEARCH('1Př1'!$A$33,N639)),MAX($M$2:M638)+1,0)</f>
        <v>637</v>
      </c>
      <c r="S639" s="336" t="s">
        <v>2689</v>
      </c>
      <c r="T639" t="str">
        <f>IFERROR(VLOOKUP(ROWS($T$3:T639),$R$3:$S$992,2,0),"")</f>
        <v>Specializ.velkoobchod s jinými potravinami,včetně ryb,korýšů a měkkýšů</v>
      </c>
      <c r="U639">
        <f>IF(ISNUMBER(SEARCH('1Př1'!$A$34,N639)),MAX($M$2:M638)+1,0)</f>
        <v>637</v>
      </c>
      <c r="V639" s="336" t="s">
        <v>2689</v>
      </c>
      <c r="W639" t="str">
        <f>IFERROR(VLOOKUP(ROWS($W$3:W639),$U$3:$V$992,2,0),"")</f>
        <v>Specializ.velkoobchod s jinými potravinami,včetně ryb,korýšů a měkkýšů</v>
      </c>
      <c r="X639">
        <f>IF(ISNUMBER(SEARCH('1Př1'!$A$35,N639)),MAX($M$2:M638)+1,0)</f>
        <v>637</v>
      </c>
      <c r="Y639" s="336" t="s">
        <v>2689</v>
      </c>
      <c r="Z639" t="str">
        <f>IFERROR(VLOOKUP(ROWS($Z$3:Z639),$X$3:$Y$992,2,0),"")</f>
        <v>Specializ.velkoobchod s jinými potravinami,včetně ryb,korýšů a měkkýšů</v>
      </c>
    </row>
    <row r="640" spans="13:26" ht="12.75">
      <c r="M640" s="335">
        <f>IF(ISNUMBER(SEARCH(ZAKL_DATA!$B$29,N640)),MAX($M$2:M639)+1,0)</f>
        <v>638</v>
      </c>
      <c r="N640" s="336" t="s">
        <v>2691</v>
      </c>
      <c r="O640" s="353" t="s">
        <v>2692</v>
      </c>
      <c r="P640" s="338"/>
      <c r="Q640" s="339" t="str">
        <f>IFERROR(VLOOKUP(ROWS($Q$3:Q640),$M$3:$N$992,2,0),"")</f>
        <v>Nespecializovaný velkoobchod s potravinami,nápoji a tabákovými výroby</v>
      </c>
      <c r="R640">
        <f>IF(ISNUMBER(SEARCH('1Př1'!$A$33,N640)),MAX($M$2:M639)+1,0)</f>
        <v>638</v>
      </c>
      <c r="S640" s="336" t="s">
        <v>2691</v>
      </c>
      <c r="T640" t="str">
        <f>IFERROR(VLOOKUP(ROWS($T$3:T640),$R$3:$S$992,2,0),"")</f>
        <v>Nespecializovaný velkoobchod s potravinami,nápoji a tabákovými výroby</v>
      </c>
      <c r="U640">
        <f>IF(ISNUMBER(SEARCH('1Př1'!$A$34,N640)),MAX($M$2:M639)+1,0)</f>
        <v>638</v>
      </c>
      <c r="V640" s="336" t="s">
        <v>2691</v>
      </c>
      <c r="W640" t="str">
        <f>IFERROR(VLOOKUP(ROWS($W$3:W640),$U$3:$V$992,2,0),"")</f>
        <v>Nespecializovaný velkoobchod s potravinami,nápoji a tabákovými výroby</v>
      </c>
      <c r="X640">
        <f>IF(ISNUMBER(SEARCH('1Př1'!$A$35,N640)),MAX($M$2:M639)+1,0)</f>
        <v>638</v>
      </c>
      <c r="Y640" s="336" t="s">
        <v>2691</v>
      </c>
      <c r="Z640" t="str">
        <f>IFERROR(VLOOKUP(ROWS($Z$3:Z640),$X$3:$Y$992,2,0),"")</f>
        <v>Nespecializovaný velkoobchod s potravinami,nápoji a tabákovými výroby</v>
      </c>
    </row>
    <row r="641" spans="13:26" ht="12.75">
      <c r="M641" s="335">
        <f>IF(ISNUMBER(SEARCH(ZAKL_DATA!$B$29,N641)),MAX($M$2:M640)+1,0)</f>
        <v>639</v>
      </c>
      <c r="N641" s="336" t="s">
        <v>2693</v>
      </c>
      <c r="O641" s="353" t="s">
        <v>2694</v>
      </c>
      <c r="P641" s="338"/>
      <c r="Q641" s="339" t="str">
        <f>IFERROR(VLOOKUP(ROWS($Q$3:Q641),$M$3:$N$992,2,0),"")</f>
        <v>Velkoobchod s textilem</v>
      </c>
      <c r="R641">
        <f>IF(ISNUMBER(SEARCH('1Př1'!$A$33,N641)),MAX($M$2:M640)+1,0)</f>
        <v>639</v>
      </c>
      <c r="S641" s="336" t="s">
        <v>2693</v>
      </c>
      <c r="T641" t="str">
        <f>IFERROR(VLOOKUP(ROWS($T$3:T641),$R$3:$S$992,2,0),"")</f>
        <v>Velkoobchod s textilem</v>
      </c>
      <c r="U641">
        <f>IF(ISNUMBER(SEARCH('1Př1'!$A$34,N641)),MAX($M$2:M640)+1,0)</f>
        <v>639</v>
      </c>
      <c r="V641" s="336" t="s">
        <v>2693</v>
      </c>
      <c r="W641" t="str">
        <f>IFERROR(VLOOKUP(ROWS($W$3:W641),$U$3:$V$992,2,0),"")</f>
        <v>Velkoobchod s textilem</v>
      </c>
      <c r="X641">
        <f>IF(ISNUMBER(SEARCH('1Př1'!$A$35,N641)),MAX($M$2:M640)+1,0)</f>
        <v>639</v>
      </c>
      <c r="Y641" s="336" t="s">
        <v>2693</v>
      </c>
      <c r="Z641" t="str">
        <f>IFERROR(VLOOKUP(ROWS($Z$3:Z641),$X$3:$Y$992,2,0),"")</f>
        <v>Velkoobchod s textilem</v>
      </c>
    </row>
    <row r="642" spans="13:26" ht="12.75">
      <c r="M642" s="335">
        <f>IF(ISNUMBER(SEARCH(ZAKL_DATA!$B$29,N642)),MAX($M$2:M641)+1,0)</f>
        <v>640</v>
      </c>
      <c r="N642" s="336" t="s">
        <v>2695</v>
      </c>
      <c r="O642" s="353" t="s">
        <v>2696</v>
      </c>
      <c r="P642" s="338"/>
      <c r="Q642" s="339" t="str">
        <f>IFERROR(VLOOKUP(ROWS($Q$3:Q642),$M$3:$N$992,2,0),"")</f>
        <v>Velkoobchod s oděvy a obuví</v>
      </c>
      <c r="R642">
        <f>IF(ISNUMBER(SEARCH('1Př1'!$A$33,N642)),MAX($M$2:M641)+1,0)</f>
        <v>640</v>
      </c>
      <c r="S642" s="336" t="s">
        <v>2695</v>
      </c>
      <c r="T642" t="str">
        <f>IFERROR(VLOOKUP(ROWS($T$3:T642),$R$3:$S$992,2,0),"")</f>
        <v>Velkoobchod s oděvy a obuví</v>
      </c>
      <c r="U642">
        <f>IF(ISNUMBER(SEARCH('1Př1'!$A$34,N642)),MAX($M$2:M641)+1,0)</f>
        <v>640</v>
      </c>
      <c r="V642" s="336" t="s">
        <v>2695</v>
      </c>
      <c r="W642" t="str">
        <f>IFERROR(VLOOKUP(ROWS($W$3:W642),$U$3:$V$992,2,0),"")</f>
        <v>Velkoobchod s oděvy a obuví</v>
      </c>
      <c r="X642">
        <f>IF(ISNUMBER(SEARCH('1Př1'!$A$35,N642)),MAX($M$2:M641)+1,0)</f>
        <v>640</v>
      </c>
      <c r="Y642" s="336" t="s">
        <v>2695</v>
      </c>
      <c r="Z642" t="str">
        <f>IFERROR(VLOOKUP(ROWS($Z$3:Z642),$X$3:$Y$992,2,0),"")</f>
        <v>Velkoobchod s oděvy a obuví</v>
      </c>
    </row>
    <row r="643" spans="13:26" ht="12.75">
      <c r="M643" s="335">
        <f>IF(ISNUMBER(SEARCH(ZAKL_DATA!$B$29,N643)),MAX($M$2:M642)+1,0)</f>
        <v>641</v>
      </c>
      <c r="N643" s="336" t="s">
        <v>2697</v>
      </c>
      <c r="O643" s="353" t="s">
        <v>2698</v>
      </c>
      <c r="P643" s="338"/>
      <c r="Q643" s="339" t="str">
        <f>IFERROR(VLOOKUP(ROWS($Q$3:Q643),$M$3:$N$992,2,0),"")</f>
        <v>Velkoobchod s elektrospotřebiči a elektronikou</v>
      </c>
      <c r="R643">
        <f>IF(ISNUMBER(SEARCH('1Př1'!$A$33,N643)),MAX($M$2:M642)+1,0)</f>
        <v>641</v>
      </c>
      <c r="S643" s="336" t="s">
        <v>2697</v>
      </c>
      <c r="T643" t="str">
        <f>IFERROR(VLOOKUP(ROWS($T$3:T643),$R$3:$S$992,2,0),"")</f>
        <v>Velkoobchod s elektrospotřebiči a elektronikou</v>
      </c>
      <c r="U643">
        <f>IF(ISNUMBER(SEARCH('1Př1'!$A$34,N643)),MAX($M$2:M642)+1,0)</f>
        <v>641</v>
      </c>
      <c r="V643" s="336" t="s">
        <v>2697</v>
      </c>
      <c r="W643" t="str">
        <f>IFERROR(VLOOKUP(ROWS($W$3:W643),$U$3:$V$992,2,0),"")</f>
        <v>Velkoobchod s elektrospotřebiči a elektronikou</v>
      </c>
      <c r="X643">
        <f>IF(ISNUMBER(SEARCH('1Př1'!$A$35,N643)),MAX($M$2:M642)+1,0)</f>
        <v>641</v>
      </c>
      <c r="Y643" s="336" t="s">
        <v>2697</v>
      </c>
      <c r="Z643" t="str">
        <f>IFERROR(VLOOKUP(ROWS($Z$3:Z643),$X$3:$Y$992,2,0),"")</f>
        <v>Velkoobchod s elektrospotřebiči a elektronikou</v>
      </c>
    </row>
    <row r="644" spans="13:26" ht="12.75">
      <c r="M644" s="335">
        <f>IF(ISNUMBER(SEARCH(ZAKL_DATA!$B$29,N644)),MAX($M$2:M643)+1,0)</f>
        <v>642</v>
      </c>
      <c r="N644" s="336" t="s">
        <v>2699</v>
      </c>
      <c r="O644" s="353" t="s">
        <v>2700</v>
      </c>
      <c r="P644" s="338"/>
      <c r="Q644" s="339" t="str">
        <f>IFERROR(VLOOKUP(ROWS($Q$3:Q644),$M$3:$N$992,2,0),"")</f>
        <v>Velkoobchod s porcelán.,keram.a skleněnými výrobky a čisticími prostř.</v>
      </c>
      <c r="R644">
        <f>IF(ISNUMBER(SEARCH('1Př1'!$A$33,N644)),MAX($M$2:M643)+1,0)</f>
        <v>642</v>
      </c>
      <c r="S644" s="336" t="s">
        <v>2699</v>
      </c>
      <c r="T644" t="str">
        <f>IFERROR(VLOOKUP(ROWS($T$3:T644),$R$3:$S$992,2,0),"")</f>
        <v>Velkoobchod s porcelán.,keram.a skleněnými výrobky a čisticími prostř.</v>
      </c>
      <c r="U644">
        <f>IF(ISNUMBER(SEARCH('1Př1'!$A$34,N644)),MAX($M$2:M643)+1,0)</f>
        <v>642</v>
      </c>
      <c r="V644" s="336" t="s">
        <v>2699</v>
      </c>
      <c r="W644" t="str">
        <f>IFERROR(VLOOKUP(ROWS($W$3:W644),$U$3:$V$992,2,0),"")</f>
        <v>Velkoobchod s porcelán.,keram.a skleněnými výrobky a čisticími prostř.</v>
      </c>
      <c r="X644">
        <f>IF(ISNUMBER(SEARCH('1Př1'!$A$35,N644)),MAX($M$2:M643)+1,0)</f>
        <v>642</v>
      </c>
      <c r="Y644" s="336" t="s">
        <v>2699</v>
      </c>
      <c r="Z644" t="str">
        <f>IFERROR(VLOOKUP(ROWS($Z$3:Z644),$X$3:$Y$992,2,0),"")</f>
        <v>Velkoobchod s porcelán.,keram.a skleněnými výrobky a čisticími prostř.</v>
      </c>
    </row>
    <row r="645" spans="13:26" ht="12.75">
      <c r="M645" s="335">
        <f>IF(ISNUMBER(SEARCH(ZAKL_DATA!$B$29,N645)),MAX($M$2:M644)+1,0)</f>
        <v>643</v>
      </c>
      <c r="N645" s="336" t="s">
        <v>2701</v>
      </c>
      <c r="O645" s="353" t="s">
        <v>2702</v>
      </c>
      <c r="P645" s="338"/>
      <c r="Q645" s="339" t="str">
        <f>IFERROR(VLOOKUP(ROWS($Q$3:Q645),$M$3:$N$992,2,0),"")</f>
        <v>Velkoobchod s kosmetickými výrobky</v>
      </c>
      <c r="R645">
        <f>IF(ISNUMBER(SEARCH('1Př1'!$A$33,N645)),MAX($M$2:M644)+1,0)</f>
        <v>643</v>
      </c>
      <c r="S645" s="336" t="s">
        <v>2701</v>
      </c>
      <c r="T645" t="str">
        <f>IFERROR(VLOOKUP(ROWS($T$3:T645),$R$3:$S$992,2,0),"")</f>
        <v>Velkoobchod s kosmetickými výrobky</v>
      </c>
      <c r="U645">
        <f>IF(ISNUMBER(SEARCH('1Př1'!$A$34,N645)),MAX($M$2:M644)+1,0)</f>
        <v>643</v>
      </c>
      <c r="V645" s="336" t="s">
        <v>2701</v>
      </c>
      <c r="W645" t="str">
        <f>IFERROR(VLOOKUP(ROWS($W$3:W645),$U$3:$V$992,2,0),"")</f>
        <v>Velkoobchod s kosmetickými výrobky</v>
      </c>
      <c r="X645">
        <f>IF(ISNUMBER(SEARCH('1Př1'!$A$35,N645)),MAX($M$2:M644)+1,0)</f>
        <v>643</v>
      </c>
      <c r="Y645" s="336" t="s">
        <v>2701</v>
      </c>
      <c r="Z645" t="str">
        <f>IFERROR(VLOOKUP(ROWS($Z$3:Z645),$X$3:$Y$992,2,0),"")</f>
        <v>Velkoobchod s kosmetickými výrobky</v>
      </c>
    </row>
    <row r="646" spans="13:26" ht="12.75">
      <c r="M646" s="335">
        <f>IF(ISNUMBER(SEARCH(ZAKL_DATA!$B$29,N646)),MAX($M$2:M645)+1,0)</f>
        <v>644</v>
      </c>
      <c r="N646" s="336" t="s">
        <v>2703</v>
      </c>
      <c r="O646" s="353" t="s">
        <v>2704</v>
      </c>
      <c r="P646" s="338"/>
      <c r="Q646" s="339" t="str">
        <f>IFERROR(VLOOKUP(ROWS($Q$3:Q646),$M$3:$N$992,2,0),"")</f>
        <v>Velkoobchod s farmaceutickými výrobky</v>
      </c>
      <c r="R646">
        <f>IF(ISNUMBER(SEARCH('1Př1'!$A$33,N646)),MAX($M$2:M645)+1,0)</f>
        <v>644</v>
      </c>
      <c r="S646" s="336" t="s">
        <v>2703</v>
      </c>
      <c r="T646" t="str">
        <f>IFERROR(VLOOKUP(ROWS($T$3:T646),$R$3:$S$992,2,0),"")</f>
        <v>Velkoobchod s farmaceutickými výrobky</v>
      </c>
      <c r="U646">
        <f>IF(ISNUMBER(SEARCH('1Př1'!$A$34,N646)),MAX($M$2:M645)+1,0)</f>
        <v>644</v>
      </c>
      <c r="V646" s="336" t="s">
        <v>2703</v>
      </c>
      <c r="W646" t="str">
        <f>IFERROR(VLOOKUP(ROWS($W$3:W646),$U$3:$V$992,2,0),"")</f>
        <v>Velkoobchod s farmaceutickými výrobky</v>
      </c>
      <c r="X646">
        <f>IF(ISNUMBER(SEARCH('1Př1'!$A$35,N646)),MAX($M$2:M645)+1,0)</f>
        <v>644</v>
      </c>
      <c r="Y646" s="336" t="s">
        <v>2703</v>
      </c>
      <c r="Z646" t="str">
        <f>IFERROR(VLOOKUP(ROWS($Z$3:Z646),$X$3:$Y$992,2,0),"")</f>
        <v>Velkoobchod s farmaceutickými výrobky</v>
      </c>
    </row>
    <row r="647" spans="13:26" ht="12.75">
      <c r="M647" s="335">
        <f>IF(ISNUMBER(SEARCH(ZAKL_DATA!$B$29,N647)),MAX($M$2:M646)+1,0)</f>
        <v>645</v>
      </c>
      <c r="N647" s="336" t="s">
        <v>2705</v>
      </c>
      <c r="O647" s="353" t="s">
        <v>2706</v>
      </c>
      <c r="P647" s="338"/>
      <c r="Q647" s="339" t="str">
        <f>IFERROR(VLOOKUP(ROWS($Q$3:Q647),$M$3:$N$992,2,0),"")</f>
        <v>Velkoobchod s nábytkem, koberci a svítidly</v>
      </c>
      <c r="R647">
        <f>IF(ISNUMBER(SEARCH('1Př1'!$A$33,N647)),MAX($M$2:M646)+1,0)</f>
        <v>645</v>
      </c>
      <c r="S647" s="336" t="s">
        <v>2705</v>
      </c>
      <c r="T647" t="str">
        <f>IFERROR(VLOOKUP(ROWS($T$3:T647),$R$3:$S$992,2,0),"")</f>
        <v>Velkoobchod s nábytkem, koberci a svítidly</v>
      </c>
      <c r="U647">
        <f>IF(ISNUMBER(SEARCH('1Př1'!$A$34,N647)),MAX($M$2:M646)+1,0)</f>
        <v>645</v>
      </c>
      <c r="V647" s="336" t="s">
        <v>2705</v>
      </c>
      <c r="W647" t="str">
        <f>IFERROR(VLOOKUP(ROWS($W$3:W647),$U$3:$V$992,2,0),"")</f>
        <v>Velkoobchod s nábytkem, koberci a svítidly</v>
      </c>
      <c r="X647">
        <f>IF(ISNUMBER(SEARCH('1Př1'!$A$35,N647)),MAX($M$2:M646)+1,0)</f>
        <v>645</v>
      </c>
      <c r="Y647" s="336" t="s">
        <v>2705</v>
      </c>
      <c r="Z647" t="str">
        <f>IFERROR(VLOOKUP(ROWS($Z$3:Z647),$X$3:$Y$992,2,0),"")</f>
        <v>Velkoobchod s nábytkem, koberci a svítidly</v>
      </c>
    </row>
    <row r="648" spans="13:26" ht="12.75">
      <c r="M648" s="335">
        <f>IF(ISNUMBER(SEARCH(ZAKL_DATA!$B$29,N648)),MAX($M$2:M647)+1,0)</f>
        <v>646</v>
      </c>
      <c r="N648" s="336" t="s">
        <v>2707</v>
      </c>
      <c r="O648" s="353" t="s">
        <v>2708</v>
      </c>
      <c r="P648" s="338"/>
      <c r="Q648" s="339" t="str">
        <f>IFERROR(VLOOKUP(ROWS($Q$3:Q648),$M$3:$N$992,2,0),"")</f>
        <v>Velkoobchod s hodinami, hodinkami a klenoty</v>
      </c>
      <c r="R648">
        <f>IF(ISNUMBER(SEARCH('1Př1'!$A$33,N648)),MAX($M$2:M647)+1,0)</f>
        <v>646</v>
      </c>
      <c r="S648" s="336" t="s">
        <v>2707</v>
      </c>
      <c r="T648" t="str">
        <f>IFERROR(VLOOKUP(ROWS($T$3:T648),$R$3:$S$992,2,0),"")</f>
        <v>Velkoobchod s hodinami, hodinkami a klenoty</v>
      </c>
      <c r="U648">
        <f>IF(ISNUMBER(SEARCH('1Př1'!$A$34,N648)),MAX($M$2:M647)+1,0)</f>
        <v>646</v>
      </c>
      <c r="V648" s="336" t="s">
        <v>2707</v>
      </c>
      <c r="W648" t="str">
        <f>IFERROR(VLOOKUP(ROWS($W$3:W648),$U$3:$V$992,2,0),"")</f>
        <v>Velkoobchod s hodinami, hodinkami a klenoty</v>
      </c>
      <c r="X648">
        <f>IF(ISNUMBER(SEARCH('1Př1'!$A$35,N648)),MAX($M$2:M647)+1,0)</f>
        <v>646</v>
      </c>
      <c r="Y648" s="336" t="s">
        <v>2707</v>
      </c>
      <c r="Z648" t="str">
        <f>IFERROR(VLOOKUP(ROWS($Z$3:Z648),$X$3:$Y$992,2,0),"")</f>
        <v>Velkoobchod s hodinami, hodinkami a klenoty</v>
      </c>
    </row>
    <row r="649" spans="13:26" ht="12.75">
      <c r="M649" s="335">
        <f>IF(ISNUMBER(SEARCH(ZAKL_DATA!$B$29,N649)),MAX($M$2:M648)+1,0)</f>
        <v>647</v>
      </c>
      <c r="N649" s="336" t="s">
        <v>2709</v>
      </c>
      <c r="O649" s="353" t="s">
        <v>2710</v>
      </c>
      <c r="P649" s="338"/>
      <c r="Q649" s="339" t="str">
        <f>IFERROR(VLOOKUP(ROWS($Q$3:Q649),$M$3:$N$992,2,0),"")</f>
        <v>Velkoobchod s ostatními výrobky převážně pro domácnost</v>
      </c>
      <c r="R649">
        <f>IF(ISNUMBER(SEARCH('1Př1'!$A$33,N649)),MAX($M$2:M648)+1,0)</f>
        <v>647</v>
      </c>
      <c r="S649" s="336" t="s">
        <v>2709</v>
      </c>
      <c r="T649" t="str">
        <f>IFERROR(VLOOKUP(ROWS($T$3:T649),$R$3:$S$992,2,0),"")</f>
        <v>Velkoobchod s ostatními výrobky převážně pro domácnost</v>
      </c>
      <c r="U649">
        <f>IF(ISNUMBER(SEARCH('1Př1'!$A$34,N649)),MAX($M$2:M648)+1,0)</f>
        <v>647</v>
      </c>
      <c r="V649" s="336" t="s">
        <v>2709</v>
      </c>
      <c r="W649" t="str">
        <f>IFERROR(VLOOKUP(ROWS($W$3:W649),$U$3:$V$992,2,0),"")</f>
        <v>Velkoobchod s ostatními výrobky převážně pro domácnost</v>
      </c>
      <c r="X649">
        <f>IF(ISNUMBER(SEARCH('1Př1'!$A$35,N649)),MAX($M$2:M648)+1,0)</f>
        <v>647</v>
      </c>
      <c r="Y649" s="336" t="s">
        <v>2709</v>
      </c>
      <c r="Z649" t="str">
        <f>IFERROR(VLOOKUP(ROWS($Z$3:Z649),$X$3:$Y$992,2,0),"")</f>
        <v>Velkoobchod s ostatními výrobky převážně pro domácnost</v>
      </c>
    </row>
    <row r="650" spans="13:26" ht="12.75">
      <c r="M650" s="335">
        <f>IF(ISNUMBER(SEARCH(ZAKL_DATA!$B$29,N650)),MAX($M$2:M649)+1,0)</f>
        <v>648</v>
      </c>
      <c r="N650" s="336" t="s">
        <v>2711</v>
      </c>
      <c r="O650" s="353" t="s">
        <v>2712</v>
      </c>
      <c r="P650" s="338"/>
      <c r="Q650" s="339" t="str">
        <f>IFERROR(VLOOKUP(ROWS($Q$3:Q650),$M$3:$N$992,2,0),"")</f>
        <v>Velkoobchod s počítači, počítačovým periferním zařízením a softwarem</v>
      </c>
      <c r="R650">
        <f>IF(ISNUMBER(SEARCH('1Př1'!$A$33,N650)),MAX($M$2:M649)+1,0)</f>
        <v>648</v>
      </c>
      <c r="S650" s="336" t="s">
        <v>2711</v>
      </c>
      <c r="T650" t="str">
        <f>IFERROR(VLOOKUP(ROWS($T$3:T650),$R$3:$S$992,2,0),"")</f>
        <v>Velkoobchod s počítači, počítačovým periferním zařízením a softwarem</v>
      </c>
      <c r="U650">
        <f>IF(ISNUMBER(SEARCH('1Př1'!$A$34,N650)),MAX($M$2:M649)+1,0)</f>
        <v>648</v>
      </c>
      <c r="V650" s="336" t="s">
        <v>2711</v>
      </c>
      <c r="W650" t="str">
        <f>IFERROR(VLOOKUP(ROWS($W$3:W650),$U$3:$V$992,2,0),"")</f>
        <v>Velkoobchod s počítači, počítačovým periferním zařízením a softwarem</v>
      </c>
      <c r="X650">
        <f>IF(ISNUMBER(SEARCH('1Př1'!$A$35,N650)),MAX($M$2:M649)+1,0)</f>
        <v>648</v>
      </c>
      <c r="Y650" s="336" t="s">
        <v>2711</v>
      </c>
      <c r="Z650" t="str">
        <f>IFERROR(VLOOKUP(ROWS($Z$3:Z650),$X$3:$Y$992,2,0),"")</f>
        <v>Velkoobchod s počítači, počítačovým periferním zařízením a softwarem</v>
      </c>
    </row>
    <row r="651" spans="13:26" ht="12.75">
      <c r="M651" s="335">
        <f>IF(ISNUMBER(SEARCH(ZAKL_DATA!$B$29,N651)),MAX($M$2:M650)+1,0)</f>
        <v>649</v>
      </c>
      <c r="N651" s="336" t="s">
        <v>2713</v>
      </c>
      <c r="O651" s="353" t="s">
        <v>2714</v>
      </c>
      <c r="P651" s="338"/>
      <c r="Q651" s="339" t="str">
        <f>IFERROR(VLOOKUP(ROWS($Q$3:Q651),$M$3:$N$992,2,0),"")</f>
        <v>Velkoobchod s elektronickým a telekomunikačním zařízením a jeho díly</v>
      </c>
      <c r="R651">
        <f>IF(ISNUMBER(SEARCH('1Př1'!$A$33,N651)),MAX($M$2:M650)+1,0)</f>
        <v>649</v>
      </c>
      <c r="S651" s="336" t="s">
        <v>2713</v>
      </c>
      <c r="T651" t="str">
        <f>IFERROR(VLOOKUP(ROWS($T$3:T651),$R$3:$S$992,2,0),"")</f>
        <v>Velkoobchod s elektronickým a telekomunikačním zařízením a jeho díly</v>
      </c>
      <c r="U651">
        <f>IF(ISNUMBER(SEARCH('1Př1'!$A$34,N651)),MAX($M$2:M650)+1,0)</f>
        <v>649</v>
      </c>
      <c r="V651" s="336" t="s">
        <v>2713</v>
      </c>
      <c r="W651" t="str">
        <f>IFERROR(VLOOKUP(ROWS($W$3:W651),$U$3:$V$992,2,0),"")</f>
        <v>Velkoobchod s elektronickým a telekomunikačním zařízením a jeho díly</v>
      </c>
      <c r="X651">
        <f>IF(ISNUMBER(SEARCH('1Př1'!$A$35,N651)),MAX($M$2:M650)+1,0)</f>
        <v>649</v>
      </c>
      <c r="Y651" s="336" t="s">
        <v>2713</v>
      </c>
      <c r="Z651" t="str">
        <f>IFERROR(VLOOKUP(ROWS($Z$3:Z651),$X$3:$Y$992,2,0),"")</f>
        <v>Velkoobchod s elektronickým a telekomunikačním zařízením a jeho díly</v>
      </c>
    </row>
    <row r="652" spans="13:26" ht="12.75">
      <c r="M652" s="335">
        <f>IF(ISNUMBER(SEARCH(ZAKL_DATA!$B$29,N652)),MAX($M$2:M651)+1,0)</f>
        <v>650</v>
      </c>
      <c r="N652" s="336" t="s">
        <v>2715</v>
      </c>
      <c r="O652" s="353" t="s">
        <v>2716</v>
      </c>
      <c r="P652" s="338"/>
      <c r="Q652" s="339" t="str">
        <f>IFERROR(VLOOKUP(ROWS($Q$3:Q652),$M$3:$N$992,2,0),"")</f>
        <v>Velkoobchod se zemědělskými stroji, strojním zařízením a příslušenstvím</v>
      </c>
      <c r="R652">
        <f>IF(ISNUMBER(SEARCH('1Př1'!$A$33,N652)),MAX($M$2:M651)+1,0)</f>
        <v>650</v>
      </c>
      <c r="S652" s="336" t="s">
        <v>2715</v>
      </c>
      <c r="T652" t="str">
        <f>IFERROR(VLOOKUP(ROWS($T$3:T652),$R$3:$S$992,2,0),"")</f>
        <v>Velkoobchod se zemědělskými stroji, strojním zařízením a příslušenstvím</v>
      </c>
      <c r="U652">
        <f>IF(ISNUMBER(SEARCH('1Př1'!$A$34,N652)),MAX($M$2:M651)+1,0)</f>
        <v>650</v>
      </c>
      <c r="V652" s="336" t="s">
        <v>2715</v>
      </c>
      <c r="W652" t="str">
        <f>IFERROR(VLOOKUP(ROWS($W$3:W652),$U$3:$V$992,2,0),"")</f>
        <v>Velkoobchod se zemědělskými stroji, strojním zařízením a příslušenstvím</v>
      </c>
      <c r="X652">
        <f>IF(ISNUMBER(SEARCH('1Př1'!$A$35,N652)),MAX($M$2:M651)+1,0)</f>
        <v>650</v>
      </c>
      <c r="Y652" s="336" t="s">
        <v>2715</v>
      </c>
      <c r="Z652" t="str">
        <f>IFERROR(VLOOKUP(ROWS($Z$3:Z652),$X$3:$Y$992,2,0),"")</f>
        <v>Velkoobchod se zemědělskými stroji, strojním zařízením a příslušenstvím</v>
      </c>
    </row>
    <row r="653" spans="13:26" ht="12.75">
      <c r="M653" s="335">
        <f>IF(ISNUMBER(SEARCH(ZAKL_DATA!$B$29,N653)),MAX($M$2:M652)+1,0)</f>
        <v>651</v>
      </c>
      <c r="N653" s="336" t="s">
        <v>2717</v>
      </c>
      <c r="O653" s="353" t="s">
        <v>2718</v>
      </c>
      <c r="P653" s="338"/>
      <c r="Q653" s="339" t="str">
        <f>IFERROR(VLOOKUP(ROWS($Q$3:Q653),$M$3:$N$992,2,0),"")</f>
        <v>Velkoobchod s obráběcími stroji</v>
      </c>
      <c r="R653">
        <f>IF(ISNUMBER(SEARCH('1Př1'!$A$33,N653)),MAX($M$2:M652)+1,0)</f>
        <v>651</v>
      </c>
      <c r="S653" s="336" t="s">
        <v>2717</v>
      </c>
      <c r="T653" t="str">
        <f>IFERROR(VLOOKUP(ROWS($T$3:T653),$R$3:$S$992,2,0),"")</f>
        <v>Velkoobchod s obráběcími stroji</v>
      </c>
      <c r="U653">
        <f>IF(ISNUMBER(SEARCH('1Př1'!$A$34,N653)),MAX($M$2:M652)+1,0)</f>
        <v>651</v>
      </c>
      <c r="V653" s="336" t="s">
        <v>2717</v>
      </c>
      <c r="W653" t="str">
        <f>IFERROR(VLOOKUP(ROWS($W$3:W653),$U$3:$V$992,2,0),"")</f>
        <v>Velkoobchod s obráběcími stroji</v>
      </c>
      <c r="X653">
        <f>IF(ISNUMBER(SEARCH('1Př1'!$A$35,N653)),MAX($M$2:M652)+1,0)</f>
        <v>651</v>
      </c>
      <c r="Y653" s="336" t="s">
        <v>2717</v>
      </c>
      <c r="Z653" t="str">
        <f>IFERROR(VLOOKUP(ROWS($Z$3:Z653),$X$3:$Y$992,2,0),"")</f>
        <v>Velkoobchod s obráběcími stroji</v>
      </c>
    </row>
    <row r="654" spans="13:26" ht="12.75">
      <c r="M654" s="335">
        <f>IF(ISNUMBER(SEARCH(ZAKL_DATA!$B$29,N654)),MAX($M$2:M653)+1,0)</f>
        <v>652</v>
      </c>
      <c r="N654" s="336" t="s">
        <v>2719</v>
      </c>
      <c r="O654" s="353" t="s">
        <v>2720</v>
      </c>
      <c r="P654" s="338"/>
      <c r="Q654" s="339" t="str">
        <f>IFERROR(VLOOKUP(ROWS($Q$3:Q654),$M$3:$N$992,2,0),"")</f>
        <v>Velkoobchod s těžebními a stavebními stroji a zařízením</v>
      </c>
      <c r="R654">
        <f>IF(ISNUMBER(SEARCH('1Př1'!$A$33,N654)),MAX($M$2:M653)+1,0)</f>
        <v>652</v>
      </c>
      <c r="S654" s="336" t="s">
        <v>2719</v>
      </c>
      <c r="T654" t="str">
        <f>IFERROR(VLOOKUP(ROWS($T$3:T654),$R$3:$S$992,2,0),"")</f>
        <v>Velkoobchod s těžebními a stavebními stroji a zařízením</v>
      </c>
      <c r="U654">
        <f>IF(ISNUMBER(SEARCH('1Př1'!$A$34,N654)),MAX($M$2:M653)+1,0)</f>
        <v>652</v>
      </c>
      <c r="V654" s="336" t="s">
        <v>2719</v>
      </c>
      <c r="W654" t="str">
        <f>IFERROR(VLOOKUP(ROWS($W$3:W654),$U$3:$V$992,2,0),"")</f>
        <v>Velkoobchod s těžebními a stavebními stroji a zařízením</v>
      </c>
      <c r="X654">
        <f>IF(ISNUMBER(SEARCH('1Př1'!$A$35,N654)),MAX($M$2:M653)+1,0)</f>
        <v>652</v>
      </c>
      <c r="Y654" s="336" t="s">
        <v>2719</v>
      </c>
      <c r="Z654" t="str">
        <f>IFERROR(VLOOKUP(ROWS($Z$3:Z654),$X$3:$Y$992,2,0),"")</f>
        <v>Velkoobchod s těžebními a stavebními stroji a zařízením</v>
      </c>
    </row>
    <row r="655" spans="13:26" ht="12.75">
      <c r="M655" s="335">
        <f>IF(ISNUMBER(SEARCH(ZAKL_DATA!$B$29,N655)),MAX($M$2:M654)+1,0)</f>
        <v>653</v>
      </c>
      <c r="N655" s="336" t="s">
        <v>2721</v>
      </c>
      <c r="O655" s="353" t="s">
        <v>2722</v>
      </c>
      <c r="P655" s="338"/>
      <c r="Q655" s="339" t="str">
        <f>IFERROR(VLOOKUP(ROWS($Q$3:Q655),$M$3:$N$992,2,0),"")</f>
        <v>Velkoobchod se strojním zařízením pro text.průmysl,šicími a plet.stroji</v>
      </c>
      <c r="R655">
        <f>IF(ISNUMBER(SEARCH('1Př1'!$A$33,N655)),MAX($M$2:M654)+1,0)</f>
        <v>653</v>
      </c>
      <c r="S655" s="336" t="s">
        <v>2721</v>
      </c>
      <c r="T655" t="str">
        <f>IFERROR(VLOOKUP(ROWS($T$3:T655),$R$3:$S$992,2,0),"")</f>
        <v>Velkoobchod se strojním zařízením pro text.průmysl,šicími a plet.stroji</v>
      </c>
      <c r="U655">
        <f>IF(ISNUMBER(SEARCH('1Př1'!$A$34,N655)),MAX($M$2:M654)+1,0)</f>
        <v>653</v>
      </c>
      <c r="V655" s="336" t="s">
        <v>2721</v>
      </c>
      <c r="W655" t="str">
        <f>IFERROR(VLOOKUP(ROWS($W$3:W655),$U$3:$V$992,2,0),"")</f>
        <v>Velkoobchod se strojním zařízením pro text.průmysl,šicími a plet.stroji</v>
      </c>
      <c r="X655">
        <f>IF(ISNUMBER(SEARCH('1Př1'!$A$35,N655)),MAX($M$2:M654)+1,0)</f>
        <v>653</v>
      </c>
      <c r="Y655" s="336" t="s">
        <v>2721</v>
      </c>
      <c r="Z655" t="str">
        <f>IFERROR(VLOOKUP(ROWS($Z$3:Z655),$X$3:$Y$992,2,0),"")</f>
        <v>Velkoobchod se strojním zařízením pro text.průmysl,šicími a plet.stroji</v>
      </c>
    </row>
    <row r="656" spans="13:26" ht="12.75">
      <c r="M656" s="335">
        <f>IF(ISNUMBER(SEARCH(ZAKL_DATA!$B$29,N656)),MAX($M$2:M655)+1,0)</f>
        <v>654</v>
      </c>
      <c r="N656" s="336" t="s">
        <v>2723</v>
      </c>
      <c r="O656" s="353" t="s">
        <v>2724</v>
      </c>
      <c r="P656" s="338"/>
      <c r="Q656" s="339" t="str">
        <f>IFERROR(VLOOKUP(ROWS($Q$3:Q656),$M$3:$N$992,2,0),"")</f>
        <v>Velkoobchod s kancelářským nábytkem</v>
      </c>
      <c r="R656">
        <f>IF(ISNUMBER(SEARCH('1Př1'!$A$33,N656)),MAX($M$2:M655)+1,0)</f>
        <v>654</v>
      </c>
      <c r="S656" s="336" t="s">
        <v>2723</v>
      </c>
      <c r="T656" t="str">
        <f>IFERROR(VLOOKUP(ROWS($T$3:T656),$R$3:$S$992,2,0),"")</f>
        <v>Velkoobchod s kancelářským nábytkem</v>
      </c>
      <c r="U656">
        <f>IF(ISNUMBER(SEARCH('1Př1'!$A$34,N656)),MAX($M$2:M655)+1,0)</f>
        <v>654</v>
      </c>
      <c r="V656" s="336" t="s">
        <v>2723</v>
      </c>
      <c r="W656" t="str">
        <f>IFERROR(VLOOKUP(ROWS($W$3:W656),$U$3:$V$992,2,0),"")</f>
        <v>Velkoobchod s kancelářským nábytkem</v>
      </c>
      <c r="X656">
        <f>IF(ISNUMBER(SEARCH('1Př1'!$A$35,N656)),MAX($M$2:M655)+1,0)</f>
        <v>654</v>
      </c>
      <c r="Y656" s="336" t="s">
        <v>2723</v>
      </c>
      <c r="Z656" t="str">
        <f>IFERROR(VLOOKUP(ROWS($Z$3:Z656),$X$3:$Y$992,2,0),"")</f>
        <v>Velkoobchod s kancelářským nábytkem</v>
      </c>
    </row>
    <row r="657" spans="13:26" ht="12.75">
      <c r="M657" s="335">
        <f>IF(ISNUMBER(SEARCH(ZAKL_DATA!$B$29,N657)),MAX($M$2:M656)+1,0)</f>
        <v>655</v>
      </c>
      <c r="N657" s="336" t="s">
        <v>2725</v>
      </c>
      <c r="O657" s="353" t="s">
        <v>2726</v>
      </c>
      <c r="P657" s="338"/>
      <c r="Q657" s="339" t="str">
        <f>IFERROR(VLOOKUP(ROWS($Q$3:Q657),$M$3:$N$992,2,0),"")</f>
        <v>Velkoobchod s ostatními kancelářskými stroji a zařízením</v>
      </c>
      <c r="R657">
        <f>IF(ISNUMBER(SEARCH('1Př1'!$A$33,N657)),MAX($M$2:M656)+1,0)</f>
        <v>655</v>
      </c>
      <c r="S657" s="336" t="s">
        <v>2725</v>
      </c>
      <c r="T657" t="str">
        <f>IFERROR(VLOOKUP(ROWS($T$3:T657),$R$3:$S$992,2,0),"")</f>
        <v>Velkoobchod s ostatními kancelářskými stroji a zařízením</v>
      </c>
      <c r="U657">
        <f>IF(ISNUMBER(SEARCH('1Př1'!$A$34,N657)),MAX($M$2:M656)+1,0)</f>
        <v>655</v>
      </c>
      <c r="V657" s="336" t="s">
        <v>2725</v>
      </c>
      <c r="W657" t="str">
        <f>IFERROR(VLOOKUP(ROWS($W$3:W657),$U$3:$V$992,2,0),"")</f>
        <v>Velkoobchod s ostatními kancelářskými stroji a zařízením</v>
      </c>
      <c r="X657">
        <f>IF(ISNUMBER(SEARCH('1Př1'!$A$35,N657)),MAX($M$2:M656)+1,0)</f>
        <v>655</v>
      </c>
      <c r="Y657" s="336" t="s">
        <v>2725</v>
      </c>
      <c r="Z657" t="str">
        <f>IFERROR(VLOOKUP(ROWS($Z$3:Z657),$X$3:$Y$992,2,0),"")</f>
        <v>Velkoobchod s ostatními kancelářskými stroji a zařízením</v>
      </c>
    </row>
    <row r="658" spans="13:26" ht="12.75">
      <c r="M658" s="335">
        <f>IF(ISNUMBER(SEARCH(ZAKL_DATA!$B$29,N658)),MAX($M$2:M657)+1,0)</f>
        <v>656</v>
      </c>
      <c r="N658" s="336" t="s">
        <v>2727</v>
      </c>
      <c r="O658" s="353" t="s">
        <v>2728</v>
      </c>
      <c r="P658" s="338"/>
      <c r="Q658" s="339" t="str">
        <f>IFERROR(VLOOKUP(ROWS($Q$3:Q658),$M$3:$N$992,2,0),"")</f>
        <v>Velkoobchod s ostatními stroji a zařízením</v>
      </c>
      <c r="R658">
        <f>IF(ISNUMBER(SEARCH('1Př1'!$A$33,N658)),MAX($M$2:M657)+1,0)</f>
        <v>656</v>
      </c>
      <c r="S658" s="336" t="s">
        <v>2727</v>
      </c>
      <c r="T658" t="str">
        <f>IFERROR(VLOOKUP(ROWS($T$3:T658),$R$3:$S$992,2,0),"")</f>
        <v>Velkoobchod s ostatními stroji a zařízením</v>
      </c>
      <c r="U658">
        <f>IF(ISNUMBER(SEARCH('1Př1'!$A$34,N658)),MAX($M$2:M657)+1,0)</f>
        <v>656</v>
      </c>
      <c r="V658" s="336" t="s">
        <v>2727</v>
      </c>
      <c r="W658" t="str">
        <f>IFERROR(VLOOKUP(ROWS($W$3:W658),$U$3:$V$992,2,0),"")</f>
        <v>Velkoobchod s ostatními stroji a zařízením</v>
      </c>
      <c r="X658">
        <f>IF(ISNUMBER(SEARCH('1Př1'!$A$35,N658)),MAX($M$2:M657)+1,0)</f>
        <v>656</v>
      </c>
      <c r="Y658" s="336" t="s">
        <v>2727</v>
      </c>
      <c r="Z658" t="str">
        <f>IFERROR(VLOOKUP(ROWS($Z$3:Z658),$X$3:$Y$992,2,0),"")</f>
        <v>Velkoobchod s ostatními stroji a zařízením</v>
      </c>
    </row>
    <row r="659" spans="13:26" ht="12.75">
      <c r="M659" s="335">
        <f>IF(ISNUMBER(SEARCH(ZAKL_DATA!$B$29,N659)),MAX($M$2:M658)+1,0)</f>
        <v>657</v>
      </c>
      <c r="N659" s="336" t="s">
        <v>2729</v>
      </c>
      <c r="O659" s="353" t="s">
        <v>2730</v>
      </c>
      <c r="P659" s="338"/>
      <c r="Q659" s="339" t="str">
        <f>IFERROR(VLOOKUP(ROWS($Q$3:Q659),$M$3:$N$992,2,0),"")</f>
        <v>Velkoobchod s pevnými, kapalnými a plynnými palivy a příbuznými výrobky</v>
      </c>
      <c r="R659">
        <f>IF(ISNUMBER(SEARCH('1Př1'!$A$33,N659)),MAX($M$2:M658)+1,0)</f>
        <v>657</v>
      </c>
      <c r="S659" s="336" t="s">
        <v>2729</v>
      </c>
      <c r="T659" t="str">
        <f>IFERROR(VLOOKUP(ROWS($T$3:T659),$R$3:$S$992,2,0),"")</f>
        <v>Velkoobchod s pevnými, kapalnými a plynnými palivy a příbuznými výrobky</v>
      </c>
      <c r="U659">
        <f>IF(ISNUMBER(SEARCH('1Př1'!$A$34,N659)),MAX($M$2:M658)+1,0)</f>
        <v>657</v>
      </c>
      <c r="V659" s="336" t="s">
        <v>2729</v>
      </c>
      <c r="W659" t="str">
        <f>IFERROR(VLOOKUP(ROWS($W$3:W659),$U$3:$V$992,2,0),"")</f>
        <v>Velkoobchod s pevnými, kapalnými a plynnými palivy a příbuznými výrobky</v>
      </c>
      <c r="X659">
        <f>IF(ISNUMBER(SEARCH('1Př1'!$A$35,N659)),MAX($M$2:M658)+1,0)</f>
        <v>657</v>
      </c>
      <c r="Y659" s="336" t="s">
        <v>2729</v>
      </c>
      <c r="Z659" t="str">
        <f>IFERROR(VLOOKUP(ROWS($Z$3:Z659),$X$3:$Y$992,2,0),"")</f>
        <v>Velkoobchod s pevnými, kapalnými a plynnými palivy a příbuznými výrobky</v>
      </c>
    </row>
    <row r="660" spans="13:26" ht="12.75">
      <c r="M660" s="335">
        <f>IF(ISNUMBER(SEARCH(ZAKL_DATA!$B$29,N660)),MAX($M$2:M659)+1,0)</f>
        <v>658</v>
      </c>
      <c r="N660" s="336" t="s">
        <v>2731</v>
      </c>
      <c r="O660" s="353" t="s">
        <v>2732</v>
      </c>
      <c r="P660" s="338"/>
      <c r="Q660" s="339" t="str">
        <f>IFERROR(VLOOKUP(ROWS($Q$3:Q660),$M$3:$N$992,2,0),"")</f>
        <v>Velkoobchod s rudami, kovy a hutními výrobky</v>
      </c>
      <c r="R660">
        <f>IF(ISNUMBER(SEARCH('1Př1'!$A$33,N660)),MAX($M$2:M659)+1,0)</f>
        <v>658</v>
      </c>
      <c r="S660" s="336" t="s">
        <v>2731</v>
      </c>
      <c r="T660" t="str">
        <f>IFERROR(VLOOKUP(ROWS($T$3:T660),$R$3:$S$992,2,0),"")</f>
        <v>Velkoobchod s rudami, kovy a hutními výrobky</v>
      </c>
      <c r="U660">
        <f>IF(ISNUMBER(SEARCH('1Př1'!$A$34,N660)),MAX($M$2:M659)+1,0)</f>
        <v>658</v>
      </c>
      <c r="V660" s="336" t="s">
        <v>2731</v>
      </c>
      <c r="W660" t="str">
        <f>IFERROR(VLOOKUP(ROWS($W$3:W660),$U$3:$V$992,2,0),"")</f>
        <v>Velkoobchod s rudami, kovy a hutními výrobky</v>
      </c>
      <c r="X660">
        <f>IF(ISNUMBER(SEARCH('1Př1'!$A$35,N660)),MAX($M$2:M659)+1,0)</f>
        <v>658</v>
      </c>
      <c r="Y660" s="336" t="s">
        <v>2731</v>
      </c>
      <c r="Z660" t="str">
        <f>IFERROR(VLOOKUP(ROWS($Z$3:Z660),$X$3:$Y$992,2,0),"")</f>
        <v>Velkoobchod s rudami, kovy a hutními výrobky</v>
      </c>
    </row>
    <row r="661" spans="13:26" ht="12.75">
      <c r="M661" s="335">
        <f>IF(ISNUMBER(SEARCH(ZAKL_DATA!$B$29,N661)),MAX($M$2:M660)+1,0)</f>
        <v>659</v>
      </c>
      <c r="N661" s="336" t="s">
        <v>2733</v>
      </c>
      <c r="O661" s="353" t="s">
        <v>2734</v>
      </c>
      <c r="P661" s="338"/>
      <c r="Q661" s="339" t="str">
        <f>IFERROR(VLOOKUP(ROWS($Q$3:Q661),$M$3:$N$992,2,0),"")</f>
        <v>Velkoobchod se dřevem, stavebními materiály a sanitárním vybavením</v>
      </c>
      <c r="R661">
        <f>IF(ISNUMBER(SEARCH('1Př1'!$A$33,N661)),MAX($M$2:M660)+1,0)</f>
        <v>659</v>
      </c>
      <c r="S661" s="336" t="s">
        <v>2733</v>
      </c>
      <c r="T661" t="str">
        <f>IFERROR(VLOOKUP(ROWS($T$3:T661),$R$3:$S$992,2,0),"")</f>
        <v>Velkoobchod se dřevem, stavebními materiály a sanitárním vybavením</v>
      </c>
      <c r="U661">
        <f>IF(ISNUMBER(SEARCH('1Př1'!$A$34,N661)),MAX($M$2:M660)+1,0)</f>
        <v>659</v>
      </c>
      <c r="V661" s="336" t="s">
        <v>2733</v>
      </c>
      <c r="W661" t="str">
        <f>IFERROR(VLOOKUP(ROWS($W$3:W661),$U$3:$V$992,2,0),"")</f>
        <v>Velkoobchod se dřevem, stavebními materiály a sanitárním vybavením</v>
      </c>
      <c r="X661">
        <f>IF(ISNUMBER(SEARCH('1Př1'!$A$35,N661)),MAX($M$2:M660)+1,0)</f>
        <v>659</v>
      </c>
      <c r="Y661" s="336" t="s">
        <v>2733</v>
      </c>
      <c r="Z661" t="str">
        <f>IFERROR(VLOOKUP(ROWS($Z$3:Z661),$X$3:$Y$992,2,0),"")</f>
        <v>Velkoobchod se dřevem, stavebními materiály a sanitárním vybavením</v>
      </c>
    </row>
    <row r="662" spans="13:26" ht="12.75">
      <c r="M662" s="335">
        <f>IF(ISNUMBER(SEARCH(ZAKL_DATA!$B$29,N662)),MAX($M$2:M661)+1,0)</f>
        <v>660</v>
      </c>
      <c r="N662" s="336" t="s">
        <v>2735</v>
      </c>
      <c r="O662" s="353" t="s">
        <v>2736</v>
      </c>
      <c r="P662" s="338"/>
      <c r="Q662" s="339" t="str">
        <f>IFERROR(VLOOKUP(ROWS($Q$3:Q662),$M$3:$N$992,2,0),"")</f>
        <v>Velkoobchod s železářským zbožím,instalatér.a topenářskými potřebami</v>
      </c>
      <c r="R662">
        <f>IF(ISNUMBER(SEARCH('1Př1'!$A$33,N662)),MAX($M$2:M661)+1,0)</f>
        <v>660</v>
      </c>
      <c r="S662" s="336" t="s">
        <v>2735</v>
      </c>
      <c r="T662" t="str">
        <f>IFERROR(VLOOKUP(ROWS($T$3:T662),$R$3:$S$992,2,0),"")</f>
        <v>Velkoobchod s železářským zbožím,instalatér.a topenářskými potřebami</v>
      </c>
      <c r="U662">
        <f>IF(ISNUMBER(SEARCH('1Př1'!$A$34,N662)),MAX($M$2:M661)+1,0)</f>
        <v>660</v>
      </c>
      <c r="V662" s="336" t="s">
        <v>2735</v>
      </c>
      <c r="W662" t="str">
        <f>IFERROR(VLOOKUP(ROWS($W$3:W662),$U$3:$V$992,2,0),"")</f>
        <v>Velkoobchod s železářským zbožím,instalatér.a topenářskými potřebami</v>
      </c>
      <c r="X662">
        <f>IF(ISNUMBER(SEARCH('1Př1'!$A$35,N662)),MAX($M$2:M661)+1,0)</f>
        <v>660</v>
      </c>
      <c r="Y662" s="336" t="s">
        <v>2735</v>
      </c>
      <c r="Z662" t="str">
        <f>IFERROR(VLOOKUP(ROWS($Z$3:Z662),$X$3:$Y$992,2,0),"")</f>
        <v>Velkoobchod s železářským zbožím,instalatér.a topenářskými potřebami</v>
      </c>
    </row>
    <row r="663" spans="13:26" ht="12.75">
      <c r="M663" s="335">
        <f>IF(ISNUMBER(SEARCH(ZAKL_DATA!$B$29,N663)),MAX($M$2:M662)+1,0)</f>
        <v>661</v>
      </c>
      <c r="N663" s="336" t="s">
        <v>2737</v>
      </c>
      <c r="O663" s="353" t="s">
        <v>2738</v>
      </c>
      <c r="P663" s="338"/>
      <c r="Q663" s="339" t="str">
        <f>IFERROR(VLOOKUP(ROWS($Q$3:Q663),$M$3:$N$992,2,0),"")</f>
        <v>Velkoobchod s chemickými výrobky</v>
      </c>
      <c r="R663">
        <f>IF(ISNUMBER(SEARCH('1Př1'!$A$33,N663)),MAX($M$2:M662)+1,0)</f>
        <v>661</v>
      </c>
      <c r="S663" s="336" t="s">
        <v>2737</v>
      </c>
      <c r="T663" t="str">
        <f>IFERROR(VLOOKUP(ROWS($T$3:T663),$R$3:$S$992,2,0),"")</f>
        <v>Velkoobchod s chemickými výrobky</v>
      </c>
      <c r="U663">
        <f>IF(ISNUMBER(SEARCH('1Př1'!$A$34,N663)),MAX($M$2:M662)+1,0)</f>
        <v>661</v>
      </c>
      <c r="V663" s="336" t="s">
        <v>2737</v>
      </c>
      <c r="W663" t="str">
        <f>IFERROR(VLOOKUP(ROWS($W$3:W663),$U$3:$V$992,2,0),"")</f>
        <v>Velkoobchod s chemickými výrobky</v>
      </c>
      <c r="X663">
        <f>IF(ISNUMBER(SEARCH('1Př1'!$A$35,N663)),MAX($M$2:M662)+1,0)</f>
        <v>661</v>
      </c>
      <c r="Y663" s="336" t="s">
        <v>2737</v>
      </c>
      <c r="Z663" t="str">
        <f>IFERROR(VLOOKUP(ROWS($Z$3:Z663),$X$3:$Y$992,2,0),"")</f>
        <v>Velkoobchod s chemickými výrobky</v>
      </c>
    </row>
    <row r="664" spans="13:26" ht="12.75">
      <c r="M664" s="335">
        <f>IF(ISNUMBER(SEARCH(ZAKL_DATA!$B$29,N664)),MAX($M$2:M663)+1,0)</f>
        <v>662</v>
      </c>
      <c r="N664" s="336" t="s">
        <v>2739</v>
      </c>
      <c r="O664" s="353" t="s">
        <v>2740</v>
      </c>
      <c r="P664" s="338"/>
      <c r="Q664" s="339" t="str">
        <f>IFERROR(VLOOKUP(ROWS($Q$3:Q664),$M$3:$N$992,2,0),"")</f>
        <v>Velkoobchod s ostatními meziprodukty</v>
      </c>
      <c r="R664">
        <f>IF(ISNUMBER(SEARCH('1Př1'!$A$33,N664)),MAX($M$2:M663)+1,0)</f>
        <v>662</v>
      </c>
      <c r="S664" s="336" t="s">
        <v>2739</v>
      </c>
      <c r="T664" t="str">
        <f>IFERROR(VLOOKUP(ROWS($T$3:T664),$R$3:$S$992,2,0),"")</f>
        <v>Velkoobchod s ostatními meziprodukty</v>
      </c>
      <c r="U664">
        <f>IF(ISNUMBER(SEARCH('1Př1'!$A$34,N664)),MAX($M$2:M663)+1,0)</f>
        <v>662</v>
      </c>
      <c r="V664" s="336" t="s">
        <v>2739</v>
      </c>
      <c r="W664" t="str">
        <f>IFERROR(VLOOKUP(ROWS($W$3:W664),$U$3:$V$992,2,0),"")</f>
        <v>Velkoobchod s ostatními meziprodukty</v>
      </c>
      <c r="X664">
        <f>IF(ISNUMBER(SEARCH('1Př1'!$A$35,N664)),MAX($M$2:M663)+1,0)</f>
        <v>662</v>
      </c>
      <c r="Y664" s="336" t="s">
        <v>2739</v>
      </c>
      <c r="Z664" t="str">
        <f>IFERROR(VLOOKUP(ROWS($Z$3:Z664),$X$3:$Y$992,2,0),"")</f>
        <v>Velkoobchod s ostatními meziprodukty</v>
      </c>
    </row>
    <row r="665" spans="13:26" ht="12.75">
      <c r="M665" s="335">
        <f>IF(ISNUMBER(SEARCH(ZAKL_DATA!$B$29,N665)),MAX($M$2:M664)+1,0)</f>
        <v>663</v>
      </c>
      <c r="N665" s="336" t="s">
        <v>2741</v>
      </c>
      <c r="O665" s="353" t="s">
        <v>2742</v>
      </c>
      <c r="P665" s="338"/>
      <c r="Q665" s="339" t="str">
        <f>IFERROR(VLOOKUP(ROWS($Q$3:Q665),$M$3:$N$992,2,0),"")</f>
        <v>Velkoobchod s odpadem a šrotem</v>
      </c>
      <c r="R665">
        <f>IF(ISNUMBER(SEARCH('1Př1'!$A$33,N665)),MAX($M$2:M664)+1,0)</f>
        <v>663</v>
      </c>
      <c r="S665" s="336" t="s">
        <v>2741</v>
      </c>
      <c r="T665" t="str">
        <f>IFERROR(VLOOKUP(ROWS($T$3:T665),$R$3:$S$992,2,0),"")</f>
        <v>Velkoobchod s odpadem a šrotem</v>
      </c>
      <c r="U665">
        <f>IF(ISNUMBER(SEARCH('1Př1'!$A$34,N665)),MAX($M$2:M664)+1,0)</f>
        <v>663</v>
      </c>
      <c r="V665" s="336" t="s">
        <v>2741</v>
      </c>
      <c r="W665" t="str">
        <f>IFERROR(VLOOKUP(ROWS($W$3:W665),$U$3:$V$992,2,0),"")</f>
        <v>Velkoobchod s odpadem a šrotem</v>
      </c>
      <c r="X665">
        <f>IF(ISNUMBER(SEARCH('1Př1'!$A$35,N665)),MAX($M$2:M664)+1,0)</f>
        <v>663</v>
      </c>
      <c r="Y665" s="336" t="s">
        <v>2741</v>
      </c>
      <c r="Z665" t="str">
        <f>IFERROR(VLOOKUP(ROWS($Z$3:Z665),$X$3:$Y$992,2,0),"")</f>
        <v>Velkoobchod s odpadem a šrotem</v>
      </c>
    </row>
    <row r="666" spans="13:26" ht="12.75">
      <c r="M666" s="335">
        <f>IF(ISNUMBER(SEARCH(ZAKL_DATA!$B$29,N666)),MAX($M$2:M665)+1,0)</f>
        <v>664</v>
      </c>
      <c r="N666" s="336" t="s">
        <v>2743</v>
      </c>
      <c r="O666" s="353" t="s">
        <v>2744</v>
      </c>
      <c r="P666" s="338"/>
      <c r="Q666" s="339" t="str">
        <f>IFERROR(VLOOKUP(ROWS($Q$3:Q666),$M$3:$N$992,2,0),"")</f>
        <v>Maloobchod s převahou potravin,nápojů a tabák.výrobků v nespecializ.prod.</v>
      </c>
      <c r="R666">
        <f>IF(ISNUMBER(SEARCH('1Př1'!$A$33,N666)),MAX($M$2:M665)+1,0)</f>
        <v>664</v>
      </c>
      <c r="S666" s="336" t="s">
        <v>2743</v>
      </c>
      <c r="T666" t="str">
        <f>IFERROR(VLOOKUP(ROWS($T$3:T666),$R$3:$S$992,2,0),"")</f>
        <v>Maloobchod s převahou potravin,nápojů a tabák.výrobků v nespecializ.prod.</v>
      </c>
      <c r="U666">
        <f>IF(ISNUMBER(SEARCH('1Př1'!$A$34,N666)),MAX($M$2:M665)+1,0)</f>
        <v>664</v>
      </c>
      <c r="V666" s="336" t="s">
        <v>2743</v>
      </c>
      <c r="W666" t="str">
        <f>IFERROR(VLOOKUP(ROWS($W$3:W666),$U$3:$V$992,2,0),"")</f>
        <v>Maloobchod s převahou potravin,nápojů a tabák.výrobků v nespecializ.prod.</v>
      </c>
      <c r="X666">
        <f>IF(ISNUMBER(SEARCH('1Př1'!$A$35,N666)),MAX($M$2:M665)+1,0)</f>
        <v>664</v>
      </c>
      <c r="Y666" s="336" t="s">
        <v>2743</v>
      </c>
      <c r="Z666" t="str">
        <f>IFERROR(VLOOKUP(ROWS($Z$3:Z666),$X$3:$Y$992,2,0),"")</f>
        <v>Maloobchod s převahou potravin,nápojů a tabák.výrobků v nespecializ.prod.</v>
      </c>
    </row>
    <row r="667" spans="13:26" ht="12.75">
      <c r="M667" s="335">
        <f>IF(ISNUMBER(SEARCH(ZAKL_DATA!$B$29,N667)),MAX($M$2:M666)+1,0)</f>
        <v>665</v>
      </c>
      <c r="N667" s="336" t="s">
        <v>2745</v>
      </c>
      <c r="O667" s="353" t="s">
        <v>2746</v>
      </c>
      <c r="P667" s="338"/>
      <c r="Q667" s="339" t="str">
        <f>IFERROR(VLOOKUP(ROWS($Q$3:Q667),$M$3:$N$992,2,0),"")</f>
        <v>Ostatní maloobchod v nespecializovaných prodejnách</v>
      </c>
      <c r="R667">
        <f>IF(ISNUMBER(SEARCH('1Př1'!$A$33,N667)),MAX($M$2:M666)+1,0)</f>
        <v>665</v>
      </c>
      <c r="S667" s="336" t="s">
        <v>2745</v>
      </c>
      <c r="T667" t="str">
        <f>IFERROR(VLOOKUP(ROWS($T$3:T667),$R$3:$S$992,2,0),"")</f>
        <v>Ostatní maloobchod v nespecializovaných prodejnách</v>
      </c>
      <c r="U667">
        <f>IF(ISNUMBER(SEARCH('1Př1'!$A$34,N667)),MAX($M$2:M666)+1,0)</f>
        <v>665</v>
      </c>
      <c r="V667" s="336" t="s">
        <v>2745</v>
      </c>
      <c r="W667" t="str">
        <f>IFERROR(VLOOKUP(ROWS($W$3:W667),$U$3:$V$992,2,0),"")</f>
        <v>Ostatní maloobchod v nespecializovaných prodejnách</v>
      </c>
      <c r="X667">
        <f>IF(ISNUMBER(SEARCH('1Př1'!$A$35,N667)),MAX($M$2:M666)+1,0)</f>
        <v>665</v>
      </c>
      <c r="Y667" s="336" t="s">
        <v>2745</v>
      </c>
      <c r="Z667" t="str">
        <f>IFERROR(VLOOKUP(ROWS($Z$3:Z667),$X$3:$Y$992,2,0),"")</f>
        <v>Ostatní maloobchod v nespecializovaných prodejnách</v>
      </c>
    </row>
    <row r="668" spans="13:26" ht="12.75">
      <c r="M668" s="335">
        <f>IF(ISNUMBER(SEARCH(ZAKL_DATA!$B$29,N668)),MAX($M$2:M667)+1,0)</f>
        <v>666</v>
      </c>
      <c r="N668" s="336" t="s">
        <v>2747</v>
      </c>
      <c r="O668" s="353" t="s">
        <v>2748</v>
      </c>
      <c r="P668" s="338"/>
      <c r="Q668" s="339" t="str">
        <f>IFERROR(VLOOKUP(ROWS($Q$3:Q668),$M$3:$N$992,2,0),"")</f>
        <v>Maloobchod s ovocem a zeleninou</v>
      </c>
      <c r="R668">
        <f>IF(ISNUMBER(SEARCH('1Př1'!$A$33,N668)),MAX($M$2:M667)+1,0)</f>
        <v>666</v>
      </c>
      <c r="S668" s="336" t="s">
        <v>2747</v>
      </c>
      <c r="T668" t="str">
        <f>IFERROR(VLOOKUP(ROWS($T$3:T668),$R$3:$S$992,2,0),"")</f>
        <v>Maloobchod s ovocem a zeleninou</v>
      </c>
      <c r="U668">
        <f>IF(ISNUMBER(SEARCH('1Př1'!$A$34,N668)),MAX($M$2:M667)+1,0)</f>
        <v>666</v>
      </c>
      <c r="V668" s="336" t="s">
        <v>2747</v>
      </c>
      <c r="W668" t="str">
        <f>IFERROR(VLOOKUP(ROWS($W$3:W668),$U$3:$V$992,2,0),"")</f>
        <v>Maloobchod s ovocem a zeleninou</v>
      </c>
      <c r="X668">
        <f>IF(ISNUMBER(SEARCH('1Př1'!$A$35,N668)),MAX($M$2:M667)+1,0)</f>
        <v>666</v>
      </c>
      <c r="Y668" s="336" t="s">
        <v>2747</v>
      </c>
      <c r="Z668" t="str">
        <f>IFERROR(VLOOKUP(ROWS($Z$3:Z668),$X$3:$Y$992,2,0),"")</f>
        <v>Maloobchod s ovocem a zeleninou</v>
      </c>
    </row>
    <row r="669" spans="13:26" ht="12.75">
      <c r="M669" s="335">
        <f>IF(ISNUMBER(SEARCH(ZAKL_DATA!$B$29,N669)),MAX($M$2:M668)+1,0)</f>
        <v>667</v>
      </c>
      <c r="N669" s="336" t="s">
        <v>2749</v>
      </c>
      <c r="O669" s="353" t="s">
        <v>2750</v>
      </c>
      <c r="P669" s="338"/>
      <c r="Q669" s="339" t="str">
        <f>IFERROR(VLOOKUP(ROWS($Q$3:Q669),$M$3:$N$992,2,0),"")</f>
        <v>Maloobchod s masem a masnými výrobky</v>
      </c>
      <c r="R669">
        <f>IF(ISNUMBER(SEARCH('1Př1'!$A$33,N669)),MAX($M$2:M668)+1,0)</f>
        <v>667</v>
      </c>
      <c r="S669" s="336" t="s">
        <v>2749</v>
      </c>
      <c r="T669" t="str">
        <f>IFERROR(VLOOKUP(ROWS($T$3:T669),$R$3:$S$992,2,0),"")</f>
        <v>Maloobchod s masem a masnými výrobky</v>
      </c>
      <c r="U669">
        <f>IF(ISNUMBER(SEARCH('1Př1'!$A$34,N669)),MAX($M$2:M668)+1,0)</f>
        <v>667</v>
      </c>
      <c r="V669" s="336" t="s">
        <v>2749</v>
      </c>
      <c r="W669" t="str">
        <f>IFERROR(VLOOKUP(ROWS($W$3:W669),$U$3:$V$992,2,0),"")</f>
        <v>Maloobchod s masem a masnými výrobky</v>
      </c>
      <c r="X669">
        <f>IF(ISNUMBER(SEARCH('1Př1'!$A$35,N669)),MAX($M$2:M668)+1,0)</f>
        <v>667</v>
      </c>
      <c r="Y669" s="336" t="s">
        <v>2749</v>
      </c>
      <c r="Z669" t="str">
        <f>IFERROR(VLOOKUP(ROWS($Z$3:Z669),$X$3:$Y$992,2,0),"")</f>
        <v>Maloobchod s masem a masnými výrobky</v>
      </c>
    </row>
    <row r="670" spans="13:26" ht="12.75">
      <c r="M670" s="335">
        <f>IF(ISNUMBER(SEARCH(ZAKL_DATA!$B$29,N670)),MAX($M$2:M669)+1,0)</f>
        <v>668</v>
      </c>
      <c r="N670" s="336" t="s">
        <v>2751</v>
      </c>
      <c r="O670" s="353" t="s">
        <v>2752</v>
      </c>
      <c r="P670" s="338"/>
      <c r="Q670" s="339" t="str">
        <f>IFERROR(VLOOKUP(ROWS($Q$3:Q670),$M$3:$N$992,2,0),"")</f>
        <v>Maloobchod s rybami, korýši a měkkýši</v>
      </c>
      <c r="R670">
        <f>IF(ISNUMBER(SEARCH('1Př1'!$A$33,N670)),MAX($M$2:M669)+1,0)</f>
        <v>668</v>
      </c>
      <c r="S670" s="336" t="s">
        <v>2751</v>
      </c>
      <c r="T670" t="str">
        <f>IFERROR(VLOOKUP(ROWS($T$3:T670),$R$3:$S$992,2,0),"")</f>
        <v>Maloobchod s rybami, korýši a měkkýši</v>
      </c>
      <c r="U670">
        <f>IF(ISNUMBER(SEARCH('1Př1'!$A$34,N670)),MAX($M$2:M669)+1,0)</f>
        <v>668</v>
      </c>
      <c r="V670" s="336" t="s">
        <v>2751</v>
      </c>
      <c r="W670" t="str">
        <f>IFERROR(VLOOKUP(ROWS($W$3:W670),$U$3:$V$992,2,0),"")</f>
        <v>Maloobchod s rybami, korýši a měkkýši</v>
      </c>
      <c r="X670">
        <f>IF(ISNUMBER(SEARCH('1Př1'!$A$35,N670)),MAX($M$2:M669)+1,0)</f>
        <v>668</v>
      </c>
      <c r="Y670" s="336" t="s">
        <v>2751</v>
      </c>
      <c r="Z670" t="str">
        <f>IFERROR(VLOOKUP(ROWS($Z$3:Z670),$X$3:$Y$992,2,0),"")</f>
        <v>Maloobchod s rybami, korýši a měkkýši</v>
      </c>
    </row>
    <row r="671" spans="13:26" ht="12.75">
      <c r="M671" s="335">
        <f>IF(ISNUMBER(SEARCH(ZAKL_DATA!$B$29,N671)),MAX($M$2:M670)+1,0)</f>
        <v>669</v>
      </c>
      <c r="N671" s="336" t="s">
        <v>2753</v>
      </c>
      <c r="O671" s="353" t="s">
        <v>2754</v>
      </c>
      <c r="P671" s="338"/>
      <c r="Q671" s="339" t="str">
        <f>IFERROR(VLOOKUP(ROWS($Q$3:Q671),$M$3:$N$992,2,0),"")</f>
        <v>Maloobchod s chlebem, pečivem, cukrářskými výrobky a cukrovinkami</v>
      </c>
      <c r="R671">
        <f>IF(ISNUMBER(SEARCH('1Př1'!$A$33,N671)),MAX($M$2:M670)+1,0)</f>
        <v>669</v>
      </c>
      <c r="S671" s="336" t="s">
        <v>2753</v>
      </c>
      <c r="T671" t="str">
        <f>IFERROR(VLOOKUP(ROWS($T$3:T671),$R$3:$S$992,2,0),"")</f>
        <v>Maloobchod s chlebem, pečivem, cukrářskými výrobky a cukrovinkami</v>
      </c>
      <c r="U671">
        <f>IF(ISNUMBER(SEARCH('1Př1'!$A$34,N671)),MAX($M$2:M670)+1,0)</f>
        <v>669</v>
      </c>
      <c r="V671" s="336" t="s">
        <v>2753</v>
      </c>
      <c r="W671" t="str">
        <f>IFERROR(VLOOKUP(ROWS($W$3:W671),$U$3:$V$992,2,0),"")</f>
        <v>Maloobchod s chlebem, pečivem, cukrářskými výrobky a cukrovinkami</v>
      </c>
      <c r="X671">
        <f>IF(ISNUMBER(SEARCH('1Př1'!$A$35,N671)),MAX($M$2:M670)+1,0)</f>
        <v>669</v>
      </c>
      <c r="Y671" s="336" t="s">
        <v>2753</v>
      </c>
      <c r="Z671" t="str">
        <f>IFERROR(VLOOKUP(ROWS($Z$3:Z671),$X$3:$Y$992,2,0),"")</f>
        <v>Maloobchod s chlebem, pečivem, cukrářskými výrobky a cukrovinkami</v>
      </c>
    </row>
    <row r="672" spans="13:26" ht="12.75">
      <c r="M672" s="335">
        <f>IF(ISNUMBER(SEARCH(ZAKL_DATA!$B$29,N672)),MAX($M$2:M671)+1,0)</f>
        <v>670</v>
      </c>
      <c r="N672" s="336" t="s">
        <v>2755</v>
      </c>
      <c r="O672" s="353" t="s">
        <v>2756</v>
      </c>
      <c r="P672" s="338"/>
      <c r="Q672" s="339" t="str">
        <f>IFERROR(VLOOKUP(ROWS($Q$3:Q672),$M$3:$N$992,2,0),"")</f>
        <v>Maloobchod s nápoji</v>
      </c>
      <c r="R672">
        <f>IF(ISNUMBER(SEARCH('1Př1'!$A$33,N672)),MAX($M$2:M671)+1,0)</f>
        <v>670</v>
      </c>
      <c r="S672" s="336" t="s">
        <v>2755</v>
      </c>
      <c r="T672" t="str">
        <f>IFERROR(VLOOKUP(ROWS($T$3:T672),$R$3:$S$992,2,0),"")</f>
        <v>Maloobchod s nápoji</v>
      </c>
      <c r="U672">
        <f>IF(ISNUMBER(SEARCH('1Př1'!$A$34,N672)),MAX($M$2:M671)+1,0)</f>
        <v>670</v>
      </c>
      <c r="V672" s="336" t="s">
        <v>2755</v>
      </c>
      <c r="W672" t="str">
        <f>IFERROR(VLOOKUP(ROWS($W$3:W672),$U$3:$V$992,2,0),"")</f>
        <v>Maloobchod s nápoji</v>
      </c>
      <c r="X672">
        <f>IF(ISNUMBER(SEARCH('1Př1'!$A$35,N672)),MAX($M$2:M671)+1,0)</f>
        <v>670</v>
      </c>
      <c r="Y672" s="336" t="s">
        <v>2755</v>
      </c>
      <c r="Z672" t="str">
        <f>IFERROR(VLOOKUP(ROWS($Z$3:Z672),$X$3:$Y$992,2,0),"")</f>
        <v>Maloobchod s nápoji</v>
      </c>
    </row>
    <row r="673" spans="13:26" ht="12.75">
      <c r="M673" s="335">
        <f>IF(ISNUMBER(SEARCH(ZAKL_DATA!$B$29,N673)),MAX($M$2:M672)+1,0)</f>
        <v>671</v>
      </c>
      <c r="N673" s="336" t="s">
        <v>2757</v>
      </c>
      <c r="O673" s="353" t="s">
        <v>2758</v>
      </c>
      <c r="P673" s="338"/>
      <c r="Q673" s="339" t="str">
        <f>IFERROR(VLOOKUP(ROWS($Q$3:Q673),$M$3:$N$992,2,0),"")</f>
        <v>Maloobchod s tabákovými výrobky</v>
      </c>
      <c r="R673">
        <f>IF(ISNUMBER(SEARCH('1Př1'!$A$33,N673)),MAX($M$2:M672)+1,0)</f>
        <v>671</v>
      </c>
      <c r="S673" s="336" t="s">
        <v>2757</v>
      </c>
      <c r="T673" t="str">
        <f>IFERROR(VLOOKUP(ROWS($T$3:T673),$R$3:$S$992,2,0),"")</f>
        <v>Maloobchod s tabákovými výrobky</v>
      </c>
      <c r="U673">
        <f>IF(ISNUMBER(SEARCH('1Př1'!$A$34,N673)),MAX($M$2:M672)+1,0)</f>
        <v>671</v>
      </c>
      <c r="V673" s="336" t="s">
        <v>2757</v>
      </c>
      <c r="W673" t="str">
        <f>IFERROR(VLOOKUP(ROWS($W$3:W673),$U$3:$V$992,2,0),"")</f>
        <v>Maloobchod s tabákovými výrobky</v>
      </c>
      <c r="X673">
        <f>IF(ISNUMBER(SEARCH('1Př1'!$A$35,N673)),MAX($M$2:M672)+1,0)</f>
        <v>671</v>
      </c>
      <c r="Y673" s="336" t="s">
        <v>2757</v>
      </c>
      <c r="Z673" t="str">
        <f>IFERROR(VLOOKUP(ROWS($Z$3:Z673),$X$3:$Y$992,2,0),"")</f>
        <v>Maloobchod s tabákovými výrobky</v>
      </c>
    </row>
    <row r="674" spans="13:26" ht="12.75">
      <c r="M674" s="335">
        <f>IF(ISNUMBER(SEARCH(ZAKL_DATA!$B$29,N674)),MAX($M$2:M673)+1,0)</f>
        <v>672</v>
      </c>
      <c r="N674" s="336" t="s">
        <v>2759</v>
      </c>
      <c r="O674" s="353" t="s">
        <v>2760</v>
      </c>
      <c r="P674" s="338"/>
      <c r="Q674" s="339" t="str">
        <f>IFERROR(VLOOKUP(ROWS($Q$3:Q674),$M$3:$N$992,2,0),"")</f>
        <v>Ostatní maloobchod s potravinami ve specializovaných prodejnách</v>
      </c>
      <c r="R674">
        <f>IF(ISNUMBER(SEARCH('1Př1'!$A$33,N674)),MAX($M$2:M673)+1,0)</f>
        <v>672</v>
      </c>
      <c r="S674" s="336" t="s">
        <v>2759</v>
      </c>
      <c r="T674" t="str">
        <f>IFERROR(VLOOKUP(ROWS($T$3:T674),$R$3:$S$992,2,0),"")</f>
        <v>Ostatní maloobchod s potravinami ve specializovaných prodejnách</v>
      </c>
      <c r="U674">
        <f>IF(ISNUMBER(SEARCH('1Př1'!$A$34,N674)),MAX($M$2:M673)+1,0)</f>
        <v>672</v>
      </c>
      <c r="V674" s="336" t="s">
        <v>2759</v>
      </c>
      <c r="W674" t="str">
        <f>IFERROR(VLOOKUP(ROWS($W$3:W674),$U$3:$V$992,2,0),"")</f>
        <v>Ostatní maloobchod s potravinami ve specializovaných prodejnách</v>
      </c>
      <c r="X674">
        <f>IF(ISNUMBER(SEARCH('1Př1'!$A$35,N674)),MAX($M$2:M673)+1,0)</f>
        <v>672</v>
      </c>
      <c r="Y674" s="336" t="s">
        <v>2759</v>
      </c>
      <c r="Z674" t="str">
        <f>IFERROR(VLOOKUP(ROWS($Z$3:Z674),$X$3:$Y$992,2,0),"")</f>
        <v>Ostatní maloobchod s potravinami ve specializovaných prodejnách</v>
      </c>
    </row>
    <row r="675" spans="13:26" ht="12.75">
      <c r="M675" s="335">
        <f>IF(ISNUMBER(SEARCH(ZAKL_DATA!$B$29,N675)),MAX($M$2:M674)+1,0)</f>
        <v>673</v>
      </c>
      <c r="N675" s="336" t="s">
        <v>2761</v>
      </c>
      <c r="O675" s="353" t="s">
        <v>2762</v>
      </c>
      <c r="P675" s="338"/>
      <c r="Q675" s="339" t="str">
        <f>IFERROR(VLOOKUP(ROWS($Q$3:Q675),$M$3:$N$992,2,0),"")</f>
        <v>Maloobchod s počítači, počítačovým periferním zařízením a softwarem</v>
      </c>
      <c r="R675">
        <f>IF(ISNUMBER(SEARCH('1Př1'!$A$33,N675)),MAX($M$2:M674)+1,0)</f>
        <v>673</v>
      </c>
      <c r="S675" s="336" t="s">
        <v>2761</v>
      </c>
      <c r="T675" t="str">
        <f>IFERROR(VLOOKUP(ROWS($T$3:T675),$R$3:$S$992,2,0),"")</f>
        <v>Maloobchod s počítači, počítačovým periferním zařízením a softwarem</v>
      </c>
      <c r="U675">
        <f>IF(ISNUMBER(SEARCH('1Př1'!$A$34,N675)),MAX($M$2:M674)+1,0)</f>
        <v>673</v>
      </c>
      <c r="V675" s="336" t="s">
        <v>2761</v>
      </c>
      <c r="W675" t="str">
        <f>IFERROR(VLOOKUP(ROWS($W$3:W675),$U$3:$V$992,2,0),"")</f>
        <v>Maloobchod s počítači, počítačovým periferním zařízením a softwarem</v>
      </c>
      <c r="X675">
        <f>IF(ISNUMBER(SEARCH('1Př1'!$A$35,N675)),MAX($M$2:M674)+1,0)</f>
        <v>673</v>
      </c>
      <c r="Y675" s="336" t="s">
        <v>2761</v>
      </c>
      <c r="Z675" t="str">
        <f>IFERROR(VLOOKUP(ROWS($Z$3:Z675),$X$3:$Y$992,2,0),"")</f>
        <v>Maloobchod s počítači, počítačovým periferním zařízením a softwarem</v>
      </c>
    </row>
    <row r="676" spans="13:26" ht="12.75">
      <c r="M676" s="335">
        <f>IF(ISNUMBER(SEARCH(ZAKL_DATA!$B$29,N676)),MAX($M$2:M675)+1,0)</f>
        <v>674</v>
      </c>
      <c r="N676" s="336" t="s">
        <v>2763</v>
      </c>
      <c r="O676" s="353" t="s">
        <v>2764</v>
      </c>
      <c r="P676" s="338"/>
      <c r="Q676" s="339" t="str">
        <f>IFERROR(VLOOKUP(ROWS($Q$3:Q676),$M$3:$N$992,2,0),"")</f>
        <v>Maloobchod s telekomunikačním zařízením</v>
      </c>
      <c r="R676">
        <f>IF(ISNUMBER(SEARCH('1Př1'!$A$33,N676)),MAX($M$2:M675)+1,0)</f>
        <v>674</v>
      </c>
      <c r="S676" s="336" t="s">
        <v>2763</v>
      </c>
      <c r="T676" t="str">
        <f>IFERROR(VLOOKUP(ROWS($T$3:T676),$R$3:$S$992,2,0),"")</f>
        <v>Maloobchod s telekomunikačním zařízením</v>
      </c>
      <c r="U676">
        <f>IF(ISNUMBER(SEARCH('1Př1'!$A$34,N676)),MAX($M$2:M675)+1,0)</f>
        <v>674</v>
      </c>
      <c r="V676" s="336" t="s">
        <v>2763</v>
      </c>
      <c r="W676" t="str">
        <f>IFERROR(VLOOKUP(ROWS($W$3:W676),$U$3:$V$992,2,0),"")</f>
        <v>Maloobchod s telekomunikačním zařízením</v>
      </c>
      <c r="X676">
        <f>IF(ISNUMBER(SEARCH('1Př1'!$A$35,N676)),MAX($M$2:M675)+1,0)</f>
        <v>674</v>
      </c>
      <c r="Y676" s="336" t="s">
        <v>2763</v>
      </c>
      <c r="Z676" t="str">
        <f>IFERROR(VLOOKUP(ROWS($Z$3:Z676),$X$3:$Y$992,2,0),"")</f>
        <v>Maloobchod s telekomunikačním zařízením</v>
      </c>
    </row>
    <row r="677" spans="13:26" ht="12.75">
      <c r="M677" s="335">
        <f>IF(ISNUMBER(SEARCH(ZAKL_DATA!$B$29,N677)),MAX($M$2:M676)+1,0)</f>
        <v>675</v>
      </c>
      <c r="N677" s="336" t="s">
        <v>2765</v>
      </c>
      <c r="O677" s="353" t="s">
        <v>2766</v>
      </c>
      <c r="P677" s="338"/>
      <c r="Q677" s="339" t="str">
        <f>IFERROR(VLOOKUP(ROWS($Q$3:Q677),$M$3:$N$992,2,0),"")</f>
        <v>Maloobchod s audio- a videozařízením</v>
      </c>
      <c r="R677">
        <f>IF(ISNUMBER(SEARCH('1Př1'!$A$33,N677)),MAX($M$2:M676)+1,0)</f>
        <v>675</v>
      </c>
      <c r="S677" s="336" t="s">
        <v>2765</v>
      </c>
      <c r="T677" t="str">
        <f>IFERROR(VLOOKUP(ROWS($T$3:T677),$R$3:$S$992,2,0),"")</f>
        <v>Maloobchod s audio- a videozařízením</v>
      </c>
      <c r="U677">
        <f>IF(ISNUMBER(SEARCH('1Př1'!$A$34,N677)),MAX($M$2:M676)+1,0)</f>
        <v>675</v>
      </c>
      <c r="V677" s="336" t="s">
        <v>2765</v>
      </c>
      <c r="W677" t="str">
        <f>IFERROR(VLOOKUP(ROWS($W$3:W677),$U$3:$V$992,2,0),"")</f>
        <v>Maloobchod s audio- a videozařízením</v>
      </c>
      <c r="X677">
        <f>IF(ISNUMBER(SEARCH('1Př1'!$A$35,N677)),MAX($M$2:M676)+1,0)</f>
        <v>675</v>
      </c>
      <c r="Y677" s="336" t="s">
        <v>2765</v>
      </c>
      <c r="Z677" t="str">
        <f>IFERROR(VLOOKUP(ROWS($Z$3:Z677),$X$3:$Y$992,2,0),"")</f>
        <v>Maloobchod s audio- a videozařízením</v>
      </c>
    </row>
    <row r="678" spans="13:26" ht="12.75">
      <c r="M678" s="335">
        <f>IF(ISNUMBER(SEARCH(ZAKL_DATA!$B$29,N678)),MAX($M$2:M677)+1,0)</f>
        <v>676</v>
      </c>
      <c r="N678" s="336" t="s">
        <v>2767</v>
      </c>
      <c r="O678" s="353" t="s">
        <v>2768</v>
      </c>
      <c r="P678" s="338"/>
      <c r="Q678" s="339" t="str">
        <f>IFERROR(VLOOKUP(ROWS($Q$3:Q678),$M$3:$N$992,2,0),"")</f>
        <v>Maloobchod s textilem</v>
      </c>
      <c r="R678">
        <f>IF(ISNUMBER(SEARCH('1Př1'!$A$33,N678)),MAX($M$2:M677)+1,0)</f>
        <v>676</v>
      </c>
      <c r="S678" s="336" t="s">
        <v>2767</v>
      </c>
      <c r="T678" t="str">
        <f>IFERROR(VLOOKUP(ROWS($T$3:T678),$R$3:$S$992,2,0),"")</f>
        <v>Maloobchod s textilem</v>
      </c>
      <c r="U678">
        <f>IF(ISNUMBER(SEARCH('1Př1'!$A$34,N678)),MAX($M$2:M677)+1,0)</f>
        <v>676</v>
      </c>
      <c r="V678" s="336" t="s">
        <v>2767</v>
      </c>
      <c r="W678" t="str">
        <f>IFERROR(VLOOKUP(ROWS($W$3:W678),$U$3:$V$992,2,0),"")</f>
        <v>Maloobchod s textilem</v>
      </c>
      <c r="X678">
        <f>IF(ISNUMBER(SEARCH('1Př1'!$A$35,N678)),MAX($M$2:M677)+1,0)</f>
        <v>676</v>
      </c>
      <c r="Y678" s="336" t="s">
        <v>2767</v>
      </c>
      <c r="Z678" t="str">
        <f>IFERROR(VLOOKUP(ROWS($Z$3:Z678),$X$3:$Y$992,2,0),"")</f>
        <v>Maloobchod s textilem</v>
      </c>
    </row>
    <row r="679" spans="13:26" ht="12.75">
      <c r="M679" s="335">
        <f>IF(ISNUMBER(SEARCH(ZAKL_DATA!$B$29,N679)),MAX($M$2:M678)+1,0)</f>
        <v>677</v>
      </c>
      <c r="N679" s="336" t="s">
        <v>2769</v>
      </c>
      <c r="O679" s="353" t="s">
        <v>2770</v>
      </c>
      <c r="P679" s="338"/>
      <c r="Q679" s="339" t="str">
        <f>IFERROR(VLOOKUP(ROWS($Q$3:Q679),$M$3:$N$992,2,0),"")</f>
        <v>Maloobchod s železářským zbožím, barvami, sklem a potřebami pro kutily</v>
      </c>
      <c r="R679">
        <f>IF(ISNUMBER(SEARCH('1Př1'!$A$33,N679)),MAX($M$2:M678)+1,0)</f>
        <v>677</v>
      </c>
      <c r="S679" s="336" t="s">
        <v>2769</v>
      </c>
      <c r="T679" t="str">
        <f>IFERROR(VLOOKUP(ROWS($T$3:T679),$R$3:$S$992,2,0),"")</f>
        <v>Maloobchod s železářským zbožím, barvami, sklem a potřebami pro kutily</v>
      </c>
      <c r="U679">
        <f>IF(ISNUMBER(SEARCH('1Př1'!$A$34,N679)),MAX($M$2:M678)+1,0)</f>
        <v>677</v>
      </c>
      <c r="V679" s="336" t="s">
        <v>2769</v>
      </c>
      <c r="W679" t="str">
        <f>IFERROR(VLOOKUP(ROWS($W$3:W679),$U$3:$V$992,2,0),"")</f>
        <v>Maloobchod s železářským zbožím, barvami, sklem a potřebami pro kutily</v>
      </c>
      <c r="X679">
        <f>IF(ISNUMBER(SEARCH('1Př1'!$A$35,N679)),MAX($M$2:M678)+1,0)</f>
        <v>677</v>
      </c>
      <c r="Y679" s="336" t="s">
        <v>2769</v>
      </c>
      <c r="Z679" t="str">
        <f>IFERROR(VLOOKUP(ROWS($Z$3:Z679),$X$3:$Y$992,2,0),"")</f>
        <v>Maloobchod s železářským zbožím, barvami, sklem a potřebami pro kutily</v>
      </c>
    </row>
    <row r="680" spans="13:26" ht="12.75">
      <c r="M680" s="335">
        <f>IF(ISNUMBER(SEARCH(ZAKL_DATA!$B$29,N680)),MAX($M$2:M679)+1,0)</f>
        <v>678</v>
      </c>
      <c r="N680" s="336" t="s">
        <v>2771</v>
      </c>
      <c r="O680" s="353" t="s">
        <v>2772</v>
      </c>
      <c r="P680" s="338"/>
      <c r="Q680" s="339" t="str">
        <f>IFERROR(VLOOKUP(ROWS($Q$3:Q680),$M$3:$N$992,2,0),"")</f>
        <v>Maloobchod s koberci, podlahovými krytinami a nástěnnými obklady</v>
      </c>
      <c r="R680">
        <f>IF(ISNUMBER(SEARCH('1Př1'!$A$33,N680)),MAX($M$2:M679)+1,0)</f>
        <v>678</v>
      </c>
      <c r="S680" s="336" t="s">
        <v>2771</v>
      </c>
      <c r="T680" t="str">
        <f>IFERROR(VLOOKUP(ROWS($T$3:T680),$R$3:$S$992,2,0),"")</f>
        <v>Maloobchod s koberci, podlahovými krytinami a nástěnnými obklady</v>
      </c>
      <c r="U680">
        <f>IF(ISNUMBER(SEARCH('1Př1'!$A$34,N680)),MAX($M$2:M679)+1,0)</f>
        <v>678</v>
      </c>
      <c r="V680" s="336" t="s">
        <v>2771</v>
      </c>
      <c r="W680" t="str">
        <f>IFERROR(VLOOKUP(ROWS($W$3:W680),$U$3:$V$992,2,0),"")</f>
        <v>Maloobchod s koberci, podlahovými krytinami a nástěnnými obklady</v>
      </c>
      <c r="X680">
        <f>IF(ISNUMBER(SEARCH('1Př1'!$A$35,N680)),MAX($M$2:M679)+1,0)</f>
        <v>678</v>
      </c>
      <c r="Y680" s="336" t="s">
        <v>2771</v>
      </c>
      <c r="Z680" t="str">
        <f>IFERROR(VLOOKUP(ROWS($Z$3:Z680),$X$3:$Y$992,2,0),"")</f>
        <v>Maloobchod s koberci, podlahovými krytinami a nástěnnými obklady</v>
      </c>
    </row>
    <row r="681" spans="13:26" ht="12.75">
      <c r="M681" s="335">
        <f>IF(ISNUMBER(SEARCH(ZAKL_DATA!$B$29,N681)),MAX($M$2:M680)+1,0)</f>
        <v>679</v>
      </c>
      <c r="N681" s="336" t="s">
        <v>2773</v>
      </c>
      <c r="O681" s="353" t="s">
        <v>2774</v>
      </c>
      <c r="P681" s="338"/>
      <c r="Q681" s="339" t="str">
        <f>IFERROR(VLOOKUP(ROWS($Q$3:Q681),$M$3:$N$992,2,0),"")</f>
        <v>Maloobchod s elektrospotřebiči a elektronikou</v>
      </c>
      <c r="R681">
        <f>IF(ISNUMBER(SEARCH('1Př1'!$A$33,N681)),MAX($M$2:M680)+1,0)</f>
        <v>679</v>
      </c>
      <c r="S681" s="336" t="s">
        <v>2773</v>
      </c>
      <c r="T681" t="str">
        <f>IFERROR(VLOOKUP(ROWS($T$3:T681),$R$3:$S$992,2,0),"")</f>
        <v>Maloobchod s elektrospotřebiči a elektronikou</v>
      </c>
      <c r="U681">
        <f>IF(ISNUMBER(SEARCH('1Př1'!$A$34,N681)),MAX($M$2:M680)+1,0)</f>
        <v>679</v>
      </c>
      <c r="V681" s="336" t="s">
        <v>2773</v>
      </c>
      <c r="W681" t="str">
        <f>IFERROR(VLOOKUP(ROWS($W$3:W681),$U$3:$V$992,2,0),"")</f>
        <v>Maloobchod s elektrospotřebiči a elektronikou</v>
      </c>
      <c r="X681">
        <f>IF(ISNUMBER(SEARCH('1Př1'!$A$35,N681)),MAX($M$2:M680)+1,0)</f>
        <v>679</v>
      </c>
      <c r="Y681" s="336" t="s">
        <v>2773</v>
      </c>
      <c r="Z681" t="str">
        <f>IFERROR(VLOOKUP(ROWS($Z$3:Z681),$X$3:$Y$992,2,0),"")</f>
        <v>Maloobchod s elektrospotřebiči a elektronikou</v>
      </c>
    </row>
    <row r="682" spans="13:26" ht="12.75">
      <c r="M682" s="335">
        <f>IF(ISNUMBER(SEARCH(ZAKL_DATA!$B$29,N682)),MAX($M$2:M681)+1,0)</f>
        <v>680</v>
      </c>
      <c r="N682" s="336" t="s">
        <v>2775</v>
      </c>
      <c r="O682" s="353" t="s">
        <v>2776</v>
      </c>
      <c r="P682" s="338"/>
      <c r="Q682" s="339" t="str">
        <f>IFERROR(VLOOKUP(ROWS($Q$3:Q682),$M$3:$N$992,2,0),"")</f>
        <v>Maloobchod s nábytkem,svítidly a ost.výr.přev.pro dom.ve specializ.prod.</v>
      </c>
      <c r="R682">
        <f>IF(ISNUMBER(SEARCH('1Př1'!$A$33,N682)),MAX($M$2:M681)+1,0)</f>
        <v>680</v>
      </c>
      <c r="S682" s="336" t="s">
        <v>2775</v>
      </c>
      <c r="T682" t="str">
        <f>IFERROR(VLOOKUP(ROWS($T$3:T682),$R$3:$S$992,2,0),"")</f>
        <v>Maloobchod s nábytkem,svítidly a ost.výr.přev.pro dom.ve specializ.prod.</v>
      </c>
      <c r="U682">
        <f>IF(ISNUMBER(SEARCH('1Př1'!$A$34,N682)),MAX($M$2:M681)+1,0)</f>
        <v>680</v>
      </c>
      <c r="V682" s="336" t="s">
        <v>2775</v>
      </c>
      <c r="W682" t="str">
        <f>IFERROR(VLOOKUP(ROWS($W$3:W682),$U$3:$V$992,2,0),"")</f>
        <v>Maloobchod s nábytkem,svítidly a ost.výr.přev.pro dom.ve specializ.prod.</v>
      </c>
      <c r="X682">
        <f>IF(ISNUMBER(SEARCH('1Př1'!$A$35,N682)),MAX($M$2:M681)+1,0)</f>
        <v>680</v>
      </c>
      <c r="Y682" s="336" t="s">
        <v>2775</v>
      </c>
      <c r="Z682" t="str">
        <f>IFERROR(VLOOKUP(ROWS($Z$3:Z682),$X$3:$Y$992,2,0),"")</f>
        <v>Maloobchod s nábytkem,svítidly a ost.výr.přev.pro dom.ve specializ.prod.</v>
      </c>
    </row>
    <row r="683" spans="13:26" ht="12.75">
      <c r="M683" s="335">
        <f>IF(ISNUMBER(SEARCH(ZAKL_DATA!$B$29,N683)),MAX($M$2:M682)+1,0)</f>
        <v>681</v>
      </c>
      <c r="N683" s="336" t="s">
        <v>2777</v>
      </c>
      <c r="O683" s="353" t="s">
        <v>2778</v>
      </c>
      <c r="P683" s="338"/>
      <c r="Q683" s="339" t="str">
        <f>IFERROR(VLOOKUP(ROWS($Q$3:Q683),$M$3:$N$992,2,0),"")</f>
        <v>Maloobchod s knihami</v>
      </c>
      <c r="R683">
        <f>IF(ISNUMBER(SEARCH('1Př1'!$A$33,N683)),MAX($M$2:M682)+1,0)</f>
        <v>681</v>
      </c>
      <c r="S683" s="336" t="s">
        <v>2777</v>
      </c>
      <c r="T683" t="str">
        <f>IFERROR(VLOOKUP(ROWS($T$3:T683),$R$3:$S$992,2,0),"")</f>
        <v>Maloobchod s knihami</v>
      </c>
      <c r="U683">
        <f>IF(ISNUMBER(SEARCH('1Př1'!$A$34,N683)),MAX($M$2:M682)+1,0)</f>
        <v>681</v>
      </c>
      <c r="V683" s="336" t="s">
        <v>2777</v>
      </c>
      <c r="W683" t="str">
        <f>IFERROR(VLOOKUP(ROWS($W$3:W683),$U$3:$V$992,2,0),"")</f>
        <v>Maloobchod s knihami</v>
      </c>
      <c r="X683">
        <f>IF(ISNUMBER(SEARCH('1Př1'!$A$35,N683)),MAX($M$2:M682)+1,0)</f>
        <v>681</v>
      </c>
      <c r="Y683" s="336" t="s">
        <v>2777</v>
      </c>
      <c r="Z683" t="str">
        <f>IFERROR(VLOOKUP(ROWS($Z$3:Z683),$X$3:$Y$992,2,0),"")</f>
        <v>Maloobchod s knihami</v>
      </c>
    </row>
    <row r="684" spans="13:26" ht="12.75">
      <c r="M684" s="335">
        <f>IF(ISNUMBER(SEARCH(ZAKL_DATA!$B$29,N684)),MAX($M$2:M683)+1,0)</f>
        <v>682</v>
      </c>
      <c r="N684" s="336" t="s">
        <v>2779</v>
      </c>
      <c r="O684" s="353" t="s">
        <v>2780</v>
      </c>
      <c r="P684" s="338"/>
      <c r="Q684" s="339" t="str">
        <f>IFERROR(VLOOKUP(ROWS($Q$3:Q684),$M$3:$N$992,2,0),"")</f>
        <v>Maloobchod s novinami, časopisy a papírnickým zbožím</v>
      </c>
      <c r="R684">
        <f>IF(ISNUMBER(SEARCH('1Př1'!$A$33,N684)),MAX($M$2:M683)+1,0)</f>
        <v>682</v>
      </c>
      <c r="S684" s="336" t="s">
        <v>2779</v>
      </c>
      <c r="T684" t="str">
        <f>IFERROR(VLOOKUP(ROWS($T$3:T684),$R$3:$S$992,2,0),"")</f>
        <v>Maloobchod s novinami, časopisy a papírnickým zbožím</v>
      </c>
      <c r="U684">
        <f>IF(ISNUMBER(SEARCH('1Př1'!$A$34,N684)),MAX($M$2:M683)+1,0)</f>
        <v>682</v>
      </c>
      <c r="V684" s="336" t="s">
        <v>2779</v>
      </c>
      <c r="W684" t="str">
        <f>IFERROR(VLOOKUP(ROWS($W$3:W684),$U$3:$V$992,2,0),"")</f>
        <v>Maloobchod s novinami, časopisy a papírnickým zbožím</v>
      </c>
      <c r="X684">
        <f>IF(ISNUMBER(SEARCH('1Př1'!$A$35,N684)),MAX($M$2:M683)+1,0)</f>
        <v>682</v>
      </c>
      <c r="Y684" s="336" t="s">
        <v>2779</v>
      </c>
      <c r="Z684" t="str">
        <f>IFERROR(VLOOKUP(ROWS($Z$3:Z684),$X$3:$Y$992,2,0),"")</f>
        <v>Maloobchod s novinami, časopisy a papírnickým zbožím</v>
      </c>
    </row>
    <row r="685" spans="13:26" ht="12.75">
      <c r="M685" s="335">
        <f>IF(ISNUMBER(SEARCH(ZAKL_DATA!$B$29,N685)),MAX($M$2:M684)+1,0)</f>
        <v>683</v>
      </c>
      <c r="N685" s="336" t="s">
        <v>2781</v>
      </c>
      <c r="O685" s="353" t="s">
        <v>2782</v>
      </c>
      <c r="P685" s="338"/>
      <c r="Q685" s="339" t="str">
        <f>IFERROR(VLOOKUP(ROWS($Q$3:Q685),$M$3:$N$992,2,0),"")</f>
        <v>Maloobchod s audio- a videozáznamy</v>
      </c>
      <c r="R685">
        <f>IF(ISNUMBER(SEARCH('1Př1'!$A$33,N685)),MAX($M$2:M684)+1,0)</f>
        <v>683</v>
      </c>
      <c r="S685" s="336" t="s">
        <v>2781</v>
      </c>
      <c r="T685" t="str">
        <f>IFERROR(VLOOKUP(ROWS($T$3:T685),$R$3:$S$992,2,0),"")</f>
        <v>Maloobchod s audio- a videozáznamy</v>
      </c>
      <c r="U685">
        <f>IF(ISNUMBER(SEARCH('1Př1'!$A$34,N685)),MAX($M$2:M684)+1,0)</f>
        <v>683</v>
      </c>
      <c r="V685" s="336" t="s">
        <v>2781</v>
      </c>
      <c r="W685" t="str">
        <f>IFERROR(VLOOKUP(ROWS($W$3:W685),$U$3:$V$992,2,0),"")</f>
        <v>Maloobchod s audio- a videozáznamy</v>
      </c>
      <c r="X685">
        <f>IF(ISNUMBER(SEARCH('1Př1'!$A$35,N685)),MAX($M$2:M684)+1,0)</f>
        <v>683</v>
      </c>
      <c r="Y685" s="336" t="s">
        <v>2781</v>
      </c>
      <c r="Z685" t="str">
        <f>IFERROR(VLOOKUP(ROWS($Z$3:Z685),$X$3:$Y$992,2,0),"")</f>
        <v>Maloobchod s audio- a videozáznamy</v>
      </c>
    </row>
    <row r="686" spans="13:26" ht="12.75">
      <c r="M686" s="335">
        <f>IF(ISNUMBER(SEARCH(ZAKL_DATA!$B$29,N686)),MAX($M$2:M685)+1,0)</f>
        <v>684</v>
      </c>
      <c r="N686" s="336" t="s">
        <v>2783</v>
      </c>
      <c r="O686" s="353" t="s">
        <v>2784</v>
      </c>
      <c r="P686" s="338"/>
      <c r="Q686" s="339" t="str">
        <f>IFERROR(VLOOKUP(ROWS($Q$3:Q686),$M$3:$N$992,2,0),"")</f>
        <v>Maloobchod se sportovním vybavením</v>
      </c>
      <c r="R686">
        <f>IF(ISNUMBER(SEARCH('1Př1'!$A$33,N686)),MAX($M$2:M685)+1,0)</f>
        <v>684</v>
      </c>
      <c r="S686" s="336" t="s">
        <v>2783</v>
      </c>
      <c r="T686" t="str">
        <f>IFERROR(VLOOKUP(ROWS($T$3:T686),$R$3:$S$992,2,0),"")</f>
        <v>Maloobchod se sportovním vybavením</v>
      </c>
      <c r="U686">
        <f>IF(ISNUMBER(SEARCH('1Př1'!$A$34,N686)),MAX($M$2:M685)+1,0)</f>
        <v>684</v>
      </c>
      <c r="V686" s="336" t="s">
        <v>2783</v>
      </c>
      <c r="W686" t="str">
        <f>IFERROR(VLOOKUP(ROWS($W$3:W686),$U$3:$V$992,2,0),"")</f>
        <v>Maloobchod se sportovním vybavením</v>
      </c>
      <c r="X686">
        <f>IF(ISNUMBER(SEARCH('1Př1'!$A$35,N686)),MAX($M$2:M685)+1,0)</f>
        <v>684</v>
      </c>
      <c r="Y686" s="336" t="s">
        <v>2783</v>
      </c>
      <c r="Z686" t="str">
        <f>IFERROR(VLOOKUP(ROWS($Z$3:Z686),$X$3:$Y$992,2,0),"")</f>
        <v>Maloobchod se sportovním vybavením</v>
      </c>
    </row>
    <row r="687" spans="13:26" ht="12.75">
      <c r="M687" s="335">
        <f>IF(ISNUMBER(SEARCH(ZAKL_DATA!$B$29,N687)),MAX($M$2:M686)+1,0)</f>
        <v>685</v>
      </c>
      <c r="N687" s="336" t="s">
        <v>2785</v>
      </c>
      <c r="O687" s="353" t="s">
        <v>2786</v>
      </c>
      <c r="P687" s="338"/>
      <c r="Q687" s="339" t="str">
        <f>IFERROR(VLOOKUP(ROWS($Q$3:Q687),$M$3:$N$992,2,0),"")</f>
        <v>Maloobchod s hrami a hračkami</v>
      </c>
      <c r="R687">
        <f>IF(ISNUMBER(SEARCH('1Př1'!$A$33,N687)),MAX($M$2:M686)+1,0)</f>
        <v>685</v>
      </c>
      <c r="S687" s="336" t="s">
        <v>2785</v>
      </c>
      <c r="T687" t="str">
        <f>IFERROR(VLOOKUP(ROWS($T$3:T687),$R$3:$S$992,2,0),"")</f>
        <v>Maloobchod s hrami a hračkami</v>
      </c>
      <c r="U687">
        <f>IF(ISNUMBER(SEARCH('1Př1'!$A$34,N687)),MAX($M$2:M686)+1,0)</f>
        <v>685</v>
      </c>
      <c r="V687" s="336" t="s">
        <v>2785</v>
      </c>
      <c r="W687" t="str">
        <f>IFERROR(VLOOKUP(ROWS($W$3:W687),$U$3:$V$992,2,0),"")</f>
        <v>Maloobchod s hrami a hračkami</v>
      </c>
      <c r="X687">
        <f>IF(ISNUMBER(SEARCH('1Př1'!$A$35,N687)),MAX($M$2:M686)+1,0)</f>
        <v>685</v>
      </c>
      <c r="Y687" s="336" t="s">
        <v>2785</v>
      </c>
      <c r="Z687" t="str">
        <f>IFERROR(VLOOKUP(ROWS($Z$3:Z687),$X$3:$Y$992,2,0),"")</f>
        <v>Maloobchod s hrami a hračkami</v>
      </c>
    </row>
    <row r="688" spans="13:26" ht="12.75">
      <c r="M688" s="335">
        <f>IF(ISNUMBER(SEARCH(ZAKL_DATA!$B$29,N688)),MAX($M$2:M687)+1,0)</f>
        <v>686</v>
      </c>
      <c r="N688" s="336" t="s">
        <v>2787</v>
      </c>
      <c r="O688" s="353" t="s">
        <v>2788</v>
      </c>
      <c r="P688" s="338"/>
      <c r="Q688" s="339" t="str">
        <f>IFERROR(VLOOKUP(ROWS($Q$3:Q688),$M$3:$N$992,2,0),"")</f>
        <v>Maloobchod s oděvy</v>
      </c>
      <c r="R688">
        <f>IF(ISNUMBER(SEARCH('1Př1'!$A$33,N688)),MAX($M$2:M687)+1,0)</f>
        <v>686</v>
      </c>
      <c r="S688" s="336" t="s">
        <v>2787</v>
      </c>
      <c r="T688" t="str">
        <f>IFERROR(VLOOKUP(ROWS($T$3:T688),$R$3:$S$992,2,0),"")</f>
        <v>Maloobchod s oděvy</v>
      </c>
      <c r="U688">
        <f>IF(ISNUMBER(SEARCH('1Př1'!$A$34,N688)),MAX($M$2:M687)+1,0)</f>
        <v>686</v>
      </c>
      <c r="V688" s="336" t="s">
        <v>2787</v>
      </c>
      <c r="W688" t="str">
        <f>IFERROR(VLOOKUP(ROWS($W$3:W688),$U$3:$V$992,2,0),"")</f>
        <v>Maloobchod s oděvy</v>
      </c>
      <c r="X688">
        <f>IF(ISNUMBER(SEARCH('1Př1'!$A$35,N688)),MAX($M$2:M687)+1,0)</f>
        <v>686</v>
      </c>
      <c r="Y688" s="336" t="s">
        <v>2787</v>
      </c>
      <c r="Z688" t="str">
        <f>IFERROR(VLOOKUP(ROWS($Z$3:Z688),$X$3:$Y$992,2,0),"")</f>
        <v>Maloobchod s oděvy</v>
      </c>
    </row>
    <row r="689" spans="13:26" ht="12.75">
      <c r="M689" s="335">
        <f>IF(ISNUMBER(SEARCH(ZAKL_DATA!$B$29,N689)),MAX($M$2:M688)+1,0)</f>
        <v>687</v>
      </c>
      <c r="N689" s="336" t="s">
        <v>2789</v>
      </c>
      <c r="O689" s="353" t="s">
        <v>2790</v>
      </c>
      <c r="P689" s="338"/>
      <c r="Q689" s="339" t="str">
        <f>IFERROR(VLOOKUP(ROWS($Q$3:Q689),$M$3:$N$992,2,0),"")</f>
        <v>Maloobchod s obuví a koženými výrobky</v>
      </c>
      <c r="R689">
        <f>IF(ISNUMBER(SEARCH('1Př1'!$A$33,N689)),MAX($M$2:M688)+1,0)</f>
        <v>687</v>
      </c>
      <c r="S689" s="336" t="s">
        <v>2789</v>
      </c>
      <c r="T689" t="str">
        <f>IFERROR(VLOOKUP(ROWS($T$3:T689),$R$3:$S$992,2,0),"")</f>
        <v>Maloobchod s obuví a koženými výrobky</v>
      </c>
      <c r="U689">
        <f>IF(ISNUMBER(SEARCH('1Př1'!$A$34,N689)),MAX($M$2:M688)+1,0)</f>
        <v>687</v>
      </c>
      <c r="V689" s="336" t="s">
        <v>2789</v>
      </c>
      <c r="W689" t="str">
        <f>IFERROR(VLOOKUP(ROWS($W$3:W689),$U$3:$V$992,2,0),"")</f>
        <v>Maloobchod s obuví a koženými výrobky</v>
      </c>
      <c r="X689">
        <f>IF(ISNUMBER(SEARCH('1Př1'!$A$35,N689)),MAX($M$2:M688)+1,0)</f>
        <v>687</v>
      </c>
      <c r="Y689" s="336" t="s">
        <v>2789</v>
      </c>
      <c r="Z689" t="str">
        <f>IFERROR(VLOOKUP(ROWS($Z$3:Z689),$X$3:$Y$992,2,0),"")</f>
        <v>Maloobchod s obuví a koženými výrobky</v>
      </c>
    </row>
    <row r="690" spans="13:26" ht="12.75">
      <c r="M690" s="335">
        <f>IF(ISNUMBER(SEARCH(ZAKL_DATA!$B$29,N690)),MAX($M$2:M689)+1,0)</f>
        <v>688</v>
      </c>
      <c r="N690" s="336" t="s">
        <v>2791</v>
      </c>
      <c r="O690" s="353" t="s">
        <v>2792</v>
      </c>
      <c r="P690" s="338"/>
      <c r="Q690" s="339" t="str">
        <f>IFERROR(VLOOKUP(ROWS($Q$3:Q690),$M$3:$N$992,2,0),"")</f>
        <v>Maloobchod s farmaceutickými přípravky</v>
      </c>
      <c r="R690">
        <f>IF(ISNUMBER(SEARCH('1Př1'!$A$33,N690)),MAX($M$2:M689)+1,0)</f>
        <v>688</v>
      </c>
      <c r="S690" s="336" t="s">
        <v>2791</v>
      </c>
      <c r="T690" t="str">
        <f>IFERROR(VLOOKUP(ROWS($T$3:T690),$R$3:$S$992,2,0),"")</f>
        <v>Maloobchod s farmaceutickými přípravky</v>
      </c>
      <c r="U690">
        <f>IF(ISNUMBER(SEARCH('1Př1'!$A$34,N690)),MAX($M$2:M689)+1,0)</f>
        <v>688</v>
      </c>
      <c r="V690" s="336" t="s">
        <v>2791</v>
      </c>
      <c r="W690" t="str">
        <f>IFERROR(VLOOKUP(ROWS($W$3:W690),$U$3:$V$992,2,0),"")</f>
        <v>Maloobchod s farmaceutickými přípravky</v>
      </c>
      <c r="X690">
        <f>IF(ISNUMBER(SEARCH('1Př1'!$A$35,N690)),MAX($M$2:M689)+1,0)</f>
        <v>688</v>
      </c>
      <c r="Y690" s="336" t="s">
        <v>2791</v>
      </c>
      <c r="Z690" t="str">
        <f>IFERROR(VLOOKUP(ROWS($Z$3:Z690),$X$3:$Y$992,2,0),"")</f>
        <v>Maloobchod s farmaceutickými přípravky</v>
      </c>
    </row>
    <row r="691" spans="13:26" ht="12.75">
      <c r="M691" s="335">
        <f>IF(ISNUMBER(SEARCH(ZAKL_DATA!$B$29,N691)),MAX($M$2:M690)+1,0)</f>
        <v>689</v>
      </c>
      <c r="N691" s="336" t="s">
        <v>2793</v>
      </c>
      <c r="O691" s="353" t="s">
        <v>2794</v>
      </c>
      <c r="P691" s="338"/>
      <c r="Q691" s="339" t="str">
        <f>IFERROR(VLOOKUP(ROWS($Q$3:Q691),$M$3:$N$992,2,0),"")</f>
        <v>Maloobchod se zdravotnickými a ortopedickými výrobky</v>
      </c>
      <c r="R691">
        <f>IF(ISNUMBER(SEARCH('1Př1'!$A$33,N691)),MAX($M$2:M690)+1,0)</f>
        <v>689</v>
      </c>
      <c r="S691" s="336" t="s">
        <v>2793</v>
      </c>
      <c r="T691" t="str">
        <f>IFERROR(VLOOKUP(ROWS($T$3:T691),$R$3:$S$992,2,0),"")</f>
        <v>Maloobchod se zdravotnickými a ortopedickými výrobky</v>
      </c>
      <c r="U691">
        <f>IF(ISNUMBER(SEARCH('1Př1'!$A$34,N691)),MAX($M$2:M690)+1,0)</f>
        <v>689</v>
      </c>
      <c r="V691" s="336" t="s">
        <v>2793</v>
      </c>
      <c r="W691" t="str">
        <f>IFERROR(VLOOKUP(ROWS($W$3:W691),$U$3:$V$992,2,0),"")</f>
        <v>Maloobchod se zdravotnickými a ortopedickými výrobky</v>
      </c>
      <c r="X691">
        <f>IF(ISNUMBER(SEARCH('1Př1'!$A$35,N691)),MAX($M$2:M690)+1,0)</f>
        <v>689</v>
      </c>
      <c r="Y691" s="336" t="s">
        <v>2793</v>
      </c>
      <c r="Z691" t="str">
        <f>IFERROR(VLOOKUP(ROWS($Z$3:Z691),$X$3:$Y$992,2,0),"")</f>
        <v>Maloobchod se zdravotnickými a ortopedickými výrobky</v>
      </c>
    </row>
    <row r="692" spans="13:26" ht="12.75">
      <c r="M692" s="335">
        <f>IF(ISNUMBER(SEARCH(ZAKL_DATA!$B$29,N692)),MAX($M$2:M691)+1,0)</f>
        <v>690</v>
      </c>
      <c r="N692" s="336" t="s">
        <v>2795</v>
      </c>
      <c r="O692" s="353" t="s">
        <v>2796</v>
      </c>
      <c r="P692" s="338"/>
      <c r="Q692" s="339" t="str">
        <f>IFERROR(VLOOKUP(ROWS($Q$3:Q692),$M$3:$N$992,2,0),"")</f>
        <v>Maloobchod s kosmetickými a toaletními výrobky</v>
      </c>
      <c r="R692">
        <f>IF(ISNUMBER(SEARCH('1Př1'!$A$33,N692)),MAX($M$2:M691)+1,0)</f>
        <v>690</v>
      </c>
      <c r="S692" s="336" t="s">
        <v>2795</v>
      </c>
      <c r="T692" t="str">
        <f>IFERROR(VLOOKUP(ROWS($T$3:T692),$R$3:$S$992,2,0),"")</f>
        <v>Maloobchod s kosmetickými a toaletními výrobky</v>
      </c>
      <c r="U692">
        <f>IF(ISNUMBER(SEARCH('1Př1'!$A$34,N692)),MAX($M$2:M691)+1,0)</f>
        <v>690</v>
      </c>
      <c r="V692" s="336" t="s">
        <v>2795</v>
      </c>
      <c r="W692" t="str">
        <f>IFERROR(VLOOKUP(ROWS($W$3:W692),$U$3:$V$992,2,0),"")</f>
        <v>Maloobchod s kosmetickými a toaletními výrobky</v>
      </c>
      <c r="X692">
        <f>IF(ISNUMBER(SEARCH('1Př1'!$A$35,N692)),MAX($M$2:M691)+1,0)</f>
        <v>690</v>
      </c>
      <c r="Y692" s="336" t="s">
        <v>2795</v>
      </c>
      <c r="Z692" t="str">
        <f>IFERROR(VLOOKUP(ROWS($Z$3:Z692),$X$3:$Y$992,2,0),"")</f>
        <v>Maloobchod s kosmetickými a toaletními výrobky</v>
      </c>
    </row>
    <row r="693" spans="13:26" ht="12.75">
      <c r="M693" s="335">
        <f>IF(ISNUMBER(SEARCH(ZAKL_DATA!$B$29,N693)),MAX($M$2:M692)+1,0)</f>
        <v>691</v>
      </c>
      <c r="N693" s="336" t="s">
        <v>2797</v>
      </c>
      <c r="O693" s="353" t="s">
        <v>2798</v>
      </c>
      <c r="P693" s="338"/>
      <c r="Q693" s="339" t="str">
        <f>IFERROR(VLOOKUP(ROWS($Q$3:Q693),$M$3:$N$992,2,0),"")</f>
        <v>Maloob.s květinami,rostl.,osivy,hnoj.,zvířaty pro záj.chov a krmivy pro ně</v>
      </c>
      <c r="R693">
        <f>IF(ISNUMBER(SEARCH('1Př1'!$A$33,N693)),MAX($M$2:M692)+1,0)</f>
        <v>691</v>
      </c>
      <c r="S693" s="336" t="s">
        <v>2797</v>
      </c>
      <c r="T693" t="str">
        <f>IFERROR(VLOOKUP(ROWS($T$3:T693),$R$3:$S$992,2,0),"")</f>
        <v>Maloob.s květinami,rostl.,osivy,hnoj.,zvířaty pro záj.chov a krmivy pro ně</v>
      </c>
      <c r="U693">
        <f>IF(ISNUMBER(SEARCH('1Př1'!$A$34,N693)),MAX($M$2:M692)+1,0)</f>
        <v>691</v>
      </c>
      <c r="V693" s="336" t="s">
        <v>2797</v>
      </c>
      <c r="W693" t="str">
        <f>IFERROR(VLOOKUP(ROWS($W$3:W693),$U$3:$V$992,2,0),"")</f>
        <v>Maloob.s květinami,rostl.,osivy,hnoj.,zvířaty pro záj.chov a krmivy pro ně</v>
      </c>
      <c r="X693">
        <f>IF(ISNUMBER(SEARCH('1Př1'!$A$35,N693)),MAX($M$2:M692)+1,0)</f>
        <v>691</v>
      </c>
      <c r="Y693" s="336" t="s">
        <v>2797</v>
      </c>
      <c r="Z693" t="str">
        <f>IFERROR(VLOOKUP(ROWS($Z$3:Z693),$X$3:$Y$992,2,0),"")</f>
        <v>Maloob.s květinami,rostl.,osivy,hnoj.,zvířaty pro záj.chov a krmivy pro ně</v>
      </c>
    </row>
    <row r="694" spans="13:26" ht="12.75">
      <c r="M694" s="335">
        <f>IF(ISNUMBER(SEARCH(ZAKL_DATA!$B$29,N694)),MAX($M$2:M693)+1,0)</f>
        <v>692</v>
      </c>
      <c r="N694" s="336" t="s">
        <v>2799</v>
      </c>
      <c r="O694" s="353" t="s">
        <v>2800</v>
      </c>
      <c r="P694" s="338"/>
      <c r="Q694" s="339" t="str">
        <f>IFERROR(VLOOKUP(ROWS($Q$3:Q694),$M$3:$N$992,2,0),"")</f>
        <v>Maloobchod s hodinami, hodinkami a klenoty</v>
      </c>
      <c r="R694">
        <f>IF(ISNUMBER(SEARCH('1Př1'!$A$33,N694)),MAX($M$2:M693)+1,0)</f>
        <v>692</v>
      </c>
      <c r="S694" s="336" t="s">
        <v>2799</v>
      </c>
      <c r="T694" t="str">
        <f>IFERROR(VLOOKUP(ROWS($T$3:T694),$R$3:$S$992,2,0),"")</f>
        <v>Maloobchod s hodinami, hodinkami a klenoty</v>
      </c>
      <c r="U694">
        <f>IF(ISNUMBER(SEARCH('1Př1'!$A$34,N694)),MAX($M$2:M693)+1,0)</f>
        <v>692</v>
      </c>
      <c r="V694" s="336" t="s">
        <v>2799</v>
      </c>
      <c r="W694" t="str">
        <f>IFERROR(VLOOKUP(ROWS($W$3:W694),$U$3:$V$992,2,0),"")</f>
        <v>Maloobchod s hodinami, hodinkami a klenoty</v>
      </c>
      <c r="X694">
        <f>IF(ISNUMBER(SEARCH('1Př1'!$A$35,N694)),MAX($M$2:M693)+1,0)</f>
        <v>692</v>
      </c>
      <c r="Y694" s="336" t="s">
        <v>2799</v>
      </c>
      <c r="Z694" t="str">
        <f>IFERROR(VLOOKUP(ROWS($Z$3:Z694),$X$3:$Y$992,2,0),"")</f>
        <v>Maloobchod s hodinami, hodinkami a klenoty</v>
      </c>
    </row>
    <row r="695" spans="13:26" ht="12.75">
      <c r="M695" s="335">
        <f>IF(ISNUMBER(SEARCH(ZAKL_DATA!$B$29,N695)),MAX($M$2:M694)+1,0)</f>
        <v>693</v>
      </c>
      <c r="N695" s="336" t="s">
        <v>2801</v>
      </c>
      <c r="O695" s="353" t="s">
        <v>2802</v>
      </c>
      <c r="P695" s="338"/>
      <c r="Q695" s="339" t="str">
        <f>IFERROR(VLOOKUP(ROWS($Q$3:Q695),$M$3:$N$992,2,0),"")</f>
        <v>Ostatní maloobchod s novým zbožím ve specializovaných prodejnách</v>
      </c>
      <c r="R695">
        <f>IF(ISNUMBER(SEARCH('1Př1'!$A$33,N695)),MAX($M$2:M694)+1,0)</f>
        <v>693</v>
      </c>
      <c r="S695" s="336" t="s">
        <v>2801</v>
      </c>
      <c r="T695" t="str">
        <f>IFERROR(VLOOKUP(ROWS($T$3:T695),$R$3:$S$992,2,0),"")</f>
        <v>Ostatní maloobchod s novým zbožím ve specializovaných prodejnách</v>
      </c>
      <c r="U695">
        <f>IF(ISNUMBER(SEARCH('1Př1'!$A$34,N695)),MAX($M$2:M694)+1,0)</f>
        <v>693</v>
      </c>
      <c r="V695" s="336" t="s">
        <v>2801</v>
      </c>
      <c r="W695" t="str">
        <f>IFERROR(VLOOKUP(ROWS($W$3:W695),$U$3:$V$992,2,0),"")</f>
        <v>Ostatní maloobchod s novým zbožím ve specializovaných prodejnách</v>
      </c>
      <c r="X695">
        <f>IF(ISNUMBER(SEARCH('1Př1'!$A$35,N695)),MAX($M$2:M694)+1,0)</f>
        <v>693</v>
      </c>
      <c r="Y695" s="336" t="s">
        <v>2801</v>
      </c>
      <c r="Z695" t="str">
        <f>IFERROR(VLOOKUP(ROWS($Z$3:Z695),$X$3:$Y$992,2,0),"")</f>
        <v>Ostatní maloobchod s novým zbožím ve specializovaných prodejnách</v>
      </c>
    </row>
    <row r="696" spans="13:26" ht="12.75">
      <c r="M696" s="335">
        <f>IF(ISNUMBER(SEARCH(ZAKL_DATA!$B$29,N696)),MAX($M$2:M695)+1,0)</f>
        <v>694</v>
      </c>
      <c r="N696" s="336" t="s">
        <v>2803</v>
      </c>
      <c r="O696" s="353" t="s">
        <v>2804</v>
      </c>
      <c r="P696" s="338"/>
      <c r="Q696" s="339" t="str">
        <f>IFERROR(VLOOKUP(ROWS($Q$3:Q696),$M$3:$N$992,2,0),"")</f>
        <v>Maloobchod s použitým zbožím v prodejnách</v>
      </c>
      <c r="R696">
        <f>IF(ISNUMBER(SEARCH('1Př1'!$A$33,N696)),MAX($M$2:M695)+1,0)</f>
        <v>694</v>
      </c>
      <c r="S696" s="336" t="s">
        <v>2803</v>
      </c>
      <c r="T696" t="str">
        <f>IFERROR(VLOOKUP(ROWS($T$3:T696),$R$3:$S$992,2,0),"")</f>
        <v>Maloobchod s použitým zbožím v prodejnách</v>
      </c>
      <c r="U696">
        <f>IF(ISNUMBER(SEARCH('1Př1'!$A$34,N696)),MAX($M$2:M695)+1,0)</f>
        <v>694</v>
      </c>
      <c r="V696" s="336" t="s">
        <v>2803</v>
      </c>
      <c r="W696" t="str">
        <f>IFERROR(VLOOKUP(ROWS($W$3:W696),$U$3:$V$992,2,0),"")</f>
        <v>Maloobchod s použitým zbožím v prodejnách</v>
      </c>
      <c r="X696">
        <f>IF(ISNUMBER(SEARCH('1Př1'!$A$35,N696)),MAX($M$2:M695)+1,0)</f>
        <v>694</v>
      </c>
      <c r="Y696" s="336" t="s">
        <v>2803</v>
      </c>
      <c r="Z696" t="str">
        <f>IFERROR(VLOOKUP(ROWS($Z$3:Z696),$X$3:$Y$992,2,0),"")</f>
        <v>Maloobchod s použitým zbožím v prodejnách</v>
      </c>
    </row>
    <row r="697" spans="13:26" ht="12.75">
      <c r="M697" s="335">
        <f>IF(ISNUMBER(SEARCH(ZAKL_DATA!$B$29,N697)),MAX($M$2:M696)+1,0)</f>
        <v>695</v>
      </c>
      <c r="N697" s="336" t="s">
        <v>2805</v>
      </c>
      <c r="O697" s="353" t="s">
        <v>2806</v>
      </c>
      <c r="P697" s="338"/>
      <c r="Q697" s="339" t="str">
        <f>IFERROR(VLOOKUP(ROWS($Q$3:Q697),$M$3:$N$992,2,0),"")</f>
        <v>Maloobchod s potravinami,nápoji a tabák.výrobky ve stáncích a na trzích</v>
      </c>
      <c r="R697">
        <f>IF(ISNUMBER(SEARCH('1Př1'!$A$33,N697)),MAX($M$2:M696)+1,0)</f>
        <v>695</v>
      </c>
      <c r="S697" s="336" t="s">
        <v>2805</v>
      </c>
      <c r="T697" t="str">
        <f>IFERROR(VLOOKUP(ROWS($T$3:T697),$R$3:$S$992,2,0),"")</f>
        <v>Maloobchod s potravinami,nápoji a tabák.výrobky ve stáncích a na trzích</v>
      </c>
      <c r="U697">
        <f>IF(ISNUMBER(SEARCH('1Př1'!$A$34,N697)),MAX($M$2:M696)+1,0)</f>
        <v>695</v>
      </c>
      <c r="V697" s="336" t="s">
        <v>2805</v>
      </c>
      <c r="W697" t="str">
        <f>IFERROR(VLOOKUP(ROWS($W$3:W697),$U$3:$V$992,2,0),"")</f>
        <v>Maloobchod s potravinami,nápoji a tabák.výrobky ve stáncích a na trzích</v>
      </c>
      <c r="X697">
        <f>IF(ISNUMBER(SEARCH('1Př1'!$A$35,N697)),MAX($M$2:M696)+1,0)</f>
        <v>695</v>
      </c>
      <c r="Y697" s="336" t="s">
        <v>2805</v>
      </c>
      <c r="Z697" t="str">
        <f>IFERROR(VLOOKUP(ROWS($Z$3:Z697),$X$3:$Y$992,2,0),"")</f>
        <v>Maloobchod s potravinami,nápoji a tabák.výrobky ve stáncích a na trzích</v>
      </c>
    </row>
    <row r="698" spans="13:26" ht="12.75">
      <c r="M698" s="335">
        <f>IF(ISNUMBER(SEARCH(ZAKL_DATA!$B$29,N698)),MAX($M$2:M697)+1,0)</f>
        <v>696</v>
      </c>
      <c r="N698" s="336" t="s">
        <v>2807</v>
      </c>
      <c r="O698" s="353" t="s">
        <v>2808</v>
      </c>
      <c r="P698" s="338"/>
      <c r="Q698" s="339" t="str">
        <f>IFERROR(VLOOKUP(ROWS($Q$3:Q698),$M$3:$N$992,2,0),"")</f>
        <v>Maloobchod s textilem, oděvy a obuví ve stáncích a na trzích</v>
      </c>
      <c r="R698">
        <f>IF(ISNUMBER(SEARCH('1Př1'!$A$33,N698)),MAX($M$2:M697)+1,0)</f>
        <v>696</v>
      </c>
      <c r="S698" s="336" t="s">
        <v>2807</v>
      </c>
      <c r="T698" t="str">
        <f>IFERROR(VLOOKUP(ROWS($T$3:T698),$R$3:$S$992,2,0),"")</f>
        <v>Maloobchod s textilem, oděvy a obuví ve stáncích a na trzích</v>
      </c>
      <c r="U698">
        <f>IF(ISNUMBER(SEARCH('1Př1'!$A$34,N698)),MAX($M$2:M697)+1,0)</f>
        <v>696</v>
      </c>
      <c r="V698" s="336" t="s">
        <v>2807</v>
      </c>
      <c r="W698" t="str">
        <f>IFERROR(VLOOKUP(ROWS($W$3:W698),$U$3:$V$992,2,0),"")</f>
        <v>Maloobchod s textilem, oděvy a obuví ve stáncích a na trzích</v>
      </c>
      <c r="X698">
        <f>IF(ISNUMBER(SEARCH('1Př1'!$A$35,N698)),MAX($M$2:M697)+1,0)</f>
        <v>696</v>
      </c>
      <c r="Y698" s="336" t="s">
        <v>2807</v>
      </c>
      <c r="Z698" t="str">
        <f>IFERROR(VLOOKUP(ROWS($Z$3:Z698),$X$3:$Y$992,2,0),"")</f>
        <v>Maloobchod s textilem, oděvy a obuví ve stáncích a na trzích</v>
      </c>
    </row>
    <row r="699" spans="13:26" ht="12.75">
      <c r="M699" s="335">
        <f>IF(ISNUMBER(SEARCH(ZAKL_DATA!$B$29,N699)),MAX($M$2:M698)+1,0)</f>
        <v>697</v>
      </c>
      <c r="N699" s="336" t="s">
        <v>2809</v>
      </c>
      <c r="O699" s="353" t="s">
        <v>2810</v>
      </c>
      <c r="P699" s="338"/>
      <c r="Q699" s="339" t="str">
        <f>IFERROR(VLOOKUP(ROWS($Q$3:Q699),$M$3:$N$992,2,0),"")</f>
        <v>Maloobchod s ostatním zbožím ve stáncích a na trzích</v>
      </c>
      <c r="R699">
        <f>IF(ISNUMBER(SEARCH('1Př1'!$A$33,N699)),MAX($M$2:M698)+1,0)</f>
        <v>697</v>
      </c>
      <c r="S699" s="336" t="s">
        <v>2809</v>
      </c>
      <c r="T699" t="str">
        <f>IFERROR(VLOOKUP(ROWS($T$3:T699),$R$3:$S$992,2,0),"")</f>
        <v>Maloobchod s ostatním zbožím ve stáncích a na trzích</v>
      </c>
      <c r="U699">
        <f>IF(ISNUMBER(SEARCH('1Př1'!$A$34,N699)),MAX($M$2:M698)+1,0)</f>
        <v>697</v>
      </c>
      <c r="V699" s="336" t="s">
        <v>2809</v>
      </c>
      <c r="W699" t="str">
        <f>IFERROR(VLOOKUP(ROWS($W$3:W699),$U$3:$V$992,2,0),"")</f>
        <v>Maloobchod s ostatním zbožím ve stáncích a na trzích</v>
      </c>
      <c r="X699">
        <f>IF(ISNUMBER(SEARCH('1Př1'!$A$35,N699)),MAX($M$2:M698)+1,0)</f>
        <v>697</v>
      </c>
      <c r="Y699" s="336" t="s">
        <v>2809</v>
      </c>
      <c r="Z699" t="str">
        <f>IFERROR(VLOOKUP(ROWS($Z$3:Z699),$X$3:$Y$992,2,0),"")</f>
        <v>Maloobchod s ostatním zbožím ve stáncích a na trzích</v>
      </c>
    </row>
    <row r="700" spans="13:26" ht="12.75">
      <c r="M700" s="335">
        <f>IF(ISNUMBER(SEARCH(ZAKL_DATA!$B$29,N700)),MAX($M$2:M699)+1,0)</f>
        <v>698</v>
      </c>
      <c r="N700" s="336" t="s">
        <v>2811</v>
      </c>
      <c r="O700" s="353" t="s">
        <v>2812</v>
      </c>
      <c r="P700" s="338"/>
      <c r="Q700" s="339" t="str">
        <f>IFERROR(VLOOKUP(ROWS($Q$3:Q700),$M$3:$N$992,2,0),"")</f>
        <v>Maloobchod prostřednictvím internetu nebo zásilkové služby</v>
      </c>
      <c r="R700">
        <f>IF(ISNUMBER(SEARCH('1Př1'!$A$33,N700)),MAX($M$2:M699)+1,0)</f>
        <v>698</v>
      </c>
      <c r="S700" s="336" t="s">
        <v>2811</v>
      </c>
      <c r="T700" t="str">
        <f>IFERROR(VLOOKUP(ROWS($T$3:T700),$R$3:$S$992,2,0),"")</f>
        <v>Maloobchod prostřednictvím internetu nebo zásilkové služby</v>
      </c>
      <c r="U700">
        <f>IF(ISNUMBER(SEARCH('1Př1'!$A$34,N700)),MAX($M$2:M699)+1,0)</f>
        <v>698</v>
      </c>
      <c r="V700" s="336" t="s">
        <v>2811</v>
      </c>
      <c r="W700" t="str">
        <f>IFERROR(VLOOKUP(ROWS($W$3:W700),$U$3:$V$992,2,0),"")</f>
        <v>Maloobchod prostřednictvím internetu nebo zásilkové služby</v>
      </c>
      <c r="X700">
        <f>IF(ISNUMBER(SEARCH('1Př1'!$A$35,N700)),MAX($M$2:M699)+1,0)</f>
        <v>698</v>
      </c>
      <c r="Y700" s="336" t="s">
        <v>2811</v>
      </c>
      <c r="Z700" t="str">
        <f>IFERROR(VLOOKUP(ROWS($Z$3:Z700),$X$3:$Y$992,2,0),"")</f>
        <v>Maloobchod prostřednictvím internetu nebo zásilkové služby</v>
      </c>
    </row>
    <row r="701" spans="13:26" ht="12.75">
      <c r="M701" s="335">
        <f>IF(ISNUMBER(SEARCH(ZAKL_DATA!$B$29,N701)),MAX($M$2:M700)+1,0)</f>
        <v>699</v>
      </c>
      <c r="N701" s="336" t="s">
        <v>2813</v>
      </c>
      <c r="O701" s="353" t="s">
        <v>2814</v>
      </c>
      <c r="P701" s="338"/>
      <c r="Q701" s="339" t="str">
        <f>IFERROR(VLOOKUP(ROWS($Q$3:Q701),$M$3:$N$992,2,0),"")</f>
        <v>Ostatní maloobchod mimo prodejny, stánky a trhy</v>
      </c>
      <c r="R701">
        <f>IF(ISNUMBER(SEARCH('1Př1'!$A$33,N701)),MAX($M$2:M700)+1,0)</f>
        <v>699</v>
      </c>
      <c r="S701" s="336" t="s">
        <v>2813</v>
      </c>
      <c r="T701" t="str">
        <f>IFERROR(VLOOKUP(ROWS($T$3:T701),$R$3:$S$992,2,0),"")</f>
        <v>Ostatní maloobchod mimo prodejny, stánky a trhy</v>
      </c>
      <c r="U701">
        <f>IF(ISNUMBER(SEARCH('1Př1'!$A$34,N701)),MAX($M$2:M700)+1,0)</f>
        <v>699</v>
      </c>
      <c r="V701" s="336" t="s">
        <v>2813</v>
      </c>
      <c r="W701" t="str">
        <f>IFERROR(VLOOKUP(ROWS($W$3:W701),$U$3:$V$992,2,0),"")</f>
        <v>Ostatní maloobchod mimo prodejny, stánky a trhy</v>
      </c>
      <c r="X701">
        <f>IF(ISNUMBER(SEARCH('1Př1'!$A$35,N701)),MAX($M$2:M700)+1,0)</f>
        <v>699</v>
      </c>
      <c r="Y701" s="336" t="s">
        <v>2813</v>
      </c>
      <c r="Z701" t="str">
        <f>IFERROR(VLOOKUP(ROWS($Z$3:Z701),$X$3:$Y$992,2,0),"")</f>
        <v>Ostatní maloobchod mimo prodejny, stánky a trhy</v>
      </c>
    </row>
    <row r="702" spans="13:26" ht="12.75">
      <c r="M702" s="335">
        <f>IF(ISNUMBER(SEARCH(ZAKL_DATA!$B$29,N702)),MAX($M$2:M701)+1,0)</f>
        <v>700</v>
      </c>
      <c r="N702" s="336" t="s">
        <v>2815</v>
      </c>
      <c r="O702" s="353" t="s">
        <v>2816</v>
      </c>
      <c r="P702" s="338"/>
      <c r="Q702" s="339" t="str">
        <f>IFERROR(VLOOKUP(ROWS($Q$3:Q702),$M$3:$N$992,2,0),"")</f>
        <v>Městská a příměstská pozemní osobní doprava</v>
      </c>
      <c r="R702">
        <f>IF(ISNUMBER(SEARCH('1Př1'!$A$33,N702)),MAX($M$2:M701)+1,0)</f>
        <v>700</v>
      </c>
      <c r="S702" s="336" t="s">
        <v>2815</v>
      </c>
      <c r="T702" t="str">
        <f>IFERROR(VLOOKUP(ROWS($T$3:T702),$R$3:$S$992,2,0),"")</f>
        <v>Městská a příměstská pozemní osobní doprava</v>
      </c>
      <c r="U702">
        <f>IF(ISNUMBER(SEARCH('1Př1'!$A$34,N702)),MAX($M$2:M701)+1,0)</f>
        <v>700</v>
      </c>
      <c r="V702" s="336" t="s">
        <v>2815</v>
      </c>
      <c r="W702" t="str">
        <f>IFERROR(VLOOKUP(ROWS($W$3:W702),$U$3:$V$992,2,0),"")</f>
        <v>Městská a příměstská pozemní osobní doprava</v>
      </c>
      <c r="X702">
        <f>IF(ISNUMBER(SEARCH('1Př1'!$A$35,N702)),MAX($M$2:M701)+1,0)</f>
        <v>700</v>
      </c>
      <c r="Y702" s="336" t="s">
        <v>2815</v>
      </c>
      <c r="Z702" t="str">
        <f>IFERROR(VLOOKUP(ROWS($Z$3:Z702),$X$3:$Y$992,2,0),"")</f>
        <v>Městská a příměstská pozemní osobní doprava</v>
      </c>
    </row>
    <row r="703" spans="13:26" ht="12.75">
      <c r="M703" s="335">
        <f>IF(ISNUMBER(SEARCH(ZAKL_DATA!$B$29,N703)),MAX($M$2:M702)+1,0)</f>
        <v>701</v>
      </c>
      <c r="N703" s="336" t="s">
        <v>2817</v>
      </c>
      <c r="O703" s="353" t="s">
        <v>2818</v>
      </c>
      <c r="P703" s="338"/>
      <c r="Q703" s="339" t="str">
        <f>IFERROR(VLOOKUP(ROWS($Q$3:Q703),$M$3:$N$992,2,0),"")</f>
        <v>Taxislužba a pronájem osobních vozů s řidičem</v>
      </c>
      <c r="R703">
        <f>IF(ISNUMBER(SEARCH('1Př1'!$A$33,N703)),MAX($M$2:M702)+1,0)</f>
        <v>701</v>
      </c>
      <c r="S703" s="336" t="s">
        <v>2817</v>
      </c>
      <c r="T703" t="str">
        <f>IFERROR(VLOOKUP(ROWS($T$3:T703),$R$3:$S$992,2,0),"")</f>
        <v>Taxislužba a pronájem osobních vozů s řidičem</v>
      </c>
      <c r="U703">
        <f>IF(ISNUMBER(SEARCH('1Př1'!$A$34,N703)),MAX($M$2:M702)+1,0)</f>
        <v>701</v>
      </c>
      <c r="V703" s="336" t="s">
        <v>2817</v>
      </c>
      <c r="W703" t="str">
        <f>IFERROR(VLOOKUP(ROWS($W$3:W703),$U$3:$V$992,2,0),"")</f>
        <v>Taxislužba a pronájem osobních vozů s řidičem</v>
      </c>
      <c r="X703">
        <f>IF(ISNUMBER(SEARCH('1Př1'!$A$35,N703)),MAX($M$2:M702)+1,0)</f>
        <v>701</v>
      </c>
      <c r="Y703" s="336" t="s">
        <v>2817</v>
      </c>
      <c r="Z703" t="str">
        <f>IFERROR(VLOOKUP(ROWS($Z$3:Z703),$X$3:$Y$992,2,0),"")</f>
        <v>Taxislužba a pronájem osobních vozů s řidičem</v>
      </c>
    </row>
    <row r="704" spans="13:26" ht="12.75">
      <c r="M704" s="335">
        <f>IF(ISNUMBER(SEARCH(ZAKL_DATA!$B$29,N704)),MAX($M$2:M703)+1,0)</f>
        <v>702</v>
      </c>
      <c r="N704" s="336" t="s">
        <v>2819</v>
      </c>
      <c r="O704" s="353" t="s">
        <v>2820</v>
      </c>
      <c r="P704" s="338"/>
      <c r="Q704" s="339" t="str">
        <f>IFERROR(VLOOKUP(ROWS($Q$3:Q704),$M$3:$N$992,2,0),"")</f>
        <v>Ostatní pozemní osobní doprava j. n.</v>
      </c>
      <c r="R704">
        <f>IF(ISNUMBER(SEARCH('1Př1'!$A$33,N704)),MAX($M$2:M703)+1,0)</f>
        <v>702</v>
      </c>
      <c r="S704" s="336" t="s">
        <v>2819</v>
      </c>
      <c r="T704" t="str">
        <f>IFERROR(VLOOKUP(ROWS($T$3:T704),$R$3:$S$992,2,0),"")</f>
        <v>Ostatní pozemní osobní doprava j. n.</v>
      </c>
      <c r="U704">
        <f>IF(ISNUMBER(SEARCH('1Př1'!$A$34,N704)),MAX($M$2:M703)+1,0)</f>
        <v>702</v>
      </c>
      <c r="V704" s="336" t="s">
        <v>2819</v>
      </c>
      <c r="W704" t="str">
        <f>IFERROR(VLOOKUP(ROWS($W$3:W704),$U$3:$V$992,2,0),"")</f>
        <v>Ostatní pozemní osobní doprava j. n.</v>
      </c>
      <c r="X704">
        <f>IF(ISNUMBER(SEARCH('1Př1'!$A$35,N704)),MAX($M$2:M703)+1,0)</f>
        <v>702</v>
      </c>
      <c r="Y704" s="336" t="s">
        <v>2819</v>
      </c>
      <c r="Z704" t="str">
        <f>IFERROR(VLOOKUP(ROWS($Z$3:Z704),$X$3:$Y$992,2,0),"")</f>
        <v>Ostatní pozemní osobní doprava j. n.</v>
      </c>
    </row>
    <row r="705" spans="13:26" ht="12.75">
      <c r="M705" s="335">
        <f>IF(ISNUMBER(SEARCH(ZAKL_DATA!$B$29,N705)),MAX($M$2:M704)+1,0)</f>
        <v>703</v>
      </c>
      <c r="N705" s="336" t="s">
        <v>2821</v>
      </c>
      <c r="O705" s="353" t="s">
        <v>2822</v>
      </c>
      <c r="P705" s="338"/>
      <c r="Q705" s="339" t="str">
        <f>IFERROR(VLOOKUP(ROWS($Q$3:Q705),$M$3:$N$992,2,0),"")</f>
        <v>Silniční nákladní doprava</v>
      </c>
      <c r="R705">
        <f>IF(ISNUMBER(SEARCH('1Př1'!$A$33,N705)),MAX($M$2:M704)+1,0)</f>
        <v>703</v>
      </c>
      <c r="S705" s="336" t="s">
        <v>2821</v>
      </c>
      <c r="T705" t="str">
        <f>IFERROR(VLOOKUP(ROWS($T$3:T705),$R$3:$S$992,2,0),"")</f>
        <v>Silniční nákladní doprava</v>
      </c>
      <c r="U705">
        <f>IF(ISNUMBER(SEARCH('1Př1'!$A$34,N705)),MAX($M$2:M704)+1,0)</f>
        <v>703</v>
      </c>
      <c r="V705" s="336" t="s">
        <v>2821</v>
      </c>
      <c r="W705" t="str">
        <f>IFERROR(VLOOKUP(ROWS($W$3:W705),$U$3:$V$992,2,0),"")</f>
        <v>Silniční nákladní doprava</v>
      </c>
      <c r="X705">
        <f>IF(ISNUMBER(SEARCH('1Př1'!$A$35,N705)),MAX($M$2:M704)+1,0)</f>
        <v>703</v>
      </c>
      <c r="Y705" s="336" t="s">
        <v>2821</v>
      </c>
      <c r="Z705" t="str">
        <f>IFERROR(VLOOKUP(ROWS($Z$3:Z705),$X$3:$Y$992,2,0),"")</f>
        <v>Silniční nákladní doprava</v>
      </c>
    </row>
    <row r="706" spans="13:26" ht="12.75">
      <c r="M706" s="335">
        <f>IF(ISNUMBER(SEARCH(ZAKL_DATA!$B$29,N706)),MAX($M$2:M705)+1,0)</f>
        <v>704</v>
      </c>
      <c r="N706" s="336" t="s">
        <v>2823</v>
      </c>
      <c r="O706" s="353" t="s">
        <v>2824</v>
      </c>
      <c r="P706" s="338"/>
      <c r="Q706" s="339" t="str">
        <f>IFERROR(VLOOKUP(ROWS($Q$3:Q706),$M$3:$N$992,2,0),"")</f>
        <v>Stěhovací služby</v>
      </c>
      <c r="R706">
        <f>IF(ISNUMBER(SEARCH('1Př1'!$A$33,N706)),MAX($M$2:M705)+1,0)</f>
        <v>704</v>
      </c>
      <c r="S706" s="336" t="s">
        <v>2823</v>
      </c>
      <c r="T706" t="str">
        <f>IFERROR(VLOOKUP(ROWS($T$3:T706),$R$3:$S$992,2,0),"")</f>
        <v>Stěhovací služby</v>
      </c>
      <c r="U706">
        <f>IF(ISNUMBER(SEARCH('1Př1'!$A$34,N706)),MAX($M$2:M705)+1,0)</f>
        <v>704</v>
      </c>
      <c r="V706" s="336" t="s">
        <v>2823</v>
      </c>
      <c r="W706" t="str">
        <f>IFERROR(VLOOKUP(ROWS($W$3:W706),$U$3:$V$992,2,0),"")</f>
        <v>Stěhovací služby</v>
      </c>
      <c r="X706">
        <f>IF(ISNUMBER(SEARCH('1Př1'!$A$35,N706)),MAX($M$2:M705)+1,0)</f>
        <v>704</v>
      </c>
      <c r="Y706" s="336" t="s">
        <v>2823</v>
      </c>
      <c r="Z706" t="str">
        <f>IFERROR(VLOOKUP(ROWS($Z$3:Z706),$X$3:$Y$992,2,0),"")</f>
        <v>Stěhovací služby</v>
      </c>
    </row>
    <row r="707" spans="13:26" ht="12.75">
      <c r="M707" s="335">
        <f>IF(ISNUMBER(SEARCH(ZAKL_DATA!$B$29,N707)),MAX($M$2:M706)+1,0)</f>
        <v>705</v>
      </c>
      <c r="N707" s="336" t="s">
        <v>2825</v>
      </c>
      <c r="O707" s="353" t="s">
        <v>2826</v>
      </c>
      <c r="P707" s="338"/>
      <c r="Q707" s="339" t="str">
        <f>IFERROR(VLOOKUP(ROWS($Q$3:Q707),$M$3:$N$992,2,0),"")</f>
        <v>Těžba černého uhlí</v>
      </c>
      <c r="R707">
        <f>IF(ISNUMBER(SEARCH('1Př1'!$A$33,N707)),MAX($M$2:M706)+1,0)</f>
        <v>705</v>
      </c>
      <c r="S707" s="336" t="s">
        <v>2825</v>
      </c>
      <c r="T707" t="str">
        <f>IFERROR(VLOOKUP(ROWS($T$3:T707),$R$3:$S$992,2,0),"")</f>
        <v>Těžba černého uhlí</v>
      </c>
      <c r="U707">
        <f>IF(ISNUMBER(SEARCH('1Př1'!$A$34,N707)),MAX($M$2:M706)+1,0)</f>
        <v>705</v>
      </c>
      <c r="V707" s="336" t="s">
        <v>2825</v>
      </c>
      <c r="W707" t="str">
        <f>IFERROR(VLOOKUP(ROWS($W$3:W707),$U$3:$V$992,2,0),"")</f>
        <v>Těžba černého uhlí</v>
      </c>
      <c r="X707">
        <f>IF(ISNUMBER(SEARCH('1Př1'!$A$35,N707)),MAX($M$2:M706)+1,0)</f>
        <v>705</v>
      </c>
      <c r="Y707" s="336" t="s">
        <v>2825</v>
      </c>
      <c r="Z707" t="str">
        <f>IFERROR(VLOOKUP(ROWS($Z$3:Z707),$X$3:$Y$992,2,0),"")</f>
        <v>Těžba černého uhlí</v>
      </c>
    </row>
    <row r="708" spans="13:26" ht="12.75">
      <c r="M708" s="335">
        <f>IF(ISNUMBER(SEARCH(ZAKL_DATA!$B$29,N708)),MAX($M$2:M707)+1,0)</f>
        <v>706</v>
      </c>
      <c r="N708" s="336" t="s">
        <v>2827</v>
      </c>
      <c r="O708" s="353" t="s">
        <v>2828</v>
      </c>
      <c r="P708" s="338"/>
      <c r="Q708" s="339" t="str">
        <f>IFERROR(VLOOKUP(ROWS($Q$3:Q708),$M$3:$N$992,2,0),"")</f>
        <v>Úprava černého uhlí</v>
      </c>
      <c r="R708">
        <f>IF(ISNUMBER(SEARCH('1Př1'!$A$33,N708)),MAX($M$2:M707)+1,0)</f>
        <v>706</v>
      </c>
      <c r="S708" s="336" t="s">
        <v>2827</v>
      </c>
      <c r="T708" t="str">
        <f>IFERROR(VLOOKUP(ROWS($T$3:T708),$R$3:$S$992,2,0),"")</f>
        <v>Úprava černého uhlí</v>
      </c>
      <c r="U708">
        <f>IF(ISNUMBER(SEARCH('1Př1'!$A$34,N708)),MAX($M$2:M707)+1,0)</f>
        <v>706</v>
      </c>
      <c r="V708" s="336" t="s">
        <v>2827</v>
      </c>
      <c r="W708" t="str">
        <f>IFERROR(VLOOKUP(ROWS($W$3:W708),$U$3:$V$992,2,0),"")</f>
        <v>Úprava černého uhlí</v>
      </c>
      <c r="X708">
        <f>IF(ISNUMBER(SEARCH('1Př1'!$A$35,N708)),MAX($M$2:M707)+1,0)</f>
        <v>706</v>
      </c>
      <c r="Y708" s="336" t="s">
        <v>2827</v>
      </c>
      <c r="Z708" t="str">
        <f>IFERROR(VLOOKUP(ROWS($Z$3:Z708),$X$3:$Y$992,2,0),"")</f>
        <v>Úprava černého uhlí</v>
      </c>
    </row>
    <row r="709" spans="13:26" ht="12.75">
      <c r="M709" s="335">
        <f>IF(ISNUMBER(SEARCH(ZAKL_DATA!$B$29,N709)),MAX($M$2:M708)+1,0)</f>
        <v>707</v>
      </c>
      <c r="N709" s="336" t="s">
        <v>2829</v>
      </c>
      <c r="O709" s="353" t="s">
        <v>2830</v>
      </c>
      <c r="P709" s="338"/>
      <c r="Q709" s="339" t="str">
        <f>IFERROR(VLOOKUP(ROWS($Q$3:Q709),$M$3:$N$992,2,0),"")</f>
        <v>Letecká nákladní doprava</v>
      </c>
      <c r="R709">
        <f>IF(ISNUMBER(SEARCH('1Př1'!$A$33,N709)),MAX($M$2:M708)+1,0)</f>
        <v>707</v>
      </c>
      <c r="S709" s="336" t="s">
        <v>2829</v>
      </c>
      <c r="T709" t="str">
        <f>IFERROR(VLOOKUP(ROWS($T$3:T709),$R$3:$S$992,2,0),"")</f>
        <v>Letecká nákladní doprava</v>
      </c>
      <c r="U709">
        <f>IF(ISNUMBER(SEARCH('1Př1'!$A$34,N709)),MAX($M$2:M708)+1,0)</f>
        <v>707</v>
      </c>
      <c r="V709" s="336" t="s">
        <v>2829</v>
      </c>
      <c r="W709" t="str">
        <f>IFERROR(VLOOKUP(ROWS($W$3:W709),$U$3:$V$992,2,0),"")</f>
        <v>Letecká nákladní doprava</v>
      </c>
      <c r="X709">
        <f>IF(ISNUMBER(SEARCH('1Př1'!$A$35,N709)),MAX($M$2:M708)+1,0)</f>
        <v>707</v>
      </c>
      <c r="Y709" s="336" t="s">
        <v>2829</v>
      </c>
      <c r="Z709" t="str">
        <f>IFERROR(VLOOKUP(ROWS($Z$3:Z709),$X$3:$Y$992,2,0),"")</f>
        <v>Letecká nákladní doprava</v>
      </c>
    </row>
    <row r="710" spans="13:26" ht="12.75">
      <c r="M710" s="335">
        <f>IF(ISNUMBER(SEARCH(ZAKL_DATA!$B$29,N710)),MAX($M$2:M709)+1,0)</f>
        <v>708</v>
      </c>
      <c r="N710" s="336" t="s">
        <v>2831</v>
      </c>
      <c r="O710" s="353" t="s">
        <v>2832</v>
      </c>
      <c r="P710" s="338"/>
      <c r="Q710" s="339" t="str">
        <f>IFERROR(VLOOKUP(ROWS($Q$3:Q710),$M$3:$N$992,2,0),"")</f>
        <v>Kosmická doprava</v>
      </c>
      <c r="R710">
        <f>IF(ISNUMBER(SEARCH('1Př1'!$A$33,N710)),MAX($M$2:M709)+1,0)</f>
        <v>708</v>
      </c>
      <c r="S710" s="336" t="s">
        <v>2831</v>
      </c>
      <c r="T710" t="str">
        <f>IFERROR(VLOOKUP(ROWS($T$3:T710),$R$3:$S$992,2,0),"")</f>
        <v>Kosmická doprava</v>
      </c>
      <c r="U710">
        <f>IF(ISNUMBER(SEARCH('1Př1'!$A$34,N710)),MAX($M$2:M709)+1,0)</f>
        <v>708</v>
      </c>
      <c r="V710" s="336" t="s">
        <v>2831</v>
      </c>
      <c r="W710" t="str">
        <f>IFERROR(VLOOKUP(ROWS($W$3:W710),$U$3:$V$992,2,0),"")</f>
        <v>Kosmická doprava</v>
      </c>
      <c r="X710">
        <f>IF(ISNUMBER(SEARCH('1Př1'!$A$35,N710)),MAX($M$2:M709)+1,0)</f>
        <v>708</v>
      </c>
      <c r="Y710" s="336" t="s">
        <v>2831</v>
      </c>
      <c r="Z710" t="str">
        <f>IFERROR(VLOOKUP(ROWS($Z$3:Z710),$X$3:$Y$992,2,0),"")</f>
        <v>Kosmická doprava</v>
      </c>
    </row>
    <row r="711" spans="13:26" ht="12.75">
      <c r="M711" s="335">
        <f>IF(ISNUMBER(SEARCH(ZAKL_DATA!$B$29,N711)),MAX($M$2:M710)+1,0)</f>
        <v>709</v>
      </c>
      <c r="N711" s="336" t="s">
        <v>2833</v>
      </c>
      <c r="O711" s="353" t="s">
        <v>2834</v>
      </c>
      <c r="P711" s="338"/>
      <c r="Q711" s="339" t="str">
        <f>IFERROR(VLOOKUP(ROWS($Q$3:Q711),$M$3:$N$992,2,0),"")</f>
        <v>Těžba hnědého uhlí, kromě lignitu</v>
      </c>
      <c r="R711">
        <f>IF(ISNUMBER(SEARCH('1Př1'!$A$33,N711)),MAX($M$2:M710)+1,0)</f>
        <v>709</v>
      </c>
      <c r="S711" s="336" t="s">
        <v>2833</v>
      </c>
      <c r="T711" t="str">
        <f>IFERROR(VLOOKUP(ROWS($T$3:T711),$R$3:$S$992,2,0),"")</f>
        <v>Těžba hnědého uhlí, kromě lignitu</v>
      </c>
      <c r="U711">
        <f>IF(ISNUMBER(SEARCH('1Př1'!$A$34,N711)),MAX($M$2:M710)+1,0)</f>
        <v>709</v>
      </c>
      <c r="V711" s="336" t="s">
        <v>2833</v>
      </c>
      <c r="W711" t="str">
        <f>IFERROR(VLOOKUP(ROWS($W$3:W711),$U$3:$V$992,2,0),"")</f>
        <v>Těžba hnědého uhlí, kromě lignitu</v>
      </c>
      <c r="X711">
        <f>IF(ISNUMBER(SEARCH('1Př1'!$A$35,N711)),MAX($M$2:M710)+1,0)</f>
        <v>709</v>
      </c>
      <c r="Y711" s="336" t="s">
        <v>2833</v>
      </c>
      <c r="Z711" t="str">
        <f>IFERROR(VLOOKUP(ROWS($Z$3:Z711),$X$3:$Y$992,2,0),"")</f>
        <v>Těžba hnědého uhlí, kromě lignitu</v>
      </c>
    </row>
    <row r="712" spans="13:26" ht="12.75">
      <c r="M712" s="335">
        <f>IF(ISNUMBER(SEARCH(ZAKL_DATA!$B$29,N712)),MAX($M$2:M711)+1,0)</f>
        <v>710</v>
      </c>
      <c r="N712" s="336" t="s">
        <v>2835</v>
      </c>
      <c r="O712" s="353" t="s">
        <v>2836</v>
      </c>
      <c r="P712" s="338"/>
      <c r="Q712" s="339" t="str">
        <f>IFERROR(VLOOKUP(ROWS($Q$3:Q712),$M$3:$N$992,2,0),"")</f>
        <v>Úprava hnědého uhlí, kromě lignitu</v>
      </c>
      <c r="R712">
        <f>IF(ISNUMBER(SEARCH('1Př1'!$A$33,N712)),MAX($M$2:M711)+1,0)</f>
        <v>710</v>
      </c>
      <c r="S712" s="336" t="s">
        <v>2835</v>
      </c>
      <c r="T712" t="str">
        <f>IFERROR(VLOOKUP(ROWS($T$3:T712),$R$3:$S$992,2,0),"")</f>
        <v>Úprava hnědého uhlí, kromě lignitu</v>
      </c>
      <c r="U712">
        <f>IF(ISNUMBER(SEARCH('1Př1'!$A$34,N712)),MAX($M$2:M711)+1,0)</f>
        <v>710</v>
      </c>
      <c r="V712" s="336" t="s">
        <v>2835</v>
      </c>
      <c r="W712" t="str">
        <f>IFERROR(VLOOKUP(ROWS($W$3:W712),$U$3:$V$992,2,0),"")</f>
        <v>Úprava hnědého uhlí, kromě lignitu</v>
      </c>
      <c r="X712">
        <f>IF(ISNUMBER(SEARCH('1Př1'!$A$35,N712)),MAX($M$2:M711)+1,0)</f>
        <v>710</v>
      </c>
      <c r="Y712" s="336" t="s">
        <v>2835</v>
      </c>
      <c r="Z712" t="str">
        <f>IFERROR(VLOOKUP(ROWS($Z$3:Z712),$X$3:$Y$992,2,0),"")</f>
        <v>Úprava hnědého uhlí, kromě lignitu</v>
      </c>
    </row>
    <row r="713" spans="13:26" ht="12.75">
      <c r="M713" s="335">
        <f>IF(ISNUMBER(SEARCH(ZAKL_DATA!$B$29,N713)),MAX($M$2:M712)+1,0)</f>
        <v>711</v>
      </c>
      <c r="N713" s="336" t="s">
        <v>2837</v>
      </c>
      <c r="O713" s="353" t="s">
        <v>2838</v>
      </c>
      <c r="P713" s="338"/>
      <c r="Q713" s="339" t="str">
        <f>IFERROR(VLOOKUP(ROWS($Q$3:Q713),$M$3:$N$992,2,0),"")</f>
        <v>Těžba lignitu</v>
      </c>
      <c r="R713">
        <f>IF(ISNUMBER(SEARCH('1Př1'!$A$33,N713)),MAX($M$2:M712)+1,0)</f>
        <v>711</v>
      </c>
      <c r="S713" s="336" t="s">
        <v>2837</v>
      </c>
      <c r="T713" t="str">
        <f>IFERROR(VLOOKUP(ROWS($T$3:T713),$R$3:$S$992,2,0),"")</f>
        <v>Těžba lignitu</v>
      </c>
      <c r="U713">
        <f>IF(ISNUMBER(SEARCH('1Př1'!$A$34,N713)),MAX($M$2:M712)+1,0)</f>
        <v>711</v>
      </c>
      <c r="V713" s="336" t="s">
        <v>2837</v>
      </c>
      <c r="W713" t="str">
        <f>IFERROR(VLOOKUP(ROWS($W$3:W713),$U$3:$V$992,2,0),"")</f>
        <v>Těžba lignitu</v>
      </c>
      <c r="X713">
        <f>IF(ISNUMBER(SEARCH('1Př1'!$A$35,N713)),MAX($M$2:M712)+1,0)</f>
        <v>711</v>
      </c>
      <c r="Y713" s="336" t="s">
        <v>2837</v>
      </c>
      <c r="Z713" t="str">
        <f>IFERROR(VLOOKUP(ROWS($Z$3:Z713),$X$3:$Y$992,2,0),"")</f>
        <v>Těžba lignitu</v>
      </c>
    </row>
    <row r="714" spans="13:26" ht="12.75">
      <c r="M714" s="335">
        <f>IF(ISNUMBER(SEARCH(ZAKL_DATA!$B$29,N714)),MAX($M$2:M713)+1,0)</f>
        <v>712</v>
      </c>
      <c r="N714" s="336" t="s">
        <v>2839</v>
      </c>
      <c r="O714" s="353" t="s">
        <v>2840</v>
      </c>
      <c r="P714" s="338"/>
      <c r="Q714" s="339" t="str">
        <f>IFERROR(VLOOKUP(ROWS($Q$3:Q714),$M$3:$N$992,2,0),"")</f>
        <v>Úprava lignitu</v>
      </c>
      <c r="R714">
        <f>IF(ISNUMBER(SEARCH('1Př1'!$A$33,N714)),MAX($M$2:M713)+1,0)</f>
        <v>712</v>
      </c>
      <c r="S714" s="336" t="s">
        <v>2839</v>
      </c>
      <c r="T714" t="str">
        <f>IFERROR(VLOOKUP(ROWS($T$3:T714),$R$3:$S$992,2,0),"")</f>
        <v>Úprava lignitu</v>
      </c>
      <c r="U714">
        <f>IF(ISNUMBER(SEARCH('1Př1'!$A$34,N714)),MAX($M$2:M713)+1,0)</f>
        <v>712</v>
      </c>
      <c r="V714" s="336" t="s">
        <v>2839</v>
      </c>
      <c r="W714" t="str">
        <f>IFERROR(VLOOKUP(ROWS($W$3:W714),$U$3:$V$992,2,0),"")</f>
        <v>Úprava lignitu</v>
      </c>
      <c r="X714">
        <f>IF(ISNUMBER(SEARCH('1Př1'!$A$35,N714)),MAX($M$2:M713)+1,0)</f>
        <v>712</v>
      </c>
      <c r="Y714" s="336" t="s">
        <v>2839</v>
      </c>
      <c r="Z714" t="str">
        <f>IFERROR(VLOOKUP(ROWS($Z$3:Z714),$X$3:$Y$992,2,0),"")</f>
        <v>Úprava lignitu</v>
      </c>
    </row>
    <row r="715" spans="13:26" ht="12.75">
      <c r="M715" s="335">
        <f>IF(ISNUMBER(SEARCH(ZAKL_DATA!$B$29,N715)),MAX($M$2:M714)+1,0)</f>
        <v>713</v>
      </c>
      <c r="N715" s="336" t="s">
        <v>2841</v>
      </c>
      <c r="O715" s="353" t="s">
        <v>2842</v>
      </c>
      <c r="P715" s="338"/>
      <c r="Q715" s="339" t="str">
        <f>IFERROR(VLOOKUP(ROWS($Q$3:Q715),$M$3:$N$992,2,0),"")</f>
        <v>Činnosti související s pozemní dopravou</v>
      </c>
      <c r="R715">
        <f>IF(ISNUMBER(SEARCH('1Př1'!$A$33,N715)),MAX($M$2:M714)+1,0)</f>
        <v>713</v>
      </c>
      <c r="S715" s="336" t="s">
        <v>2841</v>
      </c>
      <c r="T715" t="str">
        <f>IFERROR(VLOOKUP(ROWS($T$3:T715),$R$3:$S$992,2,0),"")</f>
        <v>Činnosti související s pozemní dopravou</v>
      </c>
      <c r="U715">
        <f>IF(ISNUMBER(SEARCH('1Př1'!$A$34,N715)),MAX($M$2:M714)+1,0)</f>
        <v>713</v>
      </c>
      <c r="V715" s="336" t="s">
        <v>2841</v>
      </c>
      <c r="W715" t="str">
        <f>IFERROR(VLOOKUP(ROWS($W$3:W715),$U$3:$V$992,2,0),"")</f>
        <v>Činnosti související s pozemní dopravou</v>
      </c>
      <c r="X715">
        <f>IF(ISNUMBER(SEARCH('1Př1'!$A$35,N715)),MAX($M$2:M714)+1,0)</f>
        <v>713</v>
      </c>
      <c r="Y715" s="336" t="s">
        <v>2841</v>
      </c>
      <c r="Z715" t="str">
        <f>IFERROR(VLOOKUP(ROWS($Z$3:Z715),$X$3:$Y$992,2,0),"")</f>
        <v>Činnosti související s pozemní dopravou</v>
      </c>
    </row>
    <row r="716" spans="13:26" ht="12.75">
      <c r="M716" s="335">
        <f>IF(ISNUMBER(SEARCH(ZAKL_DATA!$B$29,N716)),MAX($M$2:M715)+1,0)</f>
        <v>714</v>
      </c>
      <c r="N716" s="336" t="s">
        <v>2843</v>
      </c>
      <c r="O716" s="353" t="s">
        <v>2844</v>
      </c>
      <c r="P716" s="338"/>
      <c r="Q716" s="339" t="str">
        <f>IFERROR(VLOOKUP(ROWS($Q$3:Q716),$M$3:$N$992,2,0),"")</f>
        <v>Činnosti související s vodní dopravou</v>
      </c>
      <c r="R716">
        <f>IF(ISNUMBER(SEARCH('1Př1'!$A$33,N716)),MAX($M$2:M715)+1,0)</f>
        <v>714</v>
      </c>
      <c r="S716" s="336" t="s">
        <v>2843</v>
      </c>
      <c r="T716" t="str">
        <f>IFERROR(VLOOKUP(ROWS($T$3:T716),$R$3:$S$992,2,0),"")</f>
        <v>Činnosti související s vodní dopravou</v>
      </c>
      <c r="U716">
        <f>IF(ISNUMBER(SEARCH('1Př1'!$A$34,N716)),MAX($M$2:M715)+1,0)</f>
        <v>714</v>
      </c>
      <c r="V716" s="336" t="s">
        <v>2843</v>
      </c>
      <c r="W716" t="str">
        <f>IFERROR(VLOOKUP(ROWS($W$3:W716),$U$3:$V$992,2,0),"")</f>
        <v>Činnosti související s vodní dopravou</v>
      </c>
      <c r="X716">
        <f>IF(ISNUMBER(SEARCH('1Př1'!$A$35,N716)),MAX($M$2:M715)+1,0)</f>
        <v>714</v>
      </c>
      <c r="Y716" s="336" t="s">
        <v>2843</v>
      </c>
      <c r="Z716" t="str">
        <f>IFERROR(VLOOKUP(ROWS($Z$3:Z716),$X$3:$Y$992,2,0),"")</f>
        <v>Činnosti související s vodní dopravou</v>
      </c>
    </row>
    <row r="717" spans="13:26" ht="12.75">
      <c r="M717" s="335">
        <f>IF(ISNUMBER(SEARCH(ZAKL_DATA!$B$29,N717)),MAX($M$2:M716)+1,0)</f>
        <v>715</v>
      </c>
      <c r="N717" s="336" t="s">
        <v>2845</v>
      </c>
      <c r="O717" s="353" t="s">
        <v>2846</v>
      </c>
      <c r="P717" s="338"/>
      <c r="Q717" s="339" t="str">
        <f>IFERROR(VLOOKUP(ROWS($Q$3:Q717),$M$3:$N$992,2,0),"")</f>
        <v>Činnosti související s leteckou dopravou</v>
      </c>
      <c r="R717">
        <f>IF(ISNUMBER(SEARCH('1Př1'!$A$33,N717)),MAX($M$2:M716)+1,0)</f>
        <v>715</v>
      </c>
      <c r="S717" s="336" t="s">
        <v>2845</v>
      </c>
      <c r="T717" t="str">
        <f>IFERROR(VLOOKUP(ROWS($T$3:T717),$R$3:$S$992,2,0),"")</f>
        <v>Činnosti související s leteckou dopravou</v>
      </c>
      <c r="U717">
        <f>IF(ISNUMBER(SEARCH('1Př1'!$A$34,N717)),MAX($M$2:M716)+1,0)</f>
        <v>715</v>
      </c>
      <c r="V717" s="336" t="s">
        <v>2845</v>
      </c>
      <c r="W717" t="str">
        <f>IFERROR(VLOOKUP(ROWS($W$3:W717),$U$3:$V$992,2,0),"")</f>
        <v>Činnosti související s leteckou dopravou</v>
      </c>
      <c r="X717">
        <f>IF(ISNUMBER(SEARCH('1Př1'!$A$35,N717)),MAX($M$2:M716)+1,0)</f>
        <v>715</v>
      </c>
      <c r="Y717" s="336" t="s">
        <v>2845</v>
      </c>
      <c r="Z717" t="str">
        <f>IFERROR(VLOOKUP(ROWS($Z$3:Z717),$X$3:$Y$992,2,0),"")</f>
        <v>Činnosti související s leteckou dopravou</v>
      </c>
    </row>
    <row r="718" spans="13:26" ht="12.75">
      <c r="M718" s="335">
        <f>IF(ISNUMBER(SEARCH(ZAKL_DATA!$B$29,N718)),MAX($M$2:M717)+1,0)</f>
        <v>716</v>
      </c>
      <c r="N718" s="336" t="s">
        <v>2847</v>
      </c>
      <c r="O718" s="353" t="s">
        <v>2848</v>
      </c>
      <c r="P718" s="338"/>
      <c r="Q718" s="339" t="str">
        <f>IFERROR(VLOOKUP(ROWS($Q$3:Q718),$M$3:$N$992,2,0),"")</f>
        <v>Manipulace s nákladem</v>
      </c>
      <c r="R718">
        <f>IF(ISNUMBER(SEARCH('1Př1'!$A$33,N718)),MAX($M$2:M717)+1,0)</f>
        <v>716</v>
      </c>
      <c r="S718" s="336" t="s">
        <v>2847</v>
      </c>
      <c r="T718" t="str">
        <f>IFERROR(VLOOKUP(ROWS($T$3:T718),$R$3:$S$992,2,0),"")</f>
        <v>Manipulace s nákladem</v>
      </c>
      <c r="U718">
        <f>IF(ISNUMBER(SEARCH('1Př1'!$A$34,N718)),MAX($M$2:M717)+1,0)</f>
        <v>716</v>
      </c>
      <c r="V718" s="336" t="s">
        <v>2847</v>
      </c>
      <c r="W718" t="str">
        <f>IFERROR(VLOOKUP(ROWS($W$3:W718),$U$3:$V$992,2,0),"")</f>
        <v>Manipulace s nákladem</v>
      </c>
      <c r="X718">
        <f>IF(ISNUMBER(SEARCH('1Př1'!$A$35,N718)),MAX($M$2:M717)+1,0)</f>
        <v>716</v>
      </c>
      <c r="Y718" s="336" t="s">
        <v>2847</v>
      </c>
      <c r="Z718" t="str">
        <f>IFERROR(VLOOKUP(ROWS($Z$3:Z718),$X$3:$Y$992,2,0),"")</f>
        <v>Manipulace s nákladem</v>
      </c>
    </row>
    <row r="719" spans="13:26" ht="12.75">
      <c r="M719" s="335">
        <f>IF(ISNUMBER(SEARCH(ZAKL_DATA!$B$29,N719)),MAX($M$2:M718)+1,0)</f>
        <v>717</v>
      </c>
      <c r="N719" s="336" t="s">
        <v>2849</v>
      </c>
      <c r="O719" s="353" t="s">
        <v>2850</v>
      </c>
      <c r="P719" s="338"/>
      <c r="Q719" s="339" t="str">
        <f>IFERROR(VLOOKUP(ROWS($Q$3:Q719),$M$3:$N$992,2,0),"")</f>
        <v>Ostatní vedlejší činnosti v dopravě</v>
      </c>
      <c r="R719">
        <f>IF(ISNUMBER(SEARCH('1Př1'!$A$33,N719)),MAX($M$2:M718)+1,0)</f>
        <v>717</v>
      </c>
      <c r="S719" s="336" t="s">
        <v>2849</v>
      </c>
      <c r="T719" t="str">
        <f>IFERROR(VLOOKUP(ROWS($T$3:T719),$R$3:$S$992,2,0),"")</f>
        <v>Ostatní vedlejší činnosti v dopravě</v>
      </c>
      <c r="U719">
        <f>IF(ISNUMBER(SEARCH('1Př1'!$A$34,N719)),MAX($M$2:M718)+1,0)</f>
        <v>717</v>
      </c>
      <c r="V719" s="336" t="s">
        <v>2849</v>
      </c>
      <c r="W719" t="str">
        <f>IFERROR(VLOOKUP(ROWS($W$3:W719),$U$3:$V$992,2,0),"")</f>
        <v>Ostatní vedlejší činnosti v dopravě</v>
      </c>
      <c r="X719">
        <f>IF(ISNUMBER(SEARCH('1Př1'!$A$35,N719)),MAX($M$2:M718)+1,0)</f>
        <v>717</v>
      </c>
      <c r="Y719" s="336" t="s">
        <v>2849</v>
      </c>
      <c r="Z719" t="str">
        <f>IFERROR(VLOOKUP(ROWS($Z$3:Z719),$X$3:$Y$992,2,0),"")</f>
        <v>Ostatní vedlejší činnosti v dopravě</v>
      </c>
    </row>
    <row r="720" spans="13:26" ht="12.75">
      <c r="M720" s="335">
        <f>IF(ISNUMBER(SEARCH(ZAKL_DATA!$B$29,N720)),MAX($M$2:M719)+1,0)</f>
        <v>718</v>
      </c>
      <c r="N720" s="336" t="s">
        <v>2851</v>
      </c>
      <c r="O720" s="353" t="s">
        <v>2852</v>
      </c>
      <c r="P720" s="338"/>
      <c r="Q720" s="339" t="str">
        <f>IFERROR(VLOOKUP(ROWS($Q$3:Q720),$M$3:$N$992,2,0),"")</f>
        <v>Poskytování cateringových služeb</v>
      </c>
      <c r="R720">
        <f>IF(ISNUMBER(SEARCH('1Př1'!$A$33,N720)),MAX($M$2:M719)+1,0)</f>
        <v>718</v>
      </c>
      <c r="S720" s="336" t="s">
        <v>2851</v>
      </c>
      <c r="T720" t="str">
        <f>IFERROR(VLOOKUP(ROWS($T$3:T720),$R$3:$S$992,2,0),"")</f>
        <v>Poskytování cateringových služeb</v>
      </c>
      <c r="U720">
        <f>IF(ISNUMBER(SEARCH('1Př1'!$A$34,N720)),MAX($M$2:M719)+1,0)</f>
        <v>718</v>
      </c>
      <c r="V720" s="336" t="s">
        <v>2851</v>
      </c>
      <c r="W720" t="str">
        <f>IFERROR(VLOOKUP(ROWS($W$3:W720),$U$3:$V$992,2,0),"")</f>
        <v>Poskytování cateringových služeb</v>
      </c>
      <c r="X720">
        <f>IF(ISNUMBER(SEARCH('1Př1'!$A$35,N720)),MAX($M$2:M719)+1,0)</f>
        <v>718</v>
      </c>
      <c r="Y720" s="336" t="s">
        <v>2851</v>
      </c>
      <c r="Z720" t="str">
        <f>IFERROR(VLOOKUP(ROWS($Z$3:Z720),$X$3:$Y$992,2,0),"")</f>
        <v>Poskytování cateringových služeb</v>
      </c>
    </row>
    <row r="721" spans="13:26" ht="12.75">
      <c r="M721" s="335">
        <f>IF(ISNUMBER(SEARCH(ZAKL_DATA!$B$29,N721)),MAX($M$2:M720)+1,0)</f>
        <v>719</v>
      </c>
      <c r="N721" s="336" t="s">
        <v>2853</v>
      </c>
      <c r="O721" s="353" t="s">
        <v>2854</v>
      </c>
      <c r="P721" s="338"/>
      <c r="Q721" s="339" t="str">
        <f>IFERROR(VLOOKUP(ROWS($Q$3:Q721),$M$3:$N$992,2,0),"")</f>
        <v>Poskytování ostatních stravovacích služeb</v>
      </c>
      <c r="R721">
        <f>IF(ISNUMBER(SEARCH('1Př1'!$A$33,N721)),MAX($M$2:M720)+1,0)</f>
        <v>719</v>
      </c>
      <c r="S721" s="336" t="s">
        <v>2853</v>
      </c>
      <c r="T721" t="str">
        <f>IFERROR(VLOOKUP(ROWS($T$3:T721),$R$3:$S$992,2,0),"")</f>
        <v>Poskytování ostatních stravovacích služeb</v>
      </c>
      <c r="U721">
        <f>IF(ISNUMBER(SEARCH('1Př1'!$A$34,N721)),MAX($M$2:M720)+1,0)</f>
        <v>719</v>
      </c>
      <c r="V721" s="336" t="s">
        <v>2853</v>
      </c>
      <c r="W721" t="str">
        <f>IFERROR(VLOOKUP(ROWS($W$3:W721),$U$3:$V$992,2,0),"")</f>
        <v>Poskytování ostatních stravovacích služeb</v>
      </c>
      <c r="X721">
        <f>IF(ISNUMBER(SEARCH('1Př1'!$A$35,N721)),MAX($M$2:M720)+1,0)</f>
        <v>719</v>
      </c>
      <c r="Y721" s="336" t="s">
        <v>2853</v>
      </c>
      <c r="Z721" t="str">
        <f>IFERROR(VLOOKUP(ROWS($Z$3:Z721),$X$3:$Y$992,2,0),"")</f>
        <v>Poskytování ostatních stravovacích služeb</v>
      </c>
    </row>
    <row r="722" spans="13:26" ht="12.75">
      <c r="M722" s="335">
        <f>IF(ISNUMBER(SEARCH(ZAKL_DATA!$B$29,N722)),MAX($M$2:M721)+1,0)</f>
        <v>720</v>
      </c>
      <c r="N722" s="336" t="s">
        <v>2855</v>
      </c>
      <c r="O722" s="353" t="s">
        <v>2856</v>
      </c>
      <c r="P722" s="338"/>
      <c r="Q722" s="339" t="str">
        <f>IFERROR(VLOOKUP(ROWS($Q$3:Q722),$M$3:$N$992,2,0),"")</f>
        <v>Vydávání knih</v>
      </c>
      <c r="R722">
        <f>IF(ISNUMBER(SEARCH('1Př1'!$A$33,N722)),MAX($M$2:M721)+1,0)</f>
        <v>720</v>
      </c>
      <c r="S722" s="336" t="s">
        <v>2855</v>
      </c>
      <c r="T722" t="str">
        <f>IFERROR(VLOOKUP(ROWS($T$3:T722),$R$3:$S$992,2,0),"")</f>
        <v>Vydávání knih</v>
      </c>
      <c r="U722">
        <f>IF(ISNUMBER(SEARCH('1Př1'!$A$34,N722)),MAX($M$2:M721)+1,0)</f>
        <v>720</v>
      </c>
      <c r="V722" s="336" t="s">
        <v>2855</v>
      </c>
      <c r="W722" t="str">
        <f>IFERROR(VLOOKUP(ROWS($W$3:W722),$U$3:$V$992,2,0),"")</f>
        <v>Vydávání knih</v>
      </c>
      <c r="X722">
        <f>IF(ISNUMBER(SEARCH('1Př1'!$A$35,N722)),MAX($M$2:M721)+1,0)</f>
        <v>720</v>
      </c>
      <c r="Y722" s="336" t="s">
        <v>2855</v>
      </c>
      <c r="Z722" t="str">
        <f>IFERROR(VLOOKUP(ROWS($Z$3:Z722),$X$3:$Y$992,2,0),"")</f>
        <v>Vydávání knih</v>
      </c>
    </row>
    <row r="723" spans="13:26" ht="12.75">
      <c r="M723" s="335">
        <f>IF(ISNUMBER(SEARCH(ZAKL_DATA!$B$29,N723)),MAX($M$2:M722)+1,0)</f>
        <v>721</v>
      </c>
      <c r="N723" s="336" t="s">
        <v>2857</v>
      </c>
      <c r="O723" s="353" t="s">
        <v>2858</v>
      </c>
      <c r="P723" s="338"/>
      <c r="Q723" s="339" t="str">
        <f>IFERROR(VLOOKUP(ROWS($Q$3:Q723),$M$3:$N$992,2,0),"")</f>
        <v>Vydávání adresářů a jiných seznamů</v>
      </c>
      <c r="R723">
        <f>IF(ISNUMBER(SEARCH('1Př1'!$A$33,N723)),MAX($M$2:M722)+1,0)</f>
        <v>721</v>
      </c>
      <c r="S723" s="336" t="s">
        <v>2857</v>
      </c>
      <c r="T723" t="str">
        <f>IFERROR(VLOOKUP(ROWS($T$3:T723),$R$3:$S$992,2,0),"")</f>
        <v>Vydávání adresářů a jiných seznamů</v>
      </c>
      <c r="U723">
        <f>IF(ISNUMBER(SEARCH('1Př1'!$A$34,N723)),MAX($M$2:M722)+1,0)</f>
        <v>721</v>
      </c>
      <c r="V723" s="336" t="s">
        <v>2857</v>
      </c>
      <c r="W723" t="str">
        <f>IFERROR(VLOOKUP(ROWS($W$3:W723),$U$3:$V$992,2,0),"")</f>
        <v>Vydávání adresářů a jiných seznamů</v>
      </c>
      <c r="X723">
        <f>IF(ISNUMBER(SEARCH('1Př1'!$A$35,N723)),MAX($M$2:M722)+1,0)</f>
        <v>721</v>
      </c>
      <c r="Y723" s="336" t="s">
        <v>2857</v>
      </c>
      <c r="Z723" t="str">
        <f>IFERROR(VLOOKUP(ROWS($Z$3:Z723),$X$3:$Y$992,2,0),"")</f>
        <v>Vydávání adresářů a jiných seznamů</v>
      </c>
    </row>
    <row r="724" spans="13:26" ht="12.75">
      <c r="M724" s="335">
        <f>IF(ISNUMBER(SEARCH(ZAKL_DATA!$B$29,N724)),MAX($M$2:M723)+1,0)</f>
        <v>722</v>
      </c>
      <c r="N724" s="336" t="s">
        <v>2859</v>
      </c>
      <c r="O724" s="353" t="s">
        <v>2860</v>
      </c>
      <c r="P724" s="338"/>
      <c r="Q724" s="339" t="str">
        <f>IFERROR(VLOOKUP(ROWS($Q$3:Q724),$M$3:$N$992,2,0),"")</f>
        <v>Vydávání novin</v>
      </c>
      <c r="R724">
        <f>IF(ISNUMBER(SEARCH('1Př1'!$A$33,N724)),MAX($M$2:M723)+1,0)</f>
        <v>722</v>
      </c>
      <c r="S724" s="336" t="s">
        <v>2859</v>
      </c>
      <c r="T724" t="str">
        <f>IFERROR(VLOOKUP(ROWS($T$3:T724),$R$3:$S$992,2,0),"")</f>
        <v>Vydávání novin</v>
      </c>
      <c r="U724">
        <f>IF(ISNUMBER(SEARCH('1Př1'!$A$34,N724)),MAX($M$2:M723)+1,0)</f>
        <v>722</v>
      </c>
      <c r="V724" s="336" t="s">
        <v>2859</v>
      </c>
      <c r="W724" t="str">
        <f>IFERROR(VLOOKUP(ROWS($W$3:W724),$U$3:$V$992,2,0),"")</f>
        <v>Vydávání novin</v>
      </c>
      <c r="X724">
        <f>IF(ISNUMBER(SEARCH('1Př1'!$A$35,N724)),MAX($M$2:M723)+1,0)</f>
        <v>722</v>
      </c>
      <c r="Y724" s="336" t="s">
        <v>2859</v>
      </c>
      <c r="Z724" t="str">
        <f>IFERROR(VLOOKUP(ROWS($Z$3:Z724),$X$3:$Y$992,2,0),"")</f>
        <v>Vydávání novin</v>
      </c>
    </row>
    <row r="725" spans="13:26" ht="12.75">
      <c r="M725" s="335">
        <f>IF(ISNUMBER(SEARCH(ZAKL_DATA!$B$29,N725)),MAX($M$2:M724)+1,0)</f>
        <v>723</v>
      </c>
      <c r="N725" s="336" t="s">
        <v>2861</v>
      </c>
      <c r="O725" s="353" t="s">
        <v>2862</v>
      </c>
      <c r="P725" s="338"/>
      <c r="Q725" s="339" t="str">
        <f>IFERROR(VLOOKUP(ROWS($Q$3:Q725),$M$3:$N$992,2,0),"")</f>
        <v>Vydávání časopisů a ostatních periodických publikací</v>
      </c>
      <c r="R725">
        <f>IF(ISNUMBER(SEARCH('1Př1'!$A$33,N725)),MAX($M$2:M724)+1,0)</f>
        <v>723</v>
      </c>
      <c r="S725" s="336" t="s">
        <v>2861</v>
      </c>
      <c r="T725" t="str">
        <f>IFERROR(VLOOKUP(ROWS($T$3:T725),$R$3:$S$992,2,0),"")</f>
        <v>Vydávání časopisů a ostatních periodických publikací</v>
      </c>
      <c r="U725">
        <f>IF(ISNUMBER(SEARCH('1Př1'!$A$34,N725)),MAX($M$2:M724)+1,0)</f>
        <v>723</v>
      </c>
      <c r="V725" s="336" t="s">
        <v>2861</v>
      </c>
      <c r="W725" t="str">
        <f>IFERROR(VLOOKUP(ROWS($W$3:W725),$U$3:$V$992,2,0),"")</f>
        <v>Vydávání časopisů a ostatních periodických publikací</v>
      </c>
      <c r="X725">
        <f>IF(ISNUMBER(SEARCH('1Př1'!$A$35,N725)),MAX($M$2:M724)+1,0)</f>
        <v>723</v>
      </c>
      <c r="Y725" s="336" t="s">
        <v>2861</v>
      </c>
      <c r="Z725" t="str">
        <f>IFERROR(VLOOKUP(ROWS($Z$3:Z725),$X$3:$Y$992,2,0),"")</f>
        <v>Vydávání časopisů a ostatních periodických publikací</v>
      </c>
    </row>
    <row r="726" spans="13:26" ht="12.75">
      <c r="M726" s="335">
        <f>IF(ISNUMBER(SEARCH(ZAKL_DATA!$B$29,N726)),MAX($M$2:M725)+1,0)</f>
        <v>724</v>
      </c>
      <c r="N726" s="336" t="s">
        <v>2863</v>
      </c>
      <c r="O726" s="353" t="s">
        <v>2864</v>
      </c>
      <c r="P726" s="338"/>
      <c r="Q726" s="339" t="str">
        <f>IFERROR(VLOOKUP(ROWS($Q$3:Q726),$M$3:$N$992,2,0),"")</f>
        <v>Ostatní vydavatelské činnosti</v>
      </c>
      <c r="R726">
        <f>IF(ISNUMBER(SEARCH('1Př1'!$A$33,N726)),MAX($M$2:M725)+1,0)</f>
        <v>724</v>
      </c>
      <c r="S726" s="336" t="s">
        <v>2863</v>
      </c>
      <c r="T726" t="str">
        <f>IFERROR(VLOOKUP(ROWS($T$3:T726),$R$3:$S$992,2,0),"")</f>
        <v>Ostatní vydavatelské činnosti</v>
      </c>
      <c r="U726">
        <f>IF(ISNUMBER(SEARCH('1Př1'!$A$34,N726)),MAX($M$2:M725)+1,0)</f>
        <v>724</v>
      </c>
      <c r="V726" s="336" t="s">
        <v>2863</v>
      </c>
      <c r="W726" t="str">
        <f>IFERROR(VLOOKUP(ROWS($W$3:W726),$U$3:$V$992,2,0),"")</f>
        <v>Ostatní vydavatelské činnosti</v>
      </c>
      <c r="X726">
        <f>IF(ISNUMBER(SEARCH('1Př1'!$A$35,N726)),MAX($M$2:M725)+1,0)</f>
        <v>724</v>
      </c>
      <c r="Y726" s="336" t="s">
        <v>2863</v>
      </c>
      <c r="Z726" t="str">
        <f>IFERROR(VLOOKUP(ROWS($Z$3:Z726),$X$3:$Y$992,2,0),"")</f>
        <v>Ostatní vydavatelské činnosti</v>
      </c>
    </row>
    <row r="727" spans="13:26" ht="12.75">
      <c r="M727" s="335">
        <f>IF(ISNUMBER(SEARCH(ZAKL_DATA!$B$29,N727)),MAX($M$2:M726)+1,0)</f>
        <v>725</v>
      </c>
      <c r="N727" s="336" t="s">
        <v>2865</v>
      </c>
      <c r="O727" s="353" t="s">
        <v>2866</v>
      </c>
      <c r="P727" s="338"/>
      <c r="Q727" s="339" t="str">
        <f>IFERROR(VLOOKUP(ROWS($Q$3:Q727),$M$3:$N$992,2,0),"")</f>
        <v>Vydávání počítačových her</v>
      </c>
      <c r="R727">
        <f>IF(ISNUMBER(SEARCH('1Př1'!$A$33,N727)),MAX($M$2:M726)+1,0)</f>
        <v>725</v>
      </c>
      <c r="S727" s="336" t="s">
        <v>2865</v>
      </c>
      <c r="T727" t="str">
        <f>IFERROR(VLOOKUP(ROWS($T$3:T727),$R$3:$S$992,2,0),"")</f>
        <v>Vydávání počítačových her</v>
      </c>
      <c r="U727">
        <f>IF(ISNUMBER(SEARCH('1Př1'!$A$34,N727)),MAX($M$2:M726)+1,0)</f>
        <v>725</v>
      </c>
      <c r="V727" s="336" t="s">
        <v>2865</v>
      </c>
      <c r="W727" t="str">
        <f>IFERROR(VLOOKUP(ROWS($W$3:W727),$U$3:$V$992,2,0),"")</f>
        <v>Vydávání počítačových her</v>
      </c>
      <c r="X727">
        <f>IF(ISNUMBER(SEARCH('1Př1'!$A$35,N727)),MAX($M$2:M726)+1,0)</f>
        <v>725</v>
      </c>
      <c r="Y727" s="336" t="s">
        <v>2865</v>
      </c>
      <c r="Z727" t="str">
        <f>IFERROR(VLOOKUP(ROWS($Z$3:Z727),$X$3:$Y$992,2,0),"")</f>
        <v>Vydávání počítačových her</v>
      </c>
    </row>
    <row r="728" spans="13:26" ht="12.75">
      <c r="M728" s="335">
        <f>IF(ISNUMBER(SEARCH(ZAKL_DATA!$B$29,N728)),MAX($M$2:M727)+1,0)</f>
        <v>726</v>
      </c>
      <c r="N728" s="336" t="s">
        <v>2867</v>
      </c>
      <c r="O728" s="353" t="s">
        <v>2868</v>
      </c>
      <c r="P728" s="338"/>
      <c r="Q728" s="339" t="str">
        <f>IFERROR(VLOOKUP(ROWS($Q$3:Q728),$M$3:$N$992,2,0),"")</f>
        <v>Ostatní vydávání softwaru</v>
      </c>
      <c r="R728">
        <f>IF(ISNUMBER(SEARCH('1Př1'!$A$33,N728)),MAX($M$2:M727)+1,0)</f>
        <v>726</v>
      </c>
      <c r="S728" s="336" t="s">
        <v>2867</v>
      </c>
      <c r="T728" t="str">
        <f>IFERROR(VLOOKUP(ROWS($T$3:T728),$R$3:$S$992,2,0),"")</f>
        <v>Ostatní vydávání softwaru</v>
      </c>
      <c r="U728">
        <f>IF(ISNUMBER(SEARCH('1Př1'!$A$34,N728)),MAX($M$2:M727)+1,0)</f>
        <v>726</v>
      </c>
      <c r="V728" s="336" t="s">
        <v>2867</v>
      </c>
      <c r="W728" t="str">
        <f>IFERROR(VLOOKUP(ROWS($W$3:W728),$U$3:$V$992,2,0),"")</f>
        <v>Ostatní vydávání softwaru</v>
      </c>
      <c r="X728">
        <f>IF(ISNUMBER(SEARCH('1Př1'!$A$35,N728)),MAX($M$2:M727)+1,0)</f>
        <v>726</v>
      </c>
      <c r="Y728" s="336" t="s">
        <v>2867</v>
      </c>
      <c r="Z728" t="str">
        <f>IFERROR(VLOOKUP(ROWS($Z$3:Z728),$X$3:$Y$992,2,0),"")</f>
        <v>Ostatní vydávání softwaru</v>
      </c>
    </row>
    <row r="729" spans="13:26" ht="12.75">
      <c r="M729" s="335">
        <f>IF(ISNUMBER(SEARCH(ZAKL_DATA!$B$29,N729)),MAX($M$2:M728)+1,0)</f>
        <v>727</v>
      </c>
      <c r="N729" s="336" t="s">
        <v>2869</v>
      </c>
      <c r="O729" s="353" t="s">
        <v>2870</v>
      </c>
      <c r="P729" s="338"/>
      <c r="Q729" s="339" t="str">
        <f>IFERROR(VLOOKUP(ROWS($Q$3:Q729),$M$3:$N$992,2,0),"")</f>
        <v>Produkce filmů, videozáznamů a televizních programů</v>
      </c>
      <c r="R729">
        <f>IF(ISNUMBER(SEARCH('1Př1'!$A$33,N729)),MAX($M$2:M728)+1,0)</f>
        <v>727</v>
      </c>
      <c r="S729" s="336" t="s">
        <v>2869</v>
      </c>
      <c r="T729" t="str">
        <f>IFERROR(VLOOKUP(ROWS($T$3:T729),$R$3:$S$992,2,0),"")</f>
        <v>Produkce filmů, videozáznamů a televizních programů</v>
      </c>
      <c r="U729">
        <f>IF(ISNUMBER(SEARCH('1Př1'!$A$34,N729)),MAX($M$2:M728)+1,0)</f>
        <v>727</v>
      </c>
      <c r="V729" s="336" t="s">
        <v>2869</v>
      </c>
      <c r="W729" t="str">
        <f>IFERROR(VLOOKUP(ROWS($W$3:W729),$U$3:$V$992,2,0),"")</f>
        <v>Produkce filmů, videozáznamů a televizních programů</v>
      </c>
      <c r="X729">
        <f>IF(ISNUMBER(SEARCH('1Př1'!$A$35,N729)),MAX($M$2:M728)+1,0)</f>
        <v>727</v>
      </c>
      <c r="Y729" s="336" t="s">
        <v>2869</v>
      </c>
      <c r="Z729" t="str">
        <f>IFERROR(VLOOKUP(ROWS($Z$3:Z729),$X$3:$Y$992,2,0),"")</f>
        <v>Produkce filmů, videozáznamů a televizních programů</v>
      </c>
    </row>
    <row r="730" spans="13:26" ht="12.75">
      <c r="M730" s="335">
        <f>IF(ISNUMBER(SEARCH(ZAKL_DATA!$B$29,N730)),MAX($M$2:M729)+1,0)</f>
        <v>728</v>
      </c>
      <c r="N730" s="336" t="s">
        <v>2871</v>
      </c>
      <c r="O730" s="353" t="s">
        <v>2872</v>
      </c>
      <c r="P730" s="338"/>
      <c r="Q730" s="339" t="str">
        <f>IFERROR(VLOOKUP(ROWS($Q$3:Q730),$M$3:$N$992,2,0),"")</f>
        <v>Postprodukce filmů, videozáznamů a televizních programů</v>
      </c>
      <c r="R730">
        <f>IF(ISNUMBER(SEARCH('1Př1'!$A$33,N730)),MAX($M$2:M729)+1,0)</f>
        <v>728</v>
      </c>
      <c r="S730" s="336" t="s">
        <v>2871</v>
      </c>
      <c r="T730" t="str">
        <f>IFERROR(VLOOKUP(ROWS($T$3:T730),$R$3:$S$992,2,0),"")</f>
        <v>Postprodukce filmů, videozáznamů a televizních programů</v>
      </c>
      <c r="U730">
        <f>IF(ISNUMBER(SEARCH('1Př1'!$A$34,N730)),MAX($M$2:M729)+1,0)</f>
        <v>728</v>
      </c>
      <c r="V730" s="336" t="s">
        <v>2871</v>
      </c>
      <c r="W730" t="str">
        <f>IFERROR(VLOOKUP(ROWS($W$3:W730),$U$3:$V$992,2,0),"")</f>
        <v>Postprodukce filmů, videozáznamů a televizních programů</v>
      </c>
      <c r="X730">
        <f>IF(ISNUMBER(SEARCH('1Př1'!$A$35,N730)),MAX($M$2:M729)+1,0)</f>
        <v>728</v>
      </c>
      <c r="Y730" s="336" t="s">
        <v>2871</v>
      </c>
      <c r="Z730" t="str">
        <f>IFERROR(VLOOKUP(ROWS($Z$3:Z730),$X$3:$Y$992,2,0),"")</f>
        <v>Postprodukce filmů, videozáznamů a televizních programů</v>
      </c>
    </row>
    <row r="731" spans="13:26" ht="12.75">
      <c r="M731" s="335">
        <f>IF(ISNUMBER(SEARCH(ZAKL_DATA!$B$29,N731)),MAX($M$2:M730)+1,0)</f>
        <v>729</v>
      </c>
      <c r="N731" s="336" t="s">
        <v>2873</v>
      </c>
      <c r="O731" s="353" t="s">
        <v>2874</v>
      </c>
      <c r="P731" s="338"/>
      <c r="Q731" s="339" t="str">
        <f>IFERROR(VLOOKUP(ROWS($Q$3:Q731),$M$3:$N$992,2,0),"")</f>
        <v>Distribuce filmů, videozáznamů a televizních programů</v>
      </c>
      <c r="R731">
        <f>IF(ISNUMBER(SEARCH('1Př1'!$A$33,N731)),MAX($M$2:M730)+1,0)</f>
        <v>729</v>
      </c>
      <c r="S731" s="336" t="s">
        <v>2873</v>
      </c>
      <c r="T731" t="str">
        <f>IFERROR(VLOOKUP(ROWS($T$3:T731),$R$3:$S$992,2,0),"")</f>
        <v>Distribuce filmů, videozáznamů a televizních programů</v>
      </c>
      <c r="U731">
        <f>IF(ISNUMBER(SEARCH('1Př1'!$A$34,N731)),MAX($M$2:M730)+1,0)</f>
        <v>729</v>
      </c>
      <c r="V731" s="336" t="s">
        <v>2873</v>
      </c>
      <c r="W731" t="str">
        <f>IFERROR(VLOOKUP(ROWS($W$3:W731),$U$3:$V$992,2,0),"")</f>
        <v>Distribuce filmů, videozáznamů a televizních programů</v>
      </c>
      <c r="X731">
        <f>IF(ISNUMBER(SEARCH('1Př1'!$A$35,N731)),MAX($M$2:M730)+1,0)</f>
        <v>729</v>
      </c>
      <c r="Y731" s="336" t="s">
        <v>2873</v>
      </c>
      <c r="Z731" t="str">
        <f>IFERROR(VLOOKUP(ROWS($Z$3:Z731),$X$3:$Y$992,2,0),"")</f>
        <v>Distribuce filmů, videozáznamů a televizních programů</v>
      </c>
    </row>
    <row r="732" spans="13:26" ht="12.75">
      <c r="M732" s="335">
        <f>IF(ISNUMBER(SEARCH(ZAKL_DATA!$B$29,N732)),MAX($M$2:M731)+1,0)</f>
        <v>730</v>
      </c>
      <c r="N732" s="336" t="s">
        <v>2875</v>
      </c>
      <c r="O732" s="353" t="s">
        <v>2876</v>
      </c>
      <c r="P732" s="338"/>
      <c r="Q732" s="339" t="str">
        <f>IFERROR(VLOOKUP(ROWS($Q$3:Q732),$M$3:$N$992,2,0),"")</f>
        <v>Promítání filmů</v>
      </c>
      <c r="R732">
        <f>IF(ISNUMBER(SEARCH('1Př1'!$A$33,N732)),MAX($M$2:M731)+1,0)</f>
        <v>730</v>
      </c>
      <c r="S732" s="336" t="s">
        <v>2875</v>
      </c>
      <c r="T732" t="str">
        <f>IFERROR(VLOOKUP(ROWS($T$3:T732),$R$3:$S$992,2,0),"")</f>
        <v>Promítání filmů</v>
      </c>
      <c r="U732">
        <f>IF(ISNUMBER(SEARCH('1Př1'!$A$34,N732)),MAX($M$2:M731)+1,0)</f>
        <v>730</v>
      </c>
      <c r="V732" s="336" t="s">
        <v>2875</v>
      </c>
      <c r="W732" t="str">
        <f>IFERROR(VLOOKUP(ROWS($W$3:W732),$U$3:$V$992,2,0),"")</f>
        <v>Promítání filmů</v>
      </c>
      <c r="X732">
        <f>IF(ISNUMBER(SEARCH('1Př1'!$A$35,N732)),MAX($M$2:M731)+1,0)</f>
        <v>730</v>
      </c>
      <c r="Y732" s="336" t="s">
        <v>2875</v>
      </c>
      <c r="Z732" t="str">
        <f>IFERROR(VLOOKUP(ROWS($Z$3:Z732),$X$3:$Y$992,2,0),"")</f>
        <v>Promítání filmů</v>
      </c>
    </row>
    <row r="733" spans="13:26" ht="12.75">
      <c r="M733" s="335">
        <f>IF(ISNUMBER(SEARCH(ZAKL_DATA!$B$29,N733)),MAX($M$2:M732)+1,0)</f>
        <v>731</v>
      </c>
      <c r="N733" s="336" t="s">
        <v>2877</v>
      </c>
      <c r="O733" s="353" t="s">
        <v>2878</v>
      </c>
      <c r="P733" s="338"/>
      <c r="Q733" s="339" t="str">
        <f>IFERROR(VLOOKUP(ROWS($Q$3:Q733),$M$3:$N$992,2,0),"")</f>
        <v>Programování</v>
      </c>
      <c r="R733">
        <f>IF(ISNUMBER(SEARCH('1Př1'!$A$33,N733)),MAX($M$2:M732)+1,0)</f>
        <v>731</v>
      </c>
      <c r="S733" s="336" t="s">
        <v>2877</v>
      </c>
      <c r="T733" t="str">
        <f>IFERROR(VLOOKUP(ROWS($T$3:T733),$R$3:$S$992,2,0),"")</f>
        <v>Programování</v>
      </c>
      <c r="U733">
        <f>IF(ISNUMBER(SEARCH('1Př1'!$A$34,N733)),MAX($M$2:M732)+1,0)</f>
        <v>731</v>
      </c>
      <c r="V733" s="336" t="s">
        <v>2877</v>
      </c>
      <c r="W733" t="str">
        <f>IFERROR(VLOOKUP(ROWS($W$3:W733),$U$3:$V$992,2,0),"")</f>
        <v>Programování</v>
      </c>
      <c r="X733">
        <f>IF(ISNUMBER(SEARCH('1Př1'!$A$35,N733)),MAX($M$2:M732)+1,0)</f>
        <v>731</v>
      </c>
      <c r="Y733" s="336" t="s">
        <v>2877</v>
      </c>
      <c r="Z733" t="str">
        <f>IFERROR(VLOOKUP(ROWS($Z$3:Z733),$X$3:$Y$992,2,0),"")</f>
        <v>Programování</v>
      </c>
    </row>
    <row r="734" spans="13:26" ht="12.75">
      <c r="M734" s="335">
        <f>IF(ISNUMBER(SEARCH(ZAKL_DATA!$B$29,N734)),MAX($M$2:M733)+1,0)</f>
        <v>732</v>
      </c>
      <c r="N734" s="336" t="s">
        <v>2879</v>
      </c>
      <c r="O734" s="353" t="s">
        <v>2880</v>
      </c>
      <c r="P734" s="338"/>
      <c r="Q734" s="339" t="str">
        <f>IFERROR(VLOOKUP(ROWS($Q$3:Q734),$M$3:$N$992,2,0),"")</f>
        <v>Poradenství v oblasti informačních technologií</v>
      </c>
      <c r="R734">
        <f>IF(ISNUMBER(SEARCH('1Př1'!$A$33,N734)),MAX($M$2:M733)+1,0)</f>
        <v>732</v>
      </c>
      <c r="S734" s="336" t="s">
        <v>2879</v>
      </c>
      <c r="T734" t="str">
        <f>IFERROR(VLOOKUP(ROWS($T$3:T734),$R$3:$S$992,2,0),"")</f>
        <v>Poradenství v oblasti informačních technologií</v>
      </c>
      <c r="U734">
        <f>IF(ISNUMBER(SEARCH('1Př1'!$A$34,N734)),MAX($M$2:M733)+1,0)</f>
        <v>732</v>
      </c>
      <c r="V734" s="336" t="s">
        <v>2879</v>
      </c>
      <c r="W734" t="str">
        <f>IFERROR(VLOOKUP(ROWS($W$3:W734),$U$3:$V$992,2,0),"")</f>
        <v>Poradenství v oblasti informačních technologií</v>
      </c>
      <c r="X734">
        <f>IF(ISNUMBER(SEARCH('1Př1'!$A$35,N734)),MAX($M$2:M733)+1,0)</f>
        <v>732</v>
      </c>
      <c r="Y734" s="336" t="s">
        <v>2879</v>
      </c>
      <c r="Z734" t="str">
        <f>IFERROR(VLOOKUP(ROWS($Z$3:Z734),$X$3:$Y$992,2,0),"")</f>
        <v>Poradenství v oblasti informačních technologií</v>
      </c>
    </row>
    <row r="735" spans="13:26" ht="12.75">
      <c r="M735" s="335">
        <f>IF(ISNUMBER(SEARCH(ZAKL_DATA!$B$29,N735)),MAX($M$2:M734)+1,0)</f>
        <v>733</v>
      </c>
      <c r="N735" s="336" t="s">
        <v>2881</v>
      </c>
      <c r="O735" s="353" t="s">
        <v>2882</v>
      </c>
      <c r="P735" s="338"/>
      <c r="Q735" s="339" t="str">
        <f>IFERROR(VLOOKUP(ROWS($Q$3:Q735),$M$3:$N$992,2,0),"")</f>
        <v>Správa počítačového vybavení</v>
      </c>
      <c r="R735">
        <f>IF(ISNUMBER(SEARCH('1Př1'!$A$33,N735)),MAX($M$2:M734)+1,0)</f>
        <v>733</v>
      </c>
      <c r="S735" s="336" t="s">
        <v>2881</v>
      </c>
      <c r="T735" t="str">
        <f>IFERROR(VLOOKUP(ROWS($T$3:T735),$R$3:$S$992,2,0),"")</f>
        <v>Správa počítačového vybavení</v>
      </c>
      <c r="U735">
        <f>IF(ISNUMBER(SEARCH('1Př1'!$A$34,N735)),MAX($M$2:M734)+1,0)</f>
        <v>733</v>
      </c>
      <c r="V735" s="336" t="s">
        <v>2881</v>
      </c>
      <c r="W735" t="str">
        <f>IFERROR(VLOOKUP(ROWS($W$3:W735),$U$3:$V$992,2,0),"")</f>
        <v>Správa počítačového vybavení</v>
      </c>
      <c r="X735">
        <f>IF(ISNUMBER(SEARCH('1Př1'!$A$35,N735)),MAX($M$2:M734)+1,0)</f>
        <v>733</v>
      </c>
      <c r="Y735" s="336" t="s">
        <v>2881</v>
      </c>
      <c r="Z735" t="str">
        <f>IFERROR(VLOOKUP(ROWS($Z$3:Z735),$X$3:$Y$992,2,0),"")</f>
        <v>Správa počítačového vybavení</v>
      </c>
    </row>
    <row r="736" spans="13:26" ht="12.75">
      <c r="M736" s="335">
        <f>IF(ISNUMBER(SEARCH(ZAKL_DATA!$B$29,N736)),MAX($M$2:M735)+1,0)</f>
        <v>734</v>
      </c>
      <c r="N736" s="336" t="s">
        <v>2883</v>
      </c>
      <c r="O736" s="353" t="s">
        <v>2884</v>
      </c>
      <c r="P736" s="338"/>
      <c r="Q736" s="339" t="str">
        <f>IFERROR(VLOOKUP(ROWS($Q$3:Q736),$M$3:$N$992,2,0),"")</f>
        <v>Ostatní činnosti v oblasti informačních technologií</v>
      </c>
      <c r="R736">
        <f>IF(ISNUMBER(SEARCH('1Př1'!$A$33,N736)),MAX($M$2:M735)+1,0)</f>
        <v>734</v>
      </c>
      <c r="S736" s="336" t="s">
        <v>2883</v>
      </c>
      <c r="T736" t="str">
        <f>IFERROR(VLOOKUP(ROWS($T$3:T736),$R$3:$S$992,2,0),"")</f>
        <v>Ostatní činnosti v oblasti informačních technologií</v>
      </c>
      <c r="U736">
        <f>IF(ISNUMBER(SEARCH('1Př1'!$A$34,N736)),MAX($M$2:M735)+1,0)</f>
        <v>734</v>
      </c>
      <c r="V736" s="336" t="s">
        <v>2883</v>
      </c>
      <c r="W736" t="str">
        <f>IFERROR(VLOOKUP(ROWS($W$3:W736),$U$3:$V$992,2,0),"")</f>
        <v>Ostatní činnosti v oblasti informačních technologií</v>
      </c>
      <c r="X736">
        <f>IF(ISNUMBER(SEARCH('1Př1'!$A$35,N736)),MAX($M$2:M735)+1,0)</f>
        <v>734</v>
      </c>
      <c r="Y736" s="336" t="s">
        <v>2883</v>
      </c>
      <c r="Z736" t="str">
        <f>IFERROR(VLOOKUP(ROWS($Z$3:Z736),$X$3:$Y$992,2,0),"")</f>
        <v>Ostatní činnosti v oblasti informačních technologií</v>
      </c>
    </row>
    <row r="737" spans="13:26" ht="12.75">
      <c r="M737" s="335">
        <f>IF(ISNUMBER(SEARCH(ZAKL_DATA!$B$29,N737)),MAX($M$2:M736)+1,0)</f>
        <v>735</v>
      </c>
      <c r="N737" s="336" t="s">
        <v>2885</v>
      </c>
      <c r="O737" s="353" t="s">
        <v>2886</v>
      </c>
      <c r="P737" s="338"/>
      <c r="Q737" s="339" t="str">
        <f>IFERROR(VLOOKUP(ROWS($Q$3:Q737),$M$3:$N$992,2,0),"")</f>
        <v>Činnosti související se zpracováním dat a hostingem</v>
      </c>
      <c r="R737">
        <f>IF(ISNUMBER(SEARCH('1Př1'!$A$33,N737)),MAX($M$2:M736)+1,0)</f>
        <v>735</v>
      </c>
      <c r="S737" s="336" t="s">
        <v>2885</v>
      </c>
      <c r="T737" t="str">
        <f>IFERROR(VLOOKUP(ROWS($T$3:T737),$R$3:$S$992,2,0),"")</f>
        <v>Činnosti související se zpracováním dat a hostingem</v>
      </c>
      <c r="U737">
        <f>IF(ISNUMBER(SEARCH('1Př1'!$A$34,N737)),MAX($M$2:M736)+1,0)</f>
        <v>735</v>
      </c>
      <c r="V737" s="336" t="s">
        <v>2885</v>
      </c>
      <c r="W737" t="str">
        <f>IFERROR(VLOOKUP(ROWS($W$3:W737),$U$3:$V$992,2,0),"")</f>
        <v>Činnosti související se zpracováním dat a hostingem</v>
      </c>
      <c r="X737">
        <f>IF(ISNUMBER(SEARCH('1Př1'!$A$35,N737)),MAX($M$2:M736)+1,0)</f>
        <v>735</v>
      </c>
      <c r="Y737" s="336" t="s">
        <v>2885</v>
      </c>
      <c r="Z737" t="str">
        <f>IFERROR(VLOOKUP(ROWS($Z$3:Z737),$X$3:$Y$992,2,0),"")</f>
        <v>Činnosti související se zpracováním dat a hostingem</v>
      </c>
    </row>
    <row r="738" spans="13:26" ht="12.75">
      <c r="M738" s="335">
        <f>IF(ISNUMBER(SEARCH(ZAKL_DATA!$B$29,N738)),MAX($M$2:M737)+1,0)</f>
        <v>736</v>
      </c>
      <c r="N738" s="336" t="s">
        <v>2887</v>
      </c>
      <c r="O738" s="353" t="s">
        <v>2888</v>
      </c>
      <c r="P738" s="338"/>
      <c r="Q738" s="339" t="str">
        <f>IFERROR(VLOOKUP(ROWS($Q$3:Q738),$M$3:$N$992,2,0),"")</f>
        <v>Činnosti související s webovými portály</v>
      </c>
      <c r="R738">
        <f>IF(ISNUMBER(SEARCH('1Př1'!$A$33,N738)),MAX($M$2:M737)+1,0)</f>
        <v>736</v>
      </c>
      <c r="S738" s="336" t="s">
        <v>2887</v>
      </c>
      <c r="T738" t="str">
        <f>IFERROR(VLOOKUP(ROWS($T$3:T738),$R$3:$S$992,2,0),"")</f>
        <v>Činnosti související s webovými portály</v>
      </c>
      <c r="U738">
        <f>IF(ISNUMBER(SEARCH('1Př1'!$A$34,N738)),MAX($M$2:M737)+1,0)</f>
        <v>736</v>
      </c>
      <c r="V738" s="336" t="s">
        <v>2887</v>
      </c>
      <c r="W738" t="str">
        <f>IFERROR(VLOOKUP(ROWS($W$3:W738),$U$3:$V$992,2,0),"")</f>
        <v>Činnosti související s webovými portály</v>
      </c>
      <c r="X738">
        <f>IF(ISNUMBER(SEARCH('1Př1'!$A$35,N738)),MAX($M$2:M737)+1,0)</f>
        <v>736</v>
      </c>
      <c r="Y738" s="336" t="s">
        <v>2887</v>
      </c>
      <c r="Z738" t="str">
        <f>IFERROR(VLOOKUP(ROWS($Z$3:Z738),$X$3:$Y$992,2,0),"")</f>
        <v>Činnosti související s webovými portály</v>
      </c>
    </row>
    <row r="739" spans="13:26" ht="12.75">
      <c r="M739" s="335">
        <f>IF(ISNUMBER(SEARCH(ZAKL_DATA!$B$29,N739)),MAX($M$2:M738)+1,0)</f>
        <v>737</v>
      </c>
      <c r="N739" s="336" t="s">
        <v>2889</v>
      </c>
      <c r="O739" s="353" t="s">
        <v>2890</v>
      </c>
      <c r="P739" s="338"/>
      <c r="Q739" s="339" t="str">
        <f>IFERROR(VLOOKUP(ROWS($Q$3:Q739),$M$3:$N$992,2,0),"")</f>
        <v>Činnosti zpravodajských tiskových kanceláří a agentur</v>
      </c>
      <c r="R739">
        <f>IF(ISNUMBER(SEARCH('1Př1'!$A$33,N739)),MAX($M$2:M738)+1,0)</f>
        <v>737</v>
      </c>
      <c r="S739" s="336" t="s">
        <v>2889</v>
      </c>
      <c r="T739" t="str">
        <f>IFERROR(VLOOKUP(ROWS($T$3:T739),$R$3:$S$992,2,0),"")</f>
        <v>Činnosti zpravodajských tiskových kanceláří a agentur</v>
      </c>
      <c r="U739">
        <f>IF(ISNUMBER(SEARCH('1Př1'!$A$34,N739)),MAX($M$2:M738)+1,0)</f>
        <v>737</v>
      </c>
      <c r="V739" s="336" t="s">
        <v>2889</v>
      </c>
      <c r="W739" t="str">
        <f>IFERROR(VLOOKUP(ROWS($W$3:W739),$U$3:$V$992,2,0),"")</f>
        <v>Činnosti zpravodajských tiskových kanceláří a agentur</v>
      </c>
      <c r="X739">
        <f>IF(ISNUMBER(SEARCH('1Př1'!$A$35,N739)),MAX($M$2:M738)+1,0)</f>
        <v>737</v>
      </c>
      <c r="Y739" s="336" t="s">
        <v>2889</v>
      </c>
      <c r="Z739" t="str">
        <f>IFERROR(VLOOKUP(ROWS($Z$3:Z739),$X$3:$Y$992,2,0),"")</f>
        <v>Činnosti zpravodajských tiskových kanceláří a agentur</v>
      </c>
    </row>
    <row r="740" spans="13:26" ht="12.75">
      <c r="M740" s="335">
        <f>IF(ISNUMBER(SEARCH(ZAKL_DATA!$B$29,N740)),MAX($M$2:M739)+1,0)</f>
        <v>738</v>
      </c>
      <c r="N740" s="336" t="s">
        <v>2891</v>
      </c>
      <c r="O740" s="353" t="s">
        <v>2892</v>
      </c>
      <c r="P740" s="338"/>
      <c r="Q740" s="339" t="str">
        <f>IFERROR(VLOOKUP(ROWS($Q$3:Q740),$M$3:$N$992,2,0),"")</f>
        <v>Ostatní informační činnosti j. n.</v>
      </c>
      <c r="R740">
        <f>IF(ISNUMBER(SEARCH('1Př1'!$A$33,N740)),MAX($M$2:M739)+1,0)</f>
        <v>738</v>
      </c>
      <c r="S740" s="336" t="s">
        <v>2891</v>
      </c>
      <c r="T740" t="str">
        <f>IFERROR(VLOOKUP(ROWS($T$3:T740),$R$3:$S$992,2,0),"")</f>
        <v>Ostatní informační činnosti j. n.</v>
      </c>
      <c r="U740">
        <f>IF(ISNUMBER(SEARCH('1Př1'!$A$34,N740)),MAX($M$2:M739)+1,0)</f>
        <v>738</v>
      </c>
      <c r="V740" s="336" t="s">
        <v>2891</v>
      </c>
      <c r="W740" t="str">
        <f>IFERROR(VLOOKUP(ROWS($W$3:W740),$U$3:$V$992,2,0),"")</f>
        <v>Ostatní informační činnosti j. n.</v>
      </c>
      <c r="X740">
        <f>IF(ISNUMBER(SEARCH('1Př1'!$A$35,N740)),MAX($M$2:M739)+1,0)</f>
        <v>738</v>
      </c>
      <c r="Y740" s="336" t="s">
        <v>2891</v>
      </c>
      <c r="Z740" t="str">
        <f>IFERROR(VLOOKUP(ROWS($Z$3:Z740),$X$3:$Y$992,2,0),"")</f>
        <v>Ostatní informační činnosti j. n.</v>
      </c>
    </row>
    <row r="741" spans="13:26" ht="12.75">
      <c r="M741" s="335">
        <f>IF(ISNUMBER(SEARCH(ZAKL_DATA!$B$29,N741)),MAX($M$2:M740)+1,0)</f>
        <v>739</v>
      </c>
      <c r="N741" s="336" t="s">
        <v>2893</v>
      </c>
      <c r="O741" s="353" t="s">
        <v>2894</v>
      </c>
      <c r="P741" s="338"/>
      <c r="Q741" s="339" t="str">
        <f>IFERROR(VLOOKUP(ROWS($Q$3:Q741),$M$3:$N$992,2,0),"")</f>
        <v>Centrální bankovnictví</v>
      </c>
      <c r="R741">
        <f>IF(ISNUMBER(SEARCH('1Př1'!$A$33,N741)),MAX($M$2:M740)+1,0)</f>
        <v>739</v>
      </c>
      <c r="S741" s="336" t="s">
        <v>2893</v>
      </c>
      <c r="T741" t="str">
        <f>IFERROR(VLOOKUP(ROWS($T$3:T741),$R$3:$S$992,2,0),"")</f>
        <v>Centrální bankovnictví</v>
      </c>
      <c r="U741">
        <f>IF(ISNUMBER(SEARCH('1Př1'!$A$34,N741)),MAX($M$2:M740)+1,0)</f>
        <v>739</v>
      </c>
      <c r="V741" s="336" t="s">
        <v>2893</v>
      </c>
      <c r="W741" t="str">
        <f>IFERROR(VLOOKUP(ROWS($W$3:W741),$U$3:$V$992,2,0),"")</f>
        <v>Centrální bankovnictví</v>
      </c>
      <c r="X741">
        <f>IF(ISNUMBER(SEARCH('1Př1'!$A$35,N741)),MAX($M$2:M740)+1,0)</f>
        <v>739</v>
      </c>
      <c r="Y741" s="336" t="s">
        <v>2893</v>
      </c>
      <c r="Z741" t="str">
        <f>IFERROR(VLOOKUP(ROWS($Z$3:Z741),$X$3:$Y$992,2,0),"")</f>
        <v>Centrální bankovnictví</v>
      </c>
    </row>
    <row r="742" spans="13:26" ht="12.75">
      <c r="M742" s="335">
        <f>IF(ISNUMBER(SEARCH(ZAKL_DATA!$B$29,N742)),MAX($M$2:M741)+1,0)</f>
        <v>740</v>
      </c>
      <c r="N742" s="336" t="s">
        <v>2895</v>
      </c>
      <c r="O742" s="353" t="s">
        <v>2896</v>
      </c>
      <c r="P742" s="338"/>
      <c r="Q742" s="339" t="str">
        <f>IFERROR(VLOOKUP(ROWS($Q$3:Q742),$M$3:$N$992,2,0),"")</f>
        <v>Ostatní peněžní zprostředkování</v>
      </c>
      <c r="R742">
        <f>IF(ISNUMBER(SEARCH('1Př1'!$A$33,N742)),MAX($M$2:M741)+1,0)</f>
        <v>740</v>
      </c>
      <c r="S742" s="336" t="s">
        <v>2895</v>
      </c>
      <c r="T742" t="str">
        <f>IFERROR(VLOOKUP(ROWS($T$3:T742),$R$3:$S$992,2,0),"")</f>
        <v>Ostatní peněžní zprostředkování</v>
      </c>
      <c r="U742">
        <f>IF(ISNUMBER(SEARCH('1Př1'!$A$34,N742)),MAX($M$2:M741)+1,0)</f>
        <v>740</v>
      </c>
      <c r="V742" s="336" t="s">
        <v>2895</v>
      </c>
      <c r="W742" t="str">
        <f>IFERROR(VLOOKUP(ROWS($W$3:W742),$U$3:$V$992,2,0),"")</f>
        <v>Ostatní peněžní zprostředkování</v>
      </c>
      <c r="X742">
        <f>IF(ISNUMBER(SEARCH('1Př1'!$A$35,N742)),MAX($M$2:M741)+1,0)</f>
        <v>740</v>
      </c>
      <c r="Y742" s="336" t="s">
        <v>2895</v>
      </c>
      <c r="Z742" t="str">
        <f>IFERROR(VLOOKUP(ROWS($Z$3:Z742),$X$3:$Y$992,2,0),"")</f>
        <v>Ostatní peněžní zprostředkování</v>
      </c>
    </row>
    <row r="743" spans="13:26" ht="12.75">
      <c r="M743" s="335">
        <f>IF(ISNUMBER(SEARCH(ZAKL_DATA!$B$29,N743)),MAX($M$2:M742)+1,0)</f>
        <v>741</v>
      </c>
      <c r="N743" s="336" t="s">
        <v>2897</v>
      </c>
      <c r="O743" s="353" t="s">
        <v>2898</v>
      </c>
      <c r="P743" s="338"/>
      <c r="Q743" s="339" t="str">
        <f>IFERROR(VLOOKUP(ROWS($Q$3:Q743),$M$3:$N$992,2,0),"")</f>
        <v>Finanční leasing</v>
      </c>
      <c r="R743">
        <f>IF(ISNUMBER(SEARCH('1Př1'!$A$33,N743)),MAX($M$2:M742)+1,0)</f>
        <v>741</v>
      </c>
      <c r="S743" s="336" t="s">
        <v>2897</v>
      </c>
      <c r="T743" t="str">
        <f>IFERROR(VLOOKUP(ROWS($T$3:T743),$R$3:$S$992,2,0),"")</f>
        <v>Finanční leasing</v>
      </c>
      <c r="U743">
        <f>IF(ISNUMBER(SEARCH('1Př1'!$A$34,N743)),MAX($M$2:M742)+1,0)</f>
        <v>741</v>
      </c>
      <c r="V743" s="336" t="s">
        <v>2897</v>
      </c>
      <c r="W743" t="str">
        <f>IFERROR(VLOOKUP(ROWS($W$3:W743),$U$3:$V$992,2,0),"")</f>
        <v>Finanční leasing</v>
      </c>
      <c r="X743">
        <f>IF(ISNUMBER(SEARCH('1Př1'!$A$35,N743)),MAX($M$2:M742)+1,0)</f>
        <v>741</v>
      </c>
      <c r="Y743" s="336" t="s">
        <v>2897</v>
      </c>
      <c r="Z743" t="str">
        <f>IFERROR(VLOOKUP(ROWS($Z$3:Z743),$X$3:$Y$992,2,0),"")</f>
        <v>Finanční leasing</v>
      </c>
    </row>
    <row r="744" spans="13:26" ht="12.75">
      <c r="M744" s="335">
        <f>IF(ISNUMBER(SEARCH(ZAKL_DATA!$B$29,N744)),MAX($M$2:M743)+1,0)</f>
        <v>742</v>
      </c>
      <c r="N744" s="336" t="s">
        <v>2899</v>
      </c>
      <c r="O744" s="353" t="s">
        <v>2900</v>
      </c>
      <c r="P744" s="338"/>
      <c r="Q744" s="339" t="str">
        <f>IFERROR(VLOOKUP(ROWS($Q$3:Q744),$M$3:$N$992,2,0),"")</f>
        <v>Ostatní poskytování úvěrů</v>
      </c>
      <c r="R744">
        <f>IF(ISNUMBER(SEARCH('1Př1'!$A$33,N744)),MAX($M$2:M743)+1,0)</f>
        <v>742</v>
      </c>
      <c r="S744" s="336" t="s">
        <v>2899</v>
      </c>
      <c r="T744" t="str">
        <f>IFERROR(VLOOKUP(ROWS($T$3:T744),$R$3:$S$992,2,0),"")</f>
        <v>Ostatní poskytování úvěrů</v>
      </c>
      <c r="U744">
        <f>IF(ISNUMBER(SEARCH('1Př1'!$A$34,N744)),MAX($M$2:M743)+1,0)</f>
        <v>742</v>
      </c>
      <c r="V744" s="336" t="s">
        <v>2899</v>
      </c>
      <c r="W744" t="str">
        <f>IFERROR(VLOOKUP(ROWS($W$3:W744),$U$3:$V$992,2,0),"")</f>
        <v>Ostatní poskytování úvěrů</v>
      </c>
      <c r="X744">
        <f>IF(ISNUMBER(SEARCH('1Př1'!$A$35,N744)),MAX($M$2:M743)+1,0)</f>
        <v>742</v>
      </c>
      <c r="Y744" s="336" t="s">
        <v>2899</v>
      </c>
      <c r="Z744" t="str">
        <f>IFERROR(VLOOKUP(ROWS($Z$3:Z744),$X$3:$Y$992,2,0),"")</f>
        <v>Ostatní poskytování úvěrů</v>
      </c>
    </row>
    <row r="745" spans="13:26" ht="12.75">
      <c r="M745" s="335">
        <f>IF(ISNUMBER(SEARCH(ZAKL_DATA!$B$29,N745)),MAX($M$2:M744)+1,0)</f>
        <v>743</v>
      </c>
      <c r="N745" s="336" t="s">
        <v>2901</v>
      </c>
      <c r="O745" s="353" t="s">
        <v>2902</v>
      </c>
      <c r="P745" s="338"/>
      <c r="Q745" s="339" t="str">
        <f>IFERROR(VLOOKUP(ROWS($Q$3:Q745),$M$3:$N$992,2,0),"")</f>
        <v>Ostatní finanční zprostředkování j. n.</v>
      </c>
      <c r="R745">
        <f>IF(ISNUMBER(SEARCH('1Př1'!$A$33,N745)),MAX($M$2:M744)+1,0)</f>
        <v>743</v>
      </c>
      <c r="S745" s="336" t="s">
        <v>2901</v>
      </c>
      <c r="T745" t="str">
        <f>IFERROR(VLOOKUP(ROWS($T$3:T745),$R$3:$S$992,2,0),"")</f>
        <v>Ostatní finanční zprostředkování j. n.</v>
      </c>
      <c r="U745">
        <f>IF(ISNUMBER(SEARCH('1Př1'!$A$34,N745)),MAX($M$2:M744)+1,0)</f>
        <v>743</v>
      </c>
      <c r="V745" s="336" t="s">
        <v>2901</v>
      </c>
      <c r="W745" t="str">
        <f>IFERROR(VLOOKUP(ROWS($W$3:W745),$U$3:$V$992,2,0),"")</f>
        <v>Ostatní finanční zprostředkování j. n.</v>
      </c>
      <c r="X745">
        <f>IF(ISNUMBER(SEARCH('1Př1'!$A$35,N745)),MAX($M$2:M744)+1,0)</f>
        <v>743</v>
      </c>
      <c r="Y745" s="336" t="s">
        <v>2901</v>
      </c>
      <c r="Z745" t="str">
        <f>IFERROR(VLOOKUP(ROWS($Z$3:Z745),$X$3:$Y$992,2,0),"")</f>
        <v>Ostatní finanční zprostředkování j. n.</v>
      </c>
    </row>
    <row r="746" spans="13:26" ht="12.75">
      <c r="M746" s="335">
        <f>IF(ISNUMBER(SEARCH(ZAKL_DATA!$B$29,N746)),MAX($M$2:M745)+1,0)</f>
        <v>744</v>
      </c>
      <c r="N746" s="336" t="s">
        <v>2903</v>
      </c>
      <c r="O746" s="353" t="s">
        <v>2904</v>
      </c>
      <c r="P746" s="338"/>
      <c r="Q746" s="339" t="str">
        <f>IFERROR(VLOOKUP(ROWS($Q$3:Q746),$M$3:$N$992,2,0),"")</f>
        <v>životní pojištění</v>
      </c>
      <c r="R746">
        <f>IF(ISNUMBER(SEARCH('1Př1'!$A$33,N746)),MAX($M$2:M745)+1,0)</f>
        <v>744</v>
      </c>
      <c r="S746" s="336" t="s">
        <v>2903</v>
      </c>
      <c r="T746" t="str">
        <f>IFERROR(VLOOKUP(ROWS($T$3:T746),$R$3:$S$992,2,0),"")</f>
        <v>životní pojištění</v>
      </c>
      <c r="U746">
        <f>IF(ISNUMBER(SEARCH('1Př1'!$A$34,N746)),MAX($M$2:M745)+1,0)</f>
        <v>744</v>
      </c>
      <c r="V746" s="336" t="s">
        <v>2903</v>
      </c>
      <c r="W746" t="str">
        <f>IFERROR(VLOOKUP(ROWS($W$3:W746),$U$3:$V$992,2,0),"")</f>
        <v>životní pojištění</v>
      </c>
      <c r="X746">
        <f>IF(ISNUMBER(SEARCH('1Př1'!$A$35,N746)),MAX($M$2:M745)+1,0)</f>
        <v>744</v>
      </c>
      <c r="Y746" s="336" t="s">
        <v>2903</v>
      </c>
      <c r="Z746" t="str">
        <f>IFERROR(VLOOKUP(ROWS($Z$3:Z746),$X$3:$Y$992,2,0),"")</f>
        <v>životní pojištění</v>
      </c>
    </row>
    <row r="747" spans="13:26" ht="12.75">
      <c r="M747" s="335">
        <f>IF(ISNUMBER(SEARCH(ZAKL_DATA!$B$29,N747)),MAX($M$2:M746)+1,0)</f>
        <v>745</v>
      </c>
      <c r="N747" s="336" t="s">
        <v>2905</v>
      </c>
      <c r="O747" s="353" t="s">
        <v>2906</v>
      </c>
      <c r="P747" s="338"/>
      <c r="Q747" s="339" t="str">
        <f>IFERROR(VLOOKUP(ROWS($Q$3:Q747),$M$3:$N$992,2,0),"")</f>
        <v>Neživotní pojištění</v>
      </c>
      <c r="R747">
        <f>IF(ISNUMBER(SEARCH('1Př1'!$A$33,N747)),MAX($M$2:M746)+1,0)</f>
        <v>745</v>
      </c>
      <c r="S747" s="336" t="s">
        <v>2905</v>
      </c>
      <c r="T747" t="str">
        <f>IFERROR(VLOOKUP(ROWS($T$3:T747),$R$3:$S$992,2,0),"")</f>
        <v>Neživotní pojištění</v>
      </c>
      <c r="U747">
        <f>IF(ISNUMBER(SEARCH('1Př1'!$A$34,N747)),MAX($M$2:M746)+1,0)</f>
        <v>745</v>
      </c>
      <c r="V747" s="336" t="s">
        <v>2905</v>
      </c>
      <c r="W747" t="str">
        <f>IFERROR(VLOOKUP(ROWS($W$3:W747),$U$3:$V$992,2,0),"")</f>
        <v>Neživotní pojištění</v>
      </c>
      <c r="X747">
        <f>IF(ISNUMBER(SEARCH('1Př1'!$A$35,N747)),MAX($M$2:M746)+1,0)</f>
        <v>745</v>
      </c>
      <c r="Y747" s="336" t="s">
        <v>2905</v>
      </c>
      <c r="Z747" t="str">
        <f>IFERROR(VLOOKUP(ROWS($Z$3:Z747),$X$3:$Y$992,2,0),"")</f>
        <v>Neživotní pojištění</v>
      </c>
    </row>
    <row r="748" spans="13:26" ht="12.75">
      <c r="M748" s="335">
        <f>IF(ISNUMBER(SEARCH(ZAKL_DATA!$B$29,N748)),MAX($M$2:M747)+1,0)</f>
        <v>746</v>
      </c>
      <c r="N748" s="336" t="s">
        <v>2907</v>
      </c>
      <c r="O748" s="353" t="s">
        <v>2908</v>
      </c>
      <c r="P748" s="338"/>
      <c r="Q748" s="339" t="str">
        <f>IFERROR(VLOOKUP(ROWS($Q$3:Q748),$M$3:$N$992,2,0),"")</f>
        <v>Řízení a správa finančních trhů</v>
      </c>
      <c r="R748">
        <f>IF(ISNUMBER(SEARCH('1Př1'!$A$33,N748)),MAX($M$2:M747)+1,0)</f>
        <v>746</v>
      </c>
      <c r="S748" s="336" t="s">
        <v>2907</v>
      </c>
      <c r="T748" t="str">
        <f>IFERROR(VLOOKUP(ROWS($T$3:T748),$R$3:$S$992,2,0),"")</f>
        <v>Řízení a správa finančních trhů</v>
      </c>
      <c r="U748">
        <f>IF(ISNUMBER(SEARCH('1Př1'!$A$34,N748)),MAX($M$2:M747)+1,0)</f>
        <v>746</v>
      </c>
      <c r="V748" s="336" t="s">
        <v>2907</v>
      </c>
      <c r="W748" t="str">
        <f>IFERROR(VLOOKUP(ROWS($W$3:W748),$U$3:$V$992,2,0),"")</f>
        <v>Řízení a správa finančních trhů</v>
      </c>
      <c r="X748">
        <f>IF(ISNUMBER(SEARCH('1Př1'!$A$35,N748)),MAX($M$2:M747)+1,0)</f>
        <v>746</v>
      </c>
      <c r="Y748" s="336" t="s">
        <v>2907</v>
      </c>
      <c r="Z748" t="str">
        <f>IFERROR(VLOOKUP(ROWS($Z$3:Z748),$X$3:$Y$992,2,0),"")</f>
        <v>Řízení a správa finančních trhů</v>
      </c>
    </row>
    <row r="749" spans="13:26" ht="12.75">
      <c r="M749" s="335">
        <f>IF(ISNUMBER(SEARCH(ZAKL_DATA!$B$29,N749)),MAX($M$2:M748)+1,0)</f>
        <v>747</v>
      </c>
      <c r="N749" s="336" t="s">
        <v>2909</v>
      </c>
      <c r="O749" s="353" t="s">
        <v>2910</v>
      </c>
      <c r="P749" s="338"/>
      <c r="Q749" s="339" t="str">
        <f>IFERROR(VLOOKUP(ROWS($Q$3:Q749),$M$3:$N$992,2,0),"")</f>
        <v>Obchodování s cennými papíry a komoditami na burzách</v>
      </c>
      <c r="R749">
        <f>IF(ISNUMBER(SEARCH('1Př1'!$A$33,N749)),MAX($M$2:M748)+1,0)</f>
        <v>747</v>
      </c>
      <c r="S749" s="336" t="s">
        <v>2909</v>
      </c>
      <c r="T749" t="str">
        <f>IFERROR(VLOOKUP(ROWS($T$3:T749),$R$3:$S$992,2,0),"")</f>
        <v>Obchodování s cennými papíry a komoditami na burzách</v>
      </c>
      <c r="U749">
        <f>IF(ISNUMBER(SEARCH('1Př1'!$A$34,N749)),MAX($M$2:M748)+1,0)</f>
        <v>747</v>
      </c>
      <c r="V749" s="336" t="s">
        <v>2909</v>
      </c>
      <c r="W749" t="str">
        <f>IFERROR(VLOOKUP(ROWS($W$3:W749),$U$3:$V$992,2,0),"")</f>
        <v>Obchodování s cennými papíry a komoditami na burzách</v>
      </c>
      <c r="X749">
        <f>IF(ISNUMBER(SEARCH('1Př1'!$A$35,N749)),MAX($M$2:M748)+1,0)</f>
        <v>747</v>
      </c>
      <c r="Y749" s="336" t="s">
        <v>2909</v>
      </c>
      <c r="Z749" t="str">
        <f>IFERROR(VLOOKUP(ROWS($Z$3:Z749),$X$3:$Y$992,2,0),"")</f>
        <v>Obchodování s cennými papíry a komoditami na burzách</v>
      </c>
    </row>
    <row r="750" spans="13:26" ht="12.75">
      <c r="M750" s="335">
        <f>IF(ISNUMBER(SEARCH(ZAKL_DATA!$B$29,N750)),MAX($M$2:M749)+1,0)</f>
        <v>748</v>
      </c>
      <c r="N750" s="336" t="s">
        <v>2911</v>
      </c>
      <c r="O750" s="353" t="s">
        <v>2912</v>
      </c>
      <c r="P750" s="338"/>
      <c r="Q750" s="339" t="str">
        <f>IFERROR(VLOOKUP(ROWS($Q$3:Q750),$M$3:$N$992,2,0),"")</f>
        <v>Ostatní pomocné činnosti související s finančním zprostředkováním</v>
      </c>
      <c r="R750">
        <f>IF(ISNUMBER(SEARCH('1Př1'!$A$33,N750)),MAX($M$2:M749)+1,0)</f>
        <v>748</v>
      </c>
      <c r="S750" s="336" t="s">
        <v>2911</v>
      </c>
      <c r="T750" t="str">
        <f>IFERROR(VLOOKUP(ROWS($T$3:T750),$R$3:$S$992,2,0),"")</f>
        <v>Ostatní pomocné činnosti související s finančním zprostředkováním</v>
      </c>
      <c r="U750">
        <f>IF(ISNUMBER(SEARCH('1Př1'!$A$34,N750)),MAX($M$2:M749)+1,0)</f>
        <v>748</v>
      </c>
      <c r="V750" s="336" t="s">
        <v>2911</v>
      </c>
      <c r="W750" t="str">
        <f>IFERROR(VLOOKUP(ROWS($W$3:W750),$U$3:$V$992,2,0),"")</f>
        <v>Ostatní pomocné činnosti související s finančním zprostředkováním</v>
      </c>
      <c r="X750">
        <f>IF(ISNUMBER(SEARCH('1Př1'!$A$35,N750)),MAX($M$2:M749)+1,0)</f>
        <v>748</v>
      </c>
      <c r="Y750" s="336" t="s">
        <v>2911</v>
      </c>
      <c r="Z750" t="str">
        <f>IFERROR(VLOOKUP(ROWS($Z$3:Z750),$X$3:$Y$992,2,0),"")</f>
        <v>Ostatní pomocné činnosti související s finančním zprostředkováním</v>
      </c>
    </row>
    <row r="751" spans="13:26" ht="12.75">
      <c r="M751" s="335">
        <f>IF(ISNUMBER(SEARCH(ZAKL_DATA!$B$29,N751)),MAX($M$2:M750)+1,0)</f>
        <v>749</v>
      </c>
      <c r="N751" s="336" t="s">
        <v>2913</v>
      </c>
      <c r="O751" s="353" t="s">
        <v>2914</v>
      </c>
      <c r="P751" s="338"/>
      <c r="Q751" s="339" t="str">
        <f>IFERROR(VLOOKUP(ROWS($Q$3:Q751),$M$3:$N$992,2,0),"")</f>
        <v>Vyhodnocování rizik a škod</v>
      </c>
      <c r="R751">
        <f>IF(ISNUMBER(SEARCH('1Př1'!$A$33,N751)),MAX($M$2:M750)+1,0)</f>
        <v>749</v>
      </c>
      <c r="S751" s="336" t="s">
        <v>2913</v>
      </c>
      <c r="T751" t="str">
        <f>IFERROR(VLOOKUP(ROWS($T$3:T751),$R$3:$S$992,2,0),"")</f>
        <v>Vyhodnocování rizik a škod</v>
      </c>
      <c r="U751">
        <f>IF(ISNUMBER(SEARCH('1Př1'!$A$34,N751)),MAX($M$2:M750)+1,0)</f>
        <v>749</v>
      </c>
      <c r="V751" s="336" t="s">
        <v>2913</v>
      </c>
      <c r="W751" t="str">
        <f>IFERROR(VLOOKUP(ROWS($W$3:W751),$U$3:$V$992,2,0),"")</f>
        <v>Vyhodnocování rizik a škod</v>
      </c>
      <c r="X751">
        <f>IF(ISNUMBER(SEARCH('1Př1'!$A$35,N751)),MAX($M$2:M750)+1,0)</f>
        <v>749</v>
      </c>
      <c r="Y751" s="336" t="s">
        <v>2913</v>
      </c>
      <c r="Z751" t="str">
        <f>IFERROR(VLOOKUP(ROWS($Z$3:Z751),$X$3:$Y$992,2,0),"")</f>
        <v>Vyhodnocování rizik a škod</v>
      </c>
    </row>
    <row r="752" spans="13:26" ht="12.75">
      <c r="M752" s="335">
        <f>IF(ISNUMBER(SEARCH(ZAKL_DATA!$B$29,N752)),MAX($M$2:M751)+1,0)</f>
        <v>750</v>
      </c>
      <c r="N752" s="336" t="s">
        <v>2915</v>
      </c>
      <c r="O752" s="353" t="s">
        <v>2916</v>
      </c>
      <c r="P752" s="338"/>
      <c r="Q752" s="339" t="str">
        <f>IFERROR(VLOOKUP(ROWS($Q$3:Q752),$M$3:$N$992,2,0),"")</f>
        <v>Činnosti zástupců pojišťovny a makléřů</v>
      </c>
      <c r="R752">
        <f>IF(ISNUMBER(SEARCH('1Př1'!$A$33,N752)),MAX($M$2:M751)+1,0)</f>
        <v>750</v>
      </c>
      <c r="S752" s="336" t="s">
        <v>2915</v>
      </c>
      <c r="T752" t="str">
        <f>IFERROR(VLOOKUP(ROWS($T$3:T752),$R$3:$S$992,2,0),"")</f>
        <v>Činnosti zástupců pojišťovny a makléřů</v>
      </c>
      <c r="U752">
        <f>IF(ISNUMBER(SEARCH('1Př1'!$A$34,N752)),MAX($M$2:M751)+1,0)</f>
        <v>750</v>
      </c>
      <c r="V752" s="336" t="s">
        <v>2915</v>
      </c>
      <c r="W752" t="str">
        <f>IFERROR(VLOOKUP(ROWS($W$3:W752),$U$3:$V$992,2,0),"")</f>
        <v>Činnosti zástupců pojišťovny a makléřů</v>
      </c>
      <c r="X752">
        <f>IF(ISNUMBER(SEARCH('1Př1'!$A$35,N752)),MAX($M$2:M751)+1,0)</f>
        <v>750</v>
      </c>
      <c r="Y752" s="336" t="s">
        <v>2915</v>
      </c>
      <c r="Z752" t="str">
        <f>IFERROR(VLOOKUP(ROWS($Z$3:Z752),$X$3:$Y$992,2,0),"")</f>
        <v>Činnosti zástupců pojišťovny a makléřů</v>
      </c>
    </row>
    <row r="753" spans="13:26" ht="12.75">
      <c r="M753" s="335">
        <f>IF(ISNUMBER(SEARCH(ZAKL_DATA!$B$29,N753)),MAX($M$2:M752)+1,0)</f>
        <v>751</v>
      </c>
      <c r="N753" s="336" t="s">
        <v>2917</v>
      </c>
      <c r="O753" s="353" t="s">
        <v>2918</v>
      </c>
      <c r="P753" s="338"/>
      <c r="Q753" s="339" t="str">
        <f>IFERROR(VLOOKUP(ROWS($Q$3:Q753),$M$3:$N$992,2,0),"")</f>
        <v>Ostatní pomocné činnosti související s pojišťovnictvím a penz.fin.</v>
      </c>
      <c r="R753">
        <f>IF(ISNUMBER(SEARCH('1Př1'!$A$33,N753)),MAX($M$2:M752)+1,0)</f>
        <v>751</v>
      </c>
      <c r="S753" s="336" t="s">
        <v>2917</v>
      </c>
      <c r="T753" t="str">
        <f>IFERROR(VLOOKUP(ROWS($T$3:T753),$R$3:$S$992,2,0),"")</f>
        <v>Ostatní pomocné činnosti související s pojišťovnictvím a penz.fin.</v>
      </c>
      <c r="U753">
        <f>IF(ISNUMBER(SEARCH('1Př1'!$A$34,N753)),MAX($M$2:M752)+1,0)</f>
        <v>751</v>
      </c>
      <c r="V753" s="336" t="s">
        <v>2917</v>
      </c>
      <c r="W753" t="str">
        <f>IFERROR(VLOOKUP(ROWS($W$3:W753),$U$3:$V$992,2,0),"")</f>
        <v>Ostatní pomocné činnosti související s pojišťovnictvím a penz.fin.</v>
      </c>
      <c r="X753">
        <f>IF(ISNUMBER(SEARCH('1Př1'!$A$35,N753)),MAX($M$2:M752)+1,0)</f>
        <v>751</v>
      </c>
      <c r="Y753" s="336" t="s">
        <v>2917</v>
      </c>
      <c r="Z753" t="str">
        <f>IFERROR(VLOOKUP(ROWS($Z$3:Z753),$X$3:$Y$992,2,0),"")</f>
        <v>Ostatní pomocné činnosti související s pojišťovnictvím a penz.fin.</v>
      </c>
    </row>
    <row r="754" spans="13:26" ht="12.75">
      <c r="M754" s="335">
        <f>IF(ISNUMBER(SEARCH(ZAKL_DATA!$B$29,N754)),MAX($M$2:M753)+1,0)</f>
        <v>752</v>
      </c>
      <c r="N754" s="336" t="s">
        <v>2919</v>
      </c>
      <c r="O754" s="353" t="s">
        <v>2920</v>
      </c>
      <c r="P754" s="338"/>
      <c r="Q754" s="339" t="str">
        <f>IFERROR(VLOOKUP(ROWS($Q$3:Q754),$M$3:$N$992,2,0),"")</f>
        <v>Zprostředkovatelské činnosti realitních agentur</v>
      </c>
      <c r="R754">
        <f>IF(ISNUMBER(SEARCH('1Př1'!$A$33,N754)),MAX($M$2:M753)+1,0)</f>
        <v>752</v>
      </c>
      <c r="S754" s="336" t="s">
        <v>2919</v>
      </c>
      <c r="T754" t="str">
        <f>IFERROR(VLOOKUP(ROWS($T$3:T754),$R$3:$S$992,2,0),"")</f>
        <v>Zprostředkovatelské činnosti realitních agentur</v>
      </c>
      <c r="U754">
        <f>IF(ISNUMBER(SEARCH('1Př1'!$A$34,N754)),MAX($M$2:M753)+1,0)</f>
        <v>752</v>
      </c>
      <c r="V754" s="336" t="s">
        <v>2919</v>
      </c>
      <c r="W754" t="str">
        <f>IFERROR(VLOOKUP(ROWS($W$3:W754),$U$3:$V$992,2,0),"")</f>
        <v>Zprostředkovatelské činnosti realitních agentur</v>
      </c>
      <c r="X754">
        <f>IF(ISNUMBER(SEARCH('1Př1'!$A$35,N754)),MAX($M$2:M753)+1,0)</f>
        <v>752</v>
      </c>
      <c r="Y754" s="336" t="s">
        <v>2919</v>
      </c>
      <c r="Z754" t="str">
        <f>IFERROR(VLOOKUP(ROWS($Z$3:Z754),$X$3:$Y$992,2,0),"")</f>
        <v>Zprostředkovatelské činnosti realitních agentur</v>
      </c>
    </row>
    <row r="755" spans="13:26" ht="12.75">
      <c r="M755" s="335">
        <f>IF(ISNUMBER(SEARCH(ZAKL_DATA!$B$29,N755)),MAX($M$2:M754)+1,0)</f>
        <v>753</v>
      </c>
      <c r="N755" s="336" t="s">
        <v>2921</v>
      </c>
      <c r="O755" s="353" t="s">
        <v>2922</v>
      </c>
      <c r="P755" s="338"/>
      <c r="Q755" s="339" t="str">
        <f>IFERROR(VLOOKUP(ROWS($Q$3:Q755),$M$3:$N$992,2,0),"")</f>
        <v>Správa nemovitostí na základě smlouvy</v>
      </c>
      <c r="R755">
        <f>IF(ISNUMBER(SEARCH('1Př1'!$A$33,N755)),MAX($M$2:M754)+1,0)</f>
        <v>753</v>
      </c>
      <c r="S755" s="336" t="s">
        <v>2921</v>
      </c>
      <c r="T755" t="str">
        <f>IFERROR(VLOOKUP(ROWS($T$3:T755),$R$3:$S$992,2,0),"")</f>
        <v>Správa nemovitostí na základě smlouvy</v>
      </c>
      <c r="U755">
        <f>IF(ISNUMBER(SEARCH('1Př1'!$A$34,N755)),MAX($M$2:M754)+1,0)</f>
        <v>753</v>
      </c>
      <c r="V755" s="336" t="s">
        <v>2921</v>
      </c>
      <c r="W755" t="str">
        <f>IFERROR(VLOOKUP(ROWS($W$3:W755),$U$3:$V$992,2,0),"")</f>
        <v>Správa nemovitostí na základě smlouvy</v>
      </c>
      <c r="X755">
        <f>IF(ISNUMBER(SEARCH('1Př1'!$A$35,N755)),MAX($M$2:M754)+1,0)</f>
        <v>753</v>
      </c>
      <c r="Y755" s="336" t="s">
        <v>2921</v>
      </c>
      <c r="Z755" t="str">
        <f>IFERROR(VLOOKUP(ROWS($Z$3:Z755),$X$3:$Y$992,2,0),"")</f>
        <v>Správa nemovitostí na základě smlouvy</v>
      </c>
    </row>
    <row r="756" spans="13:26" ht="12.75">
      <c r="M756" s="335">
        <f>IF(ISNUMBER(SEARCH(ZAKL_DATA!$B$29,N756)),MAX($M$2:M755)+1,0)</f>
        <v>754</v>
      </c>
      <c r="N756" s="336" t="s">
        <v>2923</v>
      </c>
      <c r="O756" s="353" t="s">
        <v>2924</v>
      </c>
      <c r="P756" s="338"/>
      <c r="Q756" s="339" t="str">
        <f>IFERROR(VLOOKUP(ROWS($Q$3:Q756),$M$3:$N$992,2,0),"")</f>
        <v>Poradenství v oblasti vztahů s veřejností a komunikace</v>
      </c>
      <c r="R756">
        <f>IF(ISNUMBER(SEARCH('1Př1'!$A$33,N756)),MAX($M$2:M755)+1,0)</f>
        <v>754</v>
      </c>
      <c r="S756" s="336" t="s">
        <v>2923</v>
      </c>
      <c r="T756" t="str">
        <f>IFERROR(VLOOKUP(ROWS($T$3:T756),$R$3:$S$992,2,0),"")</f>
        <v>Poradenství v oblasti vztahů s veřejností a komunikace</v>
      </c>
      <c r="U756">
        <f>IF(ISNUMBER(SEARCH('1Př1'!$A$34,N756)),MAX($M$2:M755)+1,0)</f>
        <v>754</v>
      </c>
      <c r="V756" s="336" t="s">
        <v>2923</v>
      </c>
      <c r="W756" t="str">
        <f>IFERROR(VLOOKUP(ROWS($W$3:W756),$U$3:$V$992,2,0),"")</f>
        <v>Poradenství v oblasti vztahů s veřejností a komunikace</v>
      </c>
      <c r="X756">
        <f>IF(ISNUMBER(SEARCH('1Př1'!$A$35,N756)),MAX($M$2:M755)+1,0)</f>
        <v>754</v>
      </c>
      <c r="Y756" s="336" t="s">
        <v>2923</v>
      </c>
      <c r="Z756" t="str">
        <f>IFERROR(VLOOKUP(ROWS($Z$3:Z756),$X$3:$Y$992,2,0),"")</f>
        <v>Poradenství v oblasti vztahů s veřejností a komunikace</v>
      </c>
    </row>
    <row r="757" spans="13:26" ht="12.75">
      <c r="M757" s="335">
        <f>IF(ISNUMBER(SEARCH(ZAKL_DATA!$B$29,N757)),MAX($M$2:M756)+1,0)</f>
        <v>755</v>
      </c>
      <c r="N757" s="336" t="s">
        <v>2925</v>
      </c>
      <c r="O757" s="353" t="s">
        <v>2926</v>
      </c>
      <c r="P757" s="338"/>
      <c r="Q757" s="339" t="str">
        <f>IFERROR(VLOOKUP(ROWS($Q$3:Q757),$M$3:$N$992,2,0),"")</f>
        <v>Ostatní poradenství v oblasti podnikání a řízení</v>
      </c>
      <c r="R757">
        <f>IF(ISNUMBER(SEARCH('1Př1'!$A$33,N757)),MAX($M$2:M756)+1,0)</f>
        <v>755</v>
      </c>
      <c r="S757" s="336" t="s">
        <v>2925</v>
      </c>
      <c r="T757" t="str">
        <f>IFERROR(VLOOKUP(ROWS($T$3:T757),$R$3:$S$992,2,0),"")</f>
        <v>Ostatní poradenství v oblasti podnikání a řízení</v>
      </c>
      <c r="U757">
        <f>IF(ISNUMBER(SEARCH('1Př1'!$A$34,N757)),MAX($M$2:M756)+1,0)</f>
        <v>755</v>
      </c>
      <c r="V757" s="336" t="s">
        <v>2925</v>
      </c>
      <c r="W757" t="str">
        <f>IFERROR(VLOOKUP(ROWS($W$3:W757),$U$3:$V$992,2,0),"")</f>
        <v>Ostatní poradenství v oblasti podnikání a řízení</v>
      </c>
      <c r="X757">
        <f>IF(ISNUMBER(SEARCH('1Př1'!$A$35,N757)),MAX($M$2:M756)+1,0)</f>
        <v>755</v>
      </c>
      <c r="Y757" s="336" t="s">
        <v>2925</v>
      </c>
      <c r="Z757" t="str">
        <f>IFERROR(VLOOKUP(ROWS($Z$3:Z757),$X$3:$Y$992,2,0),"")</f>
        <v>Ostatní poradenství v oblasti podnikání a řízení</v>
      </c>
    </row>
    <row r="758" spans="13:26" ht="12.75">
      <c r="M758" s="335">
        <f>IF(ISNUMBER(SEARCH(ZAKL_DATA!$B$29,N758)),MAX($M$2:M757)+1,0)</f>
        <v>756</v>
      </c>
      <c r="N758" s="336" t="s">
        <v>2927</v>
      </c>
      <c r="O758" s="353" t="s">
        <v>2928</v>
      </c>
      <c r="P758" s="338"/>
      <c r="Q758" s="339" t="str">
        <f>IFERROR(VLOOKUP(ROWS($Q$3:Q758),$M$3:$N$992,2,0),"")</f>
        <v>Těžba železných rud</v>
      </c>
      <c r="R758">
        <f>IF(ISNUMBER(SEARCH('1Př1'!$A$33,N758)),MAX($M$2:M757)+1,0)</f>
        <v>756</v>
      </c>
      <c r="S758" s="336" t="s">
        <v>2927</v>
      </c>
      <c r="T758" t="str">
        <f>IFERROR(VLOOKUP(ROWS($T$3:T758),$R$3:$S$992,2,0),"")</f>
        <v>Těžba železných rud</v>
      </c>
      <c r="U758">
        <f>IF(ISNUMBER(SEARCH('1Př1'!$A$34,N758)),MAX($M$2:M757)+1,0)</f>
        <v>756</v>
      </c>
      <c r="V758" s="336" t="s">
        <v>2927</v>
      </c>
      <c r="W758" t="str">
        <f>IFERROR(VLOOKUP(ROWS($W$3:W758),$U$3:$V$992,2,0),"")</f>
        <v>Těžba železných rud</v>
      </c>
      <c r="X758">
        <f>IF(ISNUMBER(SEARCH('1Př1'!$A$35,N758)),MAX($M$2:M757)+1,0)</f>
        <v>756</v>
      </c>
      <c r="Y758" s="336" t="s">
        <v>2927</v>
      </c>
      <c r="Z758" t="str">
        <f>IFERROR(VLOOKUP(ROWS($Z$3:Z758),$X$3:$Y$992,2,0),"")</f>
        <v>Těžba železných rud</v>
      </c>
    </row>
    <row r="759" spans="13:26" ht="12.75">
      <c r="M759" s="335">
        <f>IF(ISNUMBER(SEARCH(ZAKL_DATA!$B$29,N759)),MAX($M$2:M758)+1,0)</f>
        <v>757</v>
      </c>
      <c r="N759" s="336" t="s">
        <v>2929</v>
      </c>
      <c r="O759" s="353" t="s">
        <v>2930</v>
      </c>
      <c r="P759" s="338"/>
      <c r="Q759" s="339" t="str">
        <f>IFERROR(VLOOKUP(ROWS($Q$3:Q759),$M$3:$N$992,2,0),"")</f>
        <v>Úprava železných rud</v>
      </c>
      <c r="R759">
        <f>IF(ISNUMBER(SEARCH('1Př1'!$A$33,N759)),MAX($M$2:M758)+1,0)</f>
        <v>757</v>
      </c>
      <c r="S759" s="336" t="s">
        <v>2929</v>
      </c>
      <c r="T759" t="str">
        <f>IFERROR(VLOOKUP(ROWS($T$3:T759),$R$3:$S$992,2,0),"")</f>
        <v>Úprava železných rud</v>
      </c>
      <c r="U759">
        <f>IF(ISNUMBER(SEARCH('1Př1'!$A$34,N759)),MAX($M$2:M758)+1,0)</f>
        <v>757</v>
      </c>
      <c r="V759" s="336" t="s">
        <v>2929</v>
      </c>
      <c r="W759" t="str">
        <f>IFERROR(VLOOKUP(ROWS($W$3:W759),$U$3:$V$992,2,0),"")</f>
        <v>Úprava železných rud</v>
      </c>
      <c r="X759">
        <f>IF(ISNUMBER(SEARCH('1Př1'!$A$35,N759)),MAX($M$2:M758)+1,0)</f>
        <v>757</v>
      </c>
      <c r="Y759" s="336" t="s">
        <v>2929</v>
      </c>
      <c r="Z759" t="str">
        <f>IFERROR(VLOOKUP(ROWS($Z$3:Z759),$X$3:$Y$992,2,0),"")</f>
        <v>Úprava železných rud</v>
      </c>
    </row>
    <row r="760" spans="13:26" ht="12.75">
      <c r="M760" s="335">
        <f>IF(ISNUMBER(SEARCH(ZAKL_DATA!$B$29,N760)),MAX($M$2:M759)+1,0)</f>
        <v>758</v>
      </c>
      <c r="N760" s="336" t="s">
        <v>2931</v>
      </c>
      <c r="O760" s="353" t="s">
        <v>2932</v>
      </c>
      <c r="P760" s="338"/>
      <c r="Q760" s="339" t="str">
        <f>IFERROR(VLOOKUP(ROWS($Q$3:Q760),$M$3:$N$992,2,0),"")</f>
        <v>Architektonické činnosti</v>
      </c>
      <c r="R760">
        <f>IF(ISNUMBER(SEARCH('1Př1'!$A$33,N760)),MAX($M$2:M759)+1,0)</f>
        <v>758</v>
      </c>
      <c r="S760" s="336" t="s">
        <v>2931</v>
      </c>
      <c r="T760" t="str">
        <f>IFERROR(VLOOKUP(ROWS($T$3:T760),$R$3:$S$992,2,0),"")</f>
        <v>Architektonické činnosti</v>
      </c>
      <c r="U760">
        <f>IF(ISNUMBER(SEARCH('1Př1'!$A$34,N760)),MAX($M$2:M759)+1,0)</f>
        <v>758</v>
      </c>
      <c r="V760" s="336" t="s">
        <v>2931</v>
      </c>
      <c r="W760" t="str">
        <f>IFERROR(VLOOKUP(ROWS($W$3:W760),$U$3:$V$992,2,0),"")</f>
        <v>Architektonické činnosti</v>
      </c>
      <c r="X760">
        <f>IF(ISNUMBER(SEARCH('1Př1'!$A$35,N760)),MAX($M$2:M759)+1,0)</f>
        <v>758</v>
      </c>
      <c r="Y760" s="336" t="s">
        <v>2931</v>
      </c>
      <c r="Z760" t="str">
        <f>IFERROR(VLOOKUP(ROWS($Z$3:Z760),$X$3:$Y$992,2,0),"")</f>
        <v>Architektonické činnosti</v>
      </c>
    </row>
    <row r="761" spans="13:26" ht="12.75">
      <c r="M761" s="335">
        <f>IF(ISNUMBER(SEARCH(ZAKL_DATA!$B$29,N761)),MAX($M$2:M760)+1,0)</f>
        <v>759</v>
      </c>
      <c r="N761" s="336" t="s">
        <v>2933</v>
      </c>
      <c r="O761" s="353" t="s">
        <v>2934</v>
      </c>
      <c r="P761" s="338"/>
      <c r="Q761" s="339" t="str">
        <f>IFERROR(VLOOKUP(ROWS($Q$3:Q761),$M$3:$N$992,2,0),"")</f>
        <v>Inženýrské činnosti a související technické poradenství</v>
      </c>
      <c r="R761">
        <f>IF(ISNUMBER(SEARCH('1Př1'!$A$33,N761)),MAX($M$2:M760)+1,0)</f>
        <v>759</v>
      </c>
      <c r="S761" s="336" t="s">
        <v>2933</v>
      </c>
      <c r="T761" t="str">
        <f>IFERROR(VLOOKUP(ROWS($T$3:T761),$R$3:$S$992,2,0),"")</f>
        <v>Inženýrské činnosti a související technické poradenství</v>
      </c>
      <c r="U761">
        <f>IF(ISNUMBER(SEARCH('1Př1'!$A$34,N761)),MAX($M$2:M760)+1,0)</f>
        <v>759</v>
      </c>
      <c r="V761" s="336" t="s">
        <v>2933</v>
      </c>
      <c r="W761" t="str">
        <f>IFERROR(VLOOKUP(ROWS($W$3:W761),$U$3:$V$992,2,0),"")</f>
        <v>Inženýrské činnosti a související technické poradenství</v>
      </c>
      <c r="X761">
        <f>IF(ISNUMBER(SEARCH('1Př1'!$A$35,N761)),MAX($M$2:M760)+1,0)</f>
        <v>759</v>
      </c>
      <c r="Y761" s="336" t="s">
        <v>2933</v>
      </c>
      <c r="Z761" t="str">
        <f>IFERROR(VLOOKUP(ROWS($Z$3:Z761),$X$3:$Y$992,2,0),"")</f>
        <v>Inženýrské činnosti a související technické poradenství</v>
      </c>
    </row>
    <row r="762" spans="13:26" ht="12.75">
      <c r="M762" s="335">
        <f>IF(ISNUMBER(SEARCH(ZAKL_DATA!$B$29,N762)),MAX($M$2:M761)+1,0)</f>
        <v>760</v>
      </c>
      <c r="N762" s="336" t="s">
        <v>2935</v>
      </c>
      <c r="O762" s="353" t="s">
        <v>2936</v>
      </c>
      <c r="P762" s="338"/>
      <c r="Q762" s="339" t="str">
        <f>IFERROR(VLOOKUP(ROWS($Q$3:Q762),$M$3:$N$992,2,0),"")</f>
        <v>Výzkum a vývoj v oblasti biotechnologie</v>
      </c>
      <c r="R762">
        <f>IF(ISNUMBER(SEARCH('1Př1'!$A$33,N762)),MAX($M$2:M761)+1,0)</f>
        <v>760</v>
      </c>
      <c r="S762" s="336" t="s">
        <v>2935</v>
      </c>
      <c r="T762" t="str">
        <f>IFERROR(VLOOKUP(ROWS($T$3:T762),$R$3:$S$992,2,0),"")</f>
        <v>Výzkum a vývoj v oblasti biotechnologie</v>
      </c>
      <c r="U762">
        <f>IF(ISNUMBER(SEARCH('1Př1'!$A$34,N762)),MAX($M$2:M761)+1,0)</f>
        <v>760</v>
      </c>
      <c r="V762" s="336" t="s">
        <v>2935</v>
      </c>
      <c r="W762" t="str">
        <f>IFERROR(VLOOKUP(ROWS($W$3:W762),$U$3:$V$992,2,0),"")</f>
        <v>Výzkum a vývoj v oblasti biotechnologie</v>
      </c>
      <c r="X762">
        <f>IF(ISNUMBER(SEARCH('1Př1'!$A$35,N762)),MAX($M$2:M761)+1,0)</f>
        <v>760</v>
      </c>
      <c r="Y762" s="336" t="s">
        <v>2935</v>
      </c>
      <c r="Z762" t="str">
        <f>IFERROR(VLOOKUP(ROWS($Z$3:Z762),$X$3:$Y$992,2,0),"")</f>
        <v>Výzkum a vývoj v oblasti biotechnologie</v>
      </c>
    </row>
    <row r="763" spans="13:26" ht="12.75">
      <c r="M763" s="335">
        <f>IF(ISNUMBER(SEARCH(ZAKL_DATA!$B$29,N763)),MAX($M$2:M762)+1,0)</f>
        <v>761</v>
      </c>
      <c r="N763" s="336" t="s">
        <v>2937</v>
      </c>
      <c r="O763" s="353" t="s">
        <v>2938</v>
      </c>
      <c r="P763" s="338"/>
      <c r="Q763" s="339" t="str">
        <f>IFERROR(VLOOKUP(ROWS($Q$3:Q763),$M$3:$N$992,2,0),"")</f>
        <v>Těžba uranových a thoriových rud</v>
      </c>
      <c r="R763">
        <f>IF(ISNUMBER(SEARCH('1Př1'!$A$33,N763)),MAX($M$2:M762)+1,0)</f>
        <v>761</v>
      </c>
      <c r="S763" s="336" t="s">
        <v>2937</v>
      </c>
      <c r="T763" t="str">
        <f>IFERROR(VLOOKUP(ROWS($T$3:T763),$R$3:$S$992,2,0),"")</f>
        <v>Těžba uranových a thoriových rud</v>
      </c>
      <c r="U763">
        <f>IF(ISNUMBER(SEARCH('1Př1'!$A$34,N763)),MAX($M$2:M762)+1,0)</f>
        <v>761</v>
      </c>
      <c r="V763" s="336" t="s">
        <v>2937</v>
      </c>
      <c r="W763" t="str">
        <f>IFERROR(VLOOKUP(ROWS($W$3:W763),$U$3:$V$992,2,0),"")</f>
        <v>Těžba uranových a thoriových rud</v>
      </c>
      <c r="X763">
        <f>IF(ISNUMBER(SEARCH('1Př1'!$A$35,N763)),MAX($M$2:M762)+1,0)</f>
        <v>761</v>
      </c>
      <c r="Y763" s="336" t="s">
        <v>2937</v>
      </c>
      <c r="Z763" t="str">
        <f>IFERROR(VLOOKUP(ROWS($Z$3:Z763),$X$3:$Y$992,2,0),"")</f>
        <v>Těžba uranových a thoriových rud</v>
      </c>
    </row>
    <row r="764" spans="13:26" ht="12.75">
      <c r="M764" s="335">
        <f>IF(ISNUMBER(SEARCH(ZAKL_DATA!$B$29,N764)),MAX($M$2:M763)+1,0)</f>
        <v>762</v>
      </c>
      <c r="N764" s="336" t="s">
        <v>2939</v>
      </c>
      <c r="O764" s="353" t="s">
        <v>2940</v>
      </c>
      <c r="P764" s="338"/>
      <c r="Q764" s="339" t="str">
        <f>IFERROR(VLOOKUP(ROWS($Q$3:Q764),$M$3:$N$992,2,0),"")</f>
        <v>Úprava uranových a thoriových rud</v>
      </c>
      <c r="R764">
        <f>IF(ISNUMBER(SEARCH('1Př1'!$A$33,N764)),MAX($M$2:M763)+1,0)</f>
        <v>762</v>
      </c>
      <c r="S764" s="336" t="s">
        <v>2939</v>
      </c>
      <c r="T764" t="str">
        <f>IFERROR(VLOOKUP(ROWS($T$3:T764),$R$3:$S$992,2,0),"")</f>
        <v>Úprava uranových a thoriových rud</v>
      </c>
      <c r="U764">
        <f>IF(ISNUMBER(SEARCH('1Př1'!$A$34,N764)),MAX($M$2:M763)+1,0)</f>
        <v>762</v>
      </c>
      <c r="V764" s="336" t="s">
        <v>2939</v>
      </c>
      <c r="W764" t="str">
        <f>IFERROR(VLOOKUP(ROWS($W$3:W764),$U$3:$V$992,2,0),"")</f>
        <v>Úprava uranových a thoriových rud</v>
      </c>
      <c r="X764">
        <f>IF(ISNUMBER(SEARCH('1Př1'!$A$35,N764)),MAX($M$2:M763)+1,0)</f>
        <v>762</v>
      </c>
      <c r="Y764" s="336" t="s">
        <v>2939</v>
      </c>
      <c r="Z764" t="str">
        <f>IFERROR(VLOOKUP(ROWS($Z$3:Z764),$X$3:$Y$992,2,0),"")</f>
        <v>Úprava uranových a thoriových rud</v>
      </c>
    </row>
    <row r="765" spans="13:26" ht="12.75">
      <c r="M765" s="335">
        <f>IF(ISNUMBER(SEARCH(ZAKL_DATA!$B$29,N765)),MAX($M$2:M764)+1,0)</f>
        <v>763</v>
      </c>
      <c r="N765" s="336" t="s">
        <v>2941</v>
      </c>
      <c r="O765" s="353" t="s">
        <v>2942</v>
      </c>
      <c r="P765" s="338"/>
      <c r="Q765" s="339" t="str">
        <f>IFERROR(VLOOKUP(ROWS($Q$3:Q765),$M$3:$N$992,2,0),"")</f>
        <v>Ostatní výzkum a vývoj voblasti přírodních atechnických věd</v>
      </c>
      <c r="R765">
        <f>IF(ISNUMBER(SEARCH('1Př1'!$A$33,N765)),MAX($M$2:M764)+1,0)</f>
        <v>763</v>
      </c>
      <c r="S765" s="336" t="s">
        <v>2941</v>
      </c>
      <c r="T765" t="str">
        <f>IFERROR(VLOOKUP(ROWS($T$3:T765),$R$3:$S$992,2,0),"")</f>
        <v>Ostatní výzkum a vývoj voblasti přírodních atechnických věd</v>
      </c>
      <c r="U765">
        <f>IF(ISNUMBER(SEARCH('1Př1'!$A$34,N765)),MAX($M$2:M764)+1,0)</f>
        <v>763</v>
      </c>
      <c r="V765" s="336" t="s">
        <v>2941</v>
      </c>
      <c r="W765" t="str">
        <f>IFERROR(VLOOKUP(ROWS($W$3:W765),$U$3:$V$992,2,0),"")</f>
        <v>Ostatní výzkum a vývoj voblasti přírodních atechnických věd</v>
      </c>
      <c r="X765">
        <f>IF(ISNUMBER(SEARCH('1Př1'!$A$35,N765)),MAX($M$2:M764)+1,0)</f>
        <v>763</v>
      </c>
      <c r="Y765" s="336" t="s">
        <v>2941</v>
      </c>
      <c r="Z765" t="str">
        <f>IFERROR(VLOOKUP(ROWS($Z$3:Z765),$X$3:$Y$992,2,0),"")</f>
        <v>Ostatní výzkum a vývoj voblasti přírodních atechnických věd</v>
      </c>
    </row>
    <row r="766" spans="13:26" ht="12.75">
      <c r="M766" s="335">
        <f>IF(ISNUMBER(SEARCH(ZAKL_DATA!$B$29,N766)),MAX($M$2:M765)+1,0)</f>
        <v>764</v>
      </c>
      <c r="N766" s="336" t="s">
        <v>2943</v>
      </c>
      <c r="O766" s="353" t="s">
        <v>2944</v>
      </c>
      <c r="P766" s="338"/>
      <c r="Q766" s="339" t="str">
        <f>IFERROR(VLOOKUP(ROWS($Q$3:Q766),$M$3:$N$992,2,0),"")</f>
        <v>Těžba ostatních neželezných rud</v>
      </c>
      <c r="R766">
        <f>IF(ISNUMBER(SEARCH('1Př1'!$A$33,N766)),MAX($M$2:M765)+1,0)</f>
        <v>764</v>
      </c>
      <c r="S766" s="336" t="s">
        <v>2943</v>
      </c>
      <c r="T766" t="str">
        <f>IFERROR(VLOOKUP(ROWS($T$3:T766),$R$3:$S$992,2,0),"")</f>
        <v>Těžba ostatních neželezných rud</v>
      </c>
      <c r="U766">
        <f>IF(ISNUMBER(SEARCH('1Př1'!$A$34,N766)),MAX($M$2:M765)+1,0)</f>
        <v>764</v>
      </c>
      <c r="V766" s="336" t="s">
        <v>2943</v>
      </c>
      <c r="W766" t="str">
        <f>IFERROR(VLOOKUP(ROWS($W$3:W766),$U$3:$V$992,2,0),"")</f>
        <v>Těžba ostatních neželezných rud</v>
      </c>
      <c r="X766">
        <f>IF(ISNUMBER(SEARCH('1Př1'!$A$35,N766)),MAX($M$2:M765)+1,0)</f>
        <v>764</v>
      </c>
      <c r="Y766" s="336" t="s">
        <v>2943</v>
      </c>
      <c r="Z766" t="str">
        <f>IFERROR(VLOOKUP(ROWS($Z$3:Z766),$X$3:$Y$992,2,0),"")</f>
        <v>Těžba ostatních neželezných rud</v>
      </c>
    </row>
    <row r="767" spans="13:26" ht="12.75">
      <c r="M767" s="335">
        <f>IF(ISNUMBER(SEARCH(ZAKL_DATA!$B$29,N767)),MAX($M$2:M766)+1,0)</f>
        <v>765</v>
      </c>
      <c r="N767" s="336" t="s">
        <v>2945</v>
      </c>
      <c r="O767" s="353" t="s">
        <v>2946</v>
      </c>
      <c r="P767" s="338"/>
      <c r="Q767" s="339" t="str">
        <f>IFERROR(VLOOKUP(ROWS($Q$3:Q767),$M$3:$N$992,2,0),"")</f>
        <v>Úprava ostatních neželezných rud</v>
      </c>
      <c r="R767">
        <f>IF(ISNUMBER(SEARCH('1Př1'!$A$33,N767)),MAX($M$2:M766)+1,0)</f>
        <v>765</v>
      </c>
      <c r="S767" s="336" t="s">
        <v>2945</v>
      </c>
      <c r="T767" t="str">
        <f>IFERROR(VLOOKUP(ROWS($T$3:T767),$R$3:$S$992,2,0),"")</f>
        <v>Úprava ostatních neželezných rud</v>
      </c>
      <c r="U767">
        <f>IF(ISNUMBER(SEARCH('1Př1'!$A$34,N767)),MAX($M$2:M766)+1,0)</f>
        <v>765</v>
      </c>
      <c r="V767" s="336" t="s">
        <v>2945</v>
      </c>
      <c r="W767" t="str">
        <f>IFERROR(VLOOKUP(ROWS($W$3:W767),$U$3:$V$992,2,0),"")</f>
        <v>Úprava ostatních neželezných rud</v>
      </c>
      <c r="X767">
        <f>IF(ISNUMBER(SEARCH('1Př1'!$A$35,N767)),MAX($M$2:M766)+1,0)</f>
        <v>765</v>
      </c>
      <c r="Y767" s="336" t="s">
        <v>2945</v>
      </c>
      <c r="Z767" t="str">
        <f>IFERROR(VLOOKUP(ROWS($Z$3:Z767),$X$3:$Y$992,2,0),"")</f>
        <v>Úprava ostatních neželezných rud</v>
      </c>
    </row>
    <row r="768" spans="13:26" ht="12.75">
      <c r="M768" s="335">
        <f>IF(ISNUMBER(SEARCH(ZAKL_DATA!$B$29,N768)),MAX($M$2:M767)+1,0)</f>
        <v>766</v>
      </c>
      <c r="N768" s="336" t="s">
        <v>2947</v>
      </c>
      <c r="O768" s="353" t="s">
        <v>2948</v>
      </c>
      <c r="P768" s="338"/>
      <c r="Q768" s="339" t="str">
        <f>IFERROR(VLOOKUP(ROWS($Q$3:Q768),$M$3:$N$992,2,0),"")</f>
        <v>Činnosti reklamních agentur</v>
      </c>
      <c r="R768">
        <f>IF(ISNUMBER(SEARCH('1Př1'!$A$33,N768)),MAX($M$2:M767)+1,0)</f>
        <v>766</v>
      </c>
      <c r="S768" s="336" t="s">
        <v>2947</v>
      </c>
      <c r="T768" t="str">
        <f>IFERROR(VLOOKUP(ROWS($T$3:T768),$R$3:$S$992,2,0),"")</f>
        <v>Činnosti reklamních agentur</v>
      </c>
      <c r="U768">
        <f>IF(ISNUMBER(SEARCH('1Př1'!$A$34,N768)),MAX($M$2:M767)+1,0)</f>
        <v>766</v>
      </c>
      <c r="V768" s="336" t="s">
        <v>2947</v>
      </c>
      <c r="W768" t="str">
        <f>IFERROR(VLOOKUP(ROWS($W$3:W768),$U$3:$V$992,2,0),"")</f>
        <v>Činnosti reklamních agentur</v>
      </c>
      <c r="X768">
        <f>IF(ISNUMBER(SEARCH('1Př1'!$A$35,N768)),MAX($M$2:M767)+1,0)</f>
        <v>766</v>
      </c>
      <c r="Y768" s="336" t="s">
        <v>2947</v>
      </c>
      <c r="Z768" t="str">
        <f>IFERROR(VLOOKUP(ROWS($Z$3:Z768),$X$3:$Y$992,2,0),"")</f>
        <v>Činnosti reklamních agentur</v>
      </c>
    </row>
    <row r="769" spans="13:26" ht="12.75">
      <c r="M769" s="335">
        <f>IF(ISNUMBER(SEARCH(ZAKL_DATA!$B$29,N769)),MAX($M$2:M768)+1,0)</f>
        <v>767</v>
      </c>
      <c r="N769" s="336" t="s">
        <v>2949</v>
      </c>
      <c r="O769" s="353" t="s">
        <v>2950</v>
      </c>
      <c r="P769" s="338"/>
      <c r="Q769" s="339" t="str">
        <f>IFERROR(VLOOKUP(ROWS($Q$3:Q769),$M$3:$N$992,2,0),"")</f>
        <v>Zastupování médií při prodeji reklamního času a prostoru</v>
      </c>
      <c r="R769">
        <f>IF(ISNUMBER(SEARCH('1Př1'!$A$33,N769)),MAX($M$2:M768)+1,0)</f>
        <v>767</v>
      </c>
      <c r="S769" s="336" t="s">
        <v>2949</v>
      </c>
      <c r="T769" t="str">
        <f>IFERROR(VLOOKUP(ROWS($T$3:T769),$R$3:$S$992,2,0),"")</f>
        <v>Zastupování médií při prodeji reklamního času a prostoru</v>
      </c>
      <c r="U769">
        <f>IF(ISNUMBER(SEARCH('1Př1'!$A$34,N769)),MAX($M$2:M768)+1,0)</f>
        <v>767</v>
      </c>
      <c r="V769" s="336" t="s">
        <v>2949</v>
      </c>
      <c r="W769" t="str">
        <f>IFERROR(VLOOKUP(ROWS($W$3:W769),$U$3:$V$992,2,0),"")</f>
        <v>Zastupování médií při prodeji reklamního času a prostoru</v>
      </c>
      <c r="X769">
        <f>IF(ISNUMBER(SEARCH('1Př1'!$A$35,N769)),MAX($M$2:M768)+1,0)</f>
        <v>767</v>
      </c>
      <c r="Y769" s="336" t="s">
        <v>2949</v>
      </c>
      <c r="Z769" t="str">
        <f>IFERROR(VLOOKUP(ROWS($Z$3:Z769),$X$3:$Y$992,2,0),"")</f>
        <v>Zastupování médií při prodeji reklamního času a prostoru</v>
      </c>
    </row>
    <row r="770" spans="13:26" ht="12.75">
      <c r="M770" s="335">
        <f>IF(ISNUMBER(SEARCH(ZAKL_DATA!$B$29,N770)),MAX($M$2:M769)+1,0)</f>
        <v>768</v>
      </c>
      <c r="N770" s="336" t="s">
        <v>2951</v>
      </c>
      <c r="O770" s="353" t="s">
        <v>2952</v>
      </c>
      <c r="P770" s="338"/>
      <c r="Q770" s="339" t="str">
        <f>IFERROR(VLOOKUP(ROWS($Q$3:Q770),$M$3:$N$992,2,0),"")</f>
        <v>Pronájem a leasing automob.a jiných lehkých motor.vozidel,kromě motocyklů</v>
      </c>
      <c r="R770">
        <f>IF(ISNUMBER(SEARCH('1Př1'!$A$33,N770)),MAX($M$2:M769)+1,0)</f>
        <v>768</v>
      </c>
      <c r="S770" s="336" t="s">
        <v>2951</v>
      </c>
      <c r="T770" t="str">
        <f>IFERROR(VLOOKUP(ROWS($T$3:T770),$R$3:$S$992,2,0),"")</f>
        <v>Pronájem a leasing automob.a jiných lehkých motor.vozidel,kromě motocyklů</v>
      </c>
      <c r="U770">
        <f>IF(ISNUMBER(SEARCH('1Př1'!$A$34,N770)),MAX($M$2:M769)+1,0)</f>
        <v>768</v>
      </c>
      <c r="V770" s="336" t="s">
        <v>2951</v>
      </c>
      <c r="W770" t="str">
        <f>IFERROR(VLOOKUP(ROWS($W$3:W770),$U$3:$V$992,2,0),"")</f>
        <v>Pronájem a leasing automob.a jiných lehkých motor.vozidel,kromě motocyklů</v>
      </c>
      <c r="X770">
        <f>IF(ISNUMBER(SEARCH('1Př1'!$A$35,N770)),MAX($M$2:M769)+1,0)</f>
        <v>768</v>
      </c>
      <c r="Y770" s="336" t="s">
        <v>2951</v>
      </c>
      <c r="Z770" t="str">
        <f>IFERROR(VLOOKUP(ROWS($Z$3:Z770),$X$3:$Y$992,2,0),"")</f>
        <v>Pronájem a leasing automob.a jiných lehkých motor.vozidel,kromě motocyklů</v>
      </c>
    </row>
    <row r="771" spans="13:26" ht="12.75">
      <c r="M771" s="335">
        <f>IF(ISNUMBER(SEARCH(ZAKL_DATA!$B$29,N771)),MAX($M$2:M770)+1,0)</f>
        <v>769</v>
      </c>
      <c r="N771" s="336" t="s">
        <v>2953</v>
      </c>
      <c r="O771" s="353" t="s">
        <v>2954</v>
      </c>
      <c r="P771" s="338"/>
      <c r="Q771" s="339" t="str">
        <f>IFERROR(VLOOKUP(ROWS($Q$3:Q771),$M$3:$N$992,2,0),"")</f>
        <v>Pronájem a leasing nákladních automobilů</v>
      </c>
      <c r="R771">
        <f>IF(ISNUMBER(SEARCH('1Př1'!$A$33,N771)),MAX($M$2:M770)+1,0)</f>
        <v>769</v>
      </c>
      <c r="S771" s="336" t="s">
        <v>2953</v>
      </c>
      <c r="T771" t="str">
        <f>IFERROR(VLOOKUP(ROWS($T$3:T771),$R$3:$S$992,2,0),"")</f>
        <v>Pronájem a leasing nákladních automobilů</v>
      </c>
      <c r="U771">
        <f>IF(ISNUMBER(SEARCH('1Př1'!$A$34,N771)),MAX($M$2:M770)+1,0)</f>
        <v>769</v>
      </c>
      <c r="V771" s="336" t="s">
        <v>2953</v>
      </c>
      <c r="W771" t="str">
        <f>IFERROR(VLOOKUP(ROWS($W$3:W771),$U$3:$V$992,2,0),"")</f>
        <v>Pronájem a leasing nákladních automobilů</v>
      </c>
      <c r="X771">
        <f>IF(ISNUMBER(SEARCH('1Př1'!$A$35,N771)),MAX($M$2:M770)+1,0)</f>
        <v>769</v>
      </c>
      <c r="Y771" s="336" t="s">
        <v>2953</v>
      </c>
      <c r="Z771" t="str">
        <f>IFERROR(VLOOKUP(ROWS($Z$3:Z771),$X$3:$Y$992,2,0),"")</f>
        <v>Pronájem a leasing nákladních automobilů</v>
      </c>
    </row>
    <row r="772" spans="13:26" ht="12.75">
      <c r="M772" s="335">
        <f>IF(ISNUMBER(SEARCH(ZAKL_DATA!$B$29,N772)),MAX($M$2:M771)+1,0)</f>
        <v>770</v>
      </c>
      <c r="N772" s="336" t="s">
        <v>2955</v>
      </c>
      <c r="O772" s="353" t="s">
        <v>2956</v>
      </c>
      <c r="P772" s="338"/>
      <c r="Q772" s="339" t="str">
        <f>IFERROR(VLOOKUP(ROWS($Q$3:Q772),$M$3:$N$992,2,0),"")</f>
        <v>Pronájem a leasing rekreačních a sportovních potřeb</v>
      </c>
      <c r="R772">
        <f>IF(ISNUMBER(SEARCH('1Př1'!$A$33,N772)),MAX($M$2:M771)+1,0)</f>
        <v>770</v>
      </c>
      <c r="S772" s="336" t="s">
        <v>2955</v>
      </c>
      <c r="T772" t="str">
        <f>IFERROR(VLOOKUP(ROWS($T$3:T772),$R$3:$S$992,2,0),"")</f>
        <v>Pronájem a leasing rekreačních a sportovních potřeb</v>
      </c>
      <c r="U772">
        <f>IF(ISNUMBER(SEARCH('1Př1'!$A$34,N772)),MAX($M$2:M771)+1,0)</f>
        <v>770</v>
      </c>
      <c r="V772" s="336" t="s">
        <v>2955</v>
      </c>
      <c r="W772" t="str">
        <f>IFERROR(VLOOKUP(ROWS($W$3:W772),$U$3:$V$992,2,0),"")</f>
        <v>Pronájem a leasing rekreačních a sportovních potřeb</v>
      </c>
      <c r="X772">
        <f>IF(ISNUMBER(SEARCH('1Př1'!$A$35,N772)),MAX($M$2:M771)+1,0)</f>
        <v>770</v>
      </c>
      <c r="Y772" s="336" t="s">
        <v>2955</v>
      </c>
      <c r="Z772" t="str">
        <f>IFERROR(VLOOKUP(ROWS($Z$3:Z772),$X$3:$Y$992,2,0),"")</f>
        <v>Pronájem a leasing rekreačních a sportovních potřeb</v>
      </c>
    </row>
    <row r="773" spans="13:26" ht="12.75">
      <c r="M773" s="335">
        <f>IF(ISNUMBER(SEARCH(ZAKL_DATA!$B$29,N773)),MAX($M$2:M772)+1,0)</f>
        <v>771</v>
      </c>
      <c r="N773" s="336" t="s">
        <v>2957</v>
      </c>
      <c r="O773" s="353" t="s">
        <v>2958</v>
      </c>
      <c r="P773" s="338"/>
      <c r="Q773" s="339" t="str">
        <f>IFERROR(VLOOKUP(ROWS($Q$3:Q773),$M$3:$N$992,2,0),"")</f>
        <v>Pronájem videokazet a disků</v>
      </c>
      <c r="R773">
        <f>IF(ISNUMBER(SEARCH('1Př1'!$A$33,N773)),MAX($M$2:M772)+1,0)</f>
        <v>771</v>
      </c>
      <c r="S773" s="336" t="s">
        <v>2957</v>
      </c>
      <c r="T773" t="str">
        <f>IFERROR(VLOOKUP(ROWS($T$3:T773),$R$3:$S$992,2,0),"")</f>
        <v>Pronájem videokazet a disků</v>
      </c>
      <c r="U773">
        <f>IF(ISNUMBER(SEARCH('1Př1'!$A$34,N773)),MAX($M$2:M772)+1,0)</f>
        <v>771</v>
      </c>
      <c r="V773" s="336" t="s">
        <v>2957</v>
      </c>
      <c r="W773" t="str">
        <f>IFERROR(VLOOKUP(ROWS($W$3:W773),$U$3:$V$992,2,0),"")</f>
        <v>Pronájem videokazet a disků</v>
      </c>
      <c r="X773">
        <f>IF(ISNUMBER(SEARCH('1Př1'!$A$35,N773)),MAX($M$2:M772)+1,0)</f>
        <v>771</v>
      </c>
      <c r="Y773" s="336" t="s">
        <v>2957</v>
      </c>
      <c r="Z773" t="str">
        <f>IFERROR(VLOOKUP(ROWS($Z$3:Z773),$X$3:$Y$992,2,0),"")</f>
        <v>Pronájem videokazet a disků</v>
      </c>
    </row>
    <row r="774" spans="13:26" ht="12.75">
      <c r="M774" s="335">
        <f>IF(ISNUMBER(SEARCH(ZAKL_DATA!$B$29,N774)),MAX($M$2:M773)+1,0)</f>
        <v>772</v>
      </c>
      <c r="N774" s="336" t="s">
        <v>2959</v>
      </c>
      <c r="O774" s="353" t="s">
        <v>2960</v>
      </c>
      <c r="P774" s="338"/>
      <c r="Q774" s="339" t="str">
        <f>IFERROR(VLOOKUP(ROWS($Q$3:Q774),$M$3:$N$992,2,0),"")</f>
        <v>Pronájem a leasing ost.výrobků pro osob.potřebu a převážně pro domácnost</v>
      </c>
      <c r="R774">
        <f>IF(ISNUMBER(SEARCH('1Př1'!$A$33,N774)),MAX($M$2:M773)+1,0)</f>
        <v>772</v>
      </c>
      <c r="S774" s="336" t="s">
        <v>2959</v>
      </c>
      <c r="T774" t="str">
        <f>IFERROR(VLOOKUP(ROWS($T$3:T774),$R$3:$S$992,2,0),"")</f>
        <v>Pronájem a leasing ost.výrobků pro osob.potřebu a převážně pro domácnost</v>
      </c>
      <c r="U774">
        <f>IF(ISNUMBER(SEARCH('1Př1'!$A$34,N774)),MAX($M$2:M773)+1,0)</f>
        <v>772</v>
      </c>
      <c r="V774" s="336" t="s">
        <v>2959</v>
      </c>
      <c r="W774" t="str">
        <f>IFERROR(VLOOKUP(ROWS($W$3:W774),$U$3:$V$992,2,0),"")</f>
        <v>Pronájem a leasing ost.výrobků pro osob.potřebu a převážně pro domácnost</v>
      </c>
      <c r="X774">
        <f>IF(ISNUMBER(SEARCH('1Př1'!$A$35,N774)),MAX($M$2:M773)+1,0)</f>
        <v>772</v>
      </c>
      <c r="Y774" s="336" t="s">
        <v>2959</v>
      </c>
      <c r="Z774" t="str">
        <f>IFERROR(VLOOKUP(ROWS($Z$3:Z774),$X$3:$Y$992,2,0),"")</f>
        <v>Pronájem a leasing ost.výrobků pro osob.potřebu a převážně pro domácnost</v>
      </c>
    </row>
    <row r="775" spans="13:26" ht="12.75">
      <c r="M775" s="335">
        <f>IF(ISNUMBER(SEARCH(ZAKL_DATA!$B$29,N775)),MAX($M$2:M774)+1,0)</f>
        <v>773</v>
      </c>
      <c r="N775" s="336" t="s">
        <v>2961</v>
      </c>
      <c r="O775" s="353" t="s">
        <v>2962</v>
      </c>
      <c r="P775" s="338"/>
      <c r="Q775" s="339" t="str">
        <f>IFERROR(VLOOKUP(ROWS($Q$3:Q775),$M$3:$N$992,2,0),"")</f>
        <v>Pronájem a leasing zemědělských strojů a zařízení</v>
      </c>
      <c r="R775">
        <f>IF(ISNUMBER(SEARCH('1Př1'!$A$33,N775)),MAX($M$2:M774)+1,0)</f>
        <v>773</v>
      </c>
      <c r="S775" s="336" t="s">
        <v>2961</v>
      </c>
      <c r="T775" t="str">
        <f>IFERROR(VLOOKUP(ROWS($T$3:T775),$R$3:$S$992,2,0),"")</f>
        <v>Pronájem a leasing zemědělských strojů a zařízení</v>
      </c>
      <c r="U775">
        <f>IF(ISNUMBER(SEARCH('1Př1'!$A$34,N775)),MAX($M$2:M774)+1,0)</f>
        <v>773</v>
      </c>
      <c r="V775" s="336" t="s">
        <v>2961</v>
      </c>
      <c r="W775" t="str">
        <f>IFERROR(VLOOKUP(ROWS($W$3:W775),$U$3:$V$992,2,0),"")</f>
        <v>Pronájem a leasing zemědělských strojů a zařízení</v>
      </c>
      <c r="X775">
        <f>IF(ISNUMBER(SEARCH('1Př1'!$A$35,N775)),MAX($M$2:M774)+1,0)</f>
        <v>773</v>
      </c>
      <c r="Y775" s="336" t="s">
        <v>2961</v>
      </c>
      <c r="Z775" t="str">
        <f>IFERROR(VLOOKUP(ROWS($Z$3:Z775),$X$3:$Y$992,2,0),"")</f>
        <v>Pronájem a leasing zemědělských strojů a zařízení</v>
      </c>
    </row>
    <row r="776" spans="13:26" ht="12.75">
      <c r="M776" s="335">
        <f>IF(ISNUMBER(SEARCH(ZAKL_DATA!$B$29,N776)),MAX($M$2:M775)+1,0)</f>
        <v>774</v>
      </c>
      <c r="N776" s="336" t="s">
        <v>2963</v>
      </c>
      <c r="O776" s="353" t="s">
        <v>2964</v>
      </c>
      <c r="P776" s="338"/>
      <c r="Q776" s="339" t="str">
        <f>IFERROR(VLOOKUP(ROWS($Q$3:Q776),$M$3:$N$992,2,0),"")</f>
        <v>Pronájem a leasing stavebních strojů a zařízení</v>
      </c>
      <c r="R776">
        <f>IF(ISNUMBER(SEARCH('1Př1'!$A$33,N776)),MAX($M$2:M775)+1,0)</f>
        <v>774</v>
      </c>
      <c r="S776" s="336" t="s">
        <v>2963</v>
      </c>
      <c r="T776" t="str">
        <f>IFERROR(VLOOKUP(ROWS($T$3:T776),$R$3:$S$992,2,0),"")</f>
        <v>Pronájem a leasing stavebních strojů a zařízení</v>
      </c>
      <c r="U776">
        <f>IF(ISNUMBER(SEARCH('1Př1'!$A$34,N776)),MAX($M$2:M775)+1,0)</f>
        <v>774</v>
      </c>
      <c r="V776" s="336" t="s">
        <v>2963</v>
      </c>
      <c r="W776" t="str">
        <f>IFERROR(VLOOKUP(ROWS($W$3:W776),$U$3:$V$992,2,0),"")</f>
        <v>Pronájem a leasing stavebních strojů a zařízení</v>
      </c>
      <c r="X776">
        <f>IF(ISNUMBER(SEARCH('1Př1'!$A$35,N776)),MAX($M$2:M775)+1,0)</f>
        <v>774</v>
      </c>
      <c r="Y776" s="336" t="s">
        <v>2963</v>
      </c>
      <c r="Z776" t="str">
        <f>IFERROR(VLOOKUP(ROWS($Z$3:Z776),$X$3:$Y$992,2,0),"")</f>
        <v>Pronájem a leasing stavebních strojů a zařízení</v>
      </c>
    </row>
    <row r="777" spans="13:26" ht="12.75">
      <c r="M777" s="335">
        <f>IF(ISNUMBER(SEARCH(ZAKL_DATA!$B$29,N777)),MAX($M$2:M776)+1,0)</f>
        <v>775</v>
      </c>
      <c r="N777" s="336" t="s">
        <v>2965</v>
      </c>
      <c r="O777" s="353" t="s">
        <v>2966</v>
      </c>
      <c r="P777" s="338"/>
      <c r="Q777" s="339" t="str">
        <f>IFERROR(VLOOKUP(ROWS($Q$3:Q777),$M$3:$N$992,2,0),"")</f>
        <v>Pronájem a leasing kancelářských strojů a zařízení, včetně počítačů</v>
      </c>
      <c r="R777">
        <f>IF(ISNUMBER(SEARCH('1Př1'!$A$33,N777)),MAX($M$2:M776)+1,0)</f>
        <v>775</v>
      </c>
      <c r="S777" s="336" t="s">
        <v>2965</v>
      </c>
      <c r="T777" t="str">
        <f>IFERROR(VLOOKUP(ROWS($T$3:T777),$R$3:$S$992,2,0),"")</f>
        <v>Pronájem a leasing kancelářských strojů a zařízení, včetně počítačů</v>
      </c>
      <c r="U777">
        <f>IF(ISNUMBER(SEARCH('1Př1'!$A$34,N777)),MAX($M$2:M776)+1,0)</f>
        <v>775</v>
      </c>
      <c r="V777" s="336" t="s">
        <v>2965</v>
      </c>
      <c r="W777" t="str">
        <f>IFERROR(VLOOKUP(ROWS($W$3:W777),$U$3:$V$992,2,0),"")</f>
        <v>Pronájem a leasing kancelářských strojů a zařízení, včetně počítačů</v>
      </c>
      <c r="X777">
        <f>IF(ISNUMBER(SEARCH('1Př1'!$A$35,N777)),MAX($M$2:M776)+1,0)</f>
        <v>775</v>
      </c>
      <c r="Y777" s="336" t="s">
        <v>2965</v>
      </c>
      <c r="Z777" t="str">
        <f>IFERROR(VLOOKUP(ROWS($Z$3:Z777),$X$3:$Y$992,2,0),"")</f>
        <v>Pronájem a leasing kancelářských strojů a zařízení, včetně počítačů</v>
      </c>
    </row>
    <row r="778" spans="13:26" ht="12.75">
      <c r="M778" s="335">
        <f>IF(ISNUMBER(SEARCH(ZAKL_DATA!$B$29,N778)),MAX($M$2:M777)+1,0)</f>
        <v>776</v>
      </c>
      <c r="N778" s="336" t="s">
        <v>2967</v>
      </c>
      <c r="O778" s="353" t="s">
        <v>2968</v>
      </c>
      <c r="P778" s="338"/>
      <c r="Q778" s="339" t="str">
        <f>IFERROR(VLOOKUP(ROWS($Q$3:Q778),$M$3:$N$992,2,0),"")</f>
        <v>Pronájem a leasing vodních dopravních prostředků</v>
      </c>
      <c r="R778">
        <f>IF(ISNUMBER(SEARCH('1Př1'!$A$33,N778)),MAX($M$2:M777)+1,0)</f>
        <v>776</v>
      </c>
      <c r="S778" s="336" t="s">
        <v>2967</v>
      </c>
      <c r="T778" t="str">
        <f>IFERROR(VLOOKUP(ROWS($T$3:T778),$R$3:$S$992,2,0),"")</f>
        <v>Pronájem a leasing vodních dopravních prostředků</v>
      </c>
      <c r="U778">
        <f>IF(ISNUMBER(SEARCH('1Př1'!$A$34,N778)),MAX($M$2:M777)+1,0)</f>
        <v>776</v>
      </c>
      <c r="V778" s="336" t="s">
        <v>2967</v>
      </c>
      <c r="W778" t="str">
        <f>IFERROR(VLOOKUP(ROWS($W$3:W778),$U$3:$V$992,2,0),"")</f>
        <v>Pronájem a leasing vodních dopravních prostředků</v>
      </c>
      <c r="X778">
        <f>IF(ISNUMBER(SEARCH('1Př1'!$A$35,N778)),MAX($M$2:M777)+1,0)</f>
        <v>776</v>
      </c>
      <c r="Y778" s="336" t="s">
        <v>2967</v>
      </c>
      <c r="Z778" t="str">
        <f>IFERROR(VLOOKUP(ROWS($Z$3:Z778),$X$3:$Y$992,2,0),"")</f>
        <v>Pronájem a leasing vodních dopravních prostředků</v>
      </c>
    </row>
    <row r="779" spans="13:26" ht="12.75">
      <c r="M779" s="335">
        <f>IF(ISNUMBER(SEARCH(ZAKL_DATA!$B$29,N779)),MAX($M$2:M778)+1,0)</f>
        <v>777</v>
      </c>
      <c r="N779" s="336" t="s">
        <v>2969</v>
      </c>
      <c r="O779" s="353" t="s">
        <v>2970</v>
      </c>
      <c r="P779" s="338"/>
      <c r="Q779" s="339" t="str">
        <f>IFERROR(VLOOKUP(ROWS($Q$3:Q779),$M$3:$N$992,2,0),"")</f>
        <v>Pronájem a leasing leteckých dopravních prostředků</v>
      </c>
      <c r="R779">
        <f>IF(ISNUMBER(SEARCH('1Př1'!$A$33,N779)),MAX($M$2:M778)+1,0)</f>
        <v>777</v>
      </c>
      <c r="S779" s="336" t="s">
        <v>2969</v>
      </c>
      <c r="T779" t="str">
        <f>IFERROR(VLOOKUP(ROWS($T$3:T779),$R$3:$S$992,2,0),"")</f>
        <v>Pronájem a leasing leteckých dopravních prostředků</v>
      </c>
      <c r="U779">
        <f>IF(ISNUMBER(SEARCH('1Př1'!$A$34,N779)),MAX($M$2:M778)+1,0)</f>
        <v>777</v>
      </c>
      <c r="V779" s="336" t="s">
        <v>2969</v>
      </c>
      <c r="W779" t="str">
        <f>IFERROR(VLOOKUP(ROWS($W$3:W779),$U$3:$V$992,2,0),"")</f>
        <v>Pronájem a leasing leteckých dopravních prostředků</v>
      </c>
      <c r="X779">
        <f>IF(ISNUMBER(SEARCH('1Př1'!$A$35,N779)),MAX($M$2:M778)+1,0)</f>
        <v>777</v>
      </c>
      <c r="Y779" s="336" t="s">
        <v>2969</v>
      </c>
      <c r="Z779" t="str">
        <f>IFERROR(VLOOKUP(ROWS($Z$3:Z779),$X$3:$Y$992,2,0),"")</f>
        <v>Pronájem a leasing leteckých dopravních prostředků</v>
      </c>
    </row>
    <row r="780" spans="13:26" ht="12.75">
      <c r="M780" s="335">
        <f>IF(ISNUMBER(SEARCH(ZAKL_DATA!$B$29,N780)),MAX($M$2:M779)+1,0)</f>
        <v>778</v>
      </c>
      <c r="N780" s="336" t="s">
        <v>2971</v>
      </c>
      <c r="O780" s="353" t="s">
        <v>2972</v>
      </c>
      <c r="P780" s="338"/>
      <c r="Q780" s="339" t="str">
        <f>IFERROR(VLOOKUP(ROWS($Q$3:Q780),$M$3:$N$992,2,0),"")</f>
        <v>Pronájem a leasing ostatních strojů, zařízení a výrobků j. n.</v>
      </c>
      <c r="R780">
        <f>IF(ISNUMBER(SEARCH('1Př1'!$A$33,N780)),MAX($M$2:M779)+1,0)</f>
        <v>778</v>
      </c>
      <c r="S780" s="336" t="s">
        <v>2971</v>
      </c>
      <c r="T780" t="str">
        <f>IFERROR(VLOOKUP(ROWS($T$3:T780),$R$3:$S$992,2,0),"")</f>
        <v>Pronájem a leasing ostatních strojů, zařízení a výrobků j. n.</v>
      </c>
      <c r="U780">
        <f>IF(ISNUMBER(SEARCH('1Př1'!$A$34,N780)),MAX($M$2:M779)+1,0)</f>
        <v>778</v>
      </c>
      <c r="V780" s="336" t="s">
        <v>2971</v>
      </c>
      <c r="W780" t="str">
        <f>IFERROR(VLOOKUP(ROWS($W$3:W780),$U$3:$V$992,2,0),"")</f>
        <v>Pronájem a leasing ostatních strojů, zařízení a výrobků j. n.</v>
      </c>
      <c r="X780">
        <f>IF(ISNUMBER(SEARCH('1Př1'!$A$35,N780)),MAX($M$2:M779)+1,0)</f>
        <v>778</v>
      </c>
      <c r="Y780" s="336" t="s">
        <v>2971</v>
      </c>
      <c r="Z780" t="str">
        <f>IFERROR(VLOOKUP(ROWS($Z$3:Z780),$X$3:$Y$992,2,0),"")</f>
        <v>Pronájem a leasing ostatních strojů, zařízení a výrobků j. n.</v>
      </c>
    </row>
    <row r="781" spans="13:26" ht="12.75">
      <c r="M781" s="335">
        <f>IF(ISNUMBER(SEARCH(ZAKL_DATA!$B$29,N781)),MAX($M$2:M780)+1,0)</f>
        <v>779</v>
      </c>
      <c r="N781" s="336" t="s">
        <v>2973</v>
      </c>
      <c r="O781" s="353" t="s">
        <v>2974</v>
      </c>
      <c r="P781" s="338"/>
      <c r="Q781" s="339" t="str">
        <f>IFERROR(VLOOKUP(ROWS($Q$3:Q781),$M$3:$N$992,2,0),"")</f>
        <v>Činnosti cestovních agentur</v>
      </c>
      <c r="R781">
        <f>IF(ISNUMBER(SEARCH('1Př1'!$A$33,N781)),MAX($M$2:M780)+1,0)</f>
        <v>779</v>
      </c>
      <c r="S781" s="336" t="s">
        <v>2973</v>
      </c>
      <c r="T781" t="str">
        <f>IFERROR(VLOOKUP(ROWS($T$3:T781),$R$3:$S$992,2,0),"")</f>
        <v>Činnosti cestovních agentur</v>
      </c>
      <c r="U781">
        <f>IF(ISNUMBER(SEARCH('1Př1'!$A$34,N781)),MAX($M$2:M780)+1,0)</f>
        <v>779</v>
      </c>
      <c r="V781" s="336" t="s">
        <v>2973</v>
      </c>
      <c r="W781" t="str">
        <f>IFERROR(VLOOKUP(ROWS($W$3:W781),$U$3:$V$992,2,0),"")</f>
        <v>Činnosti cestovních agentur</v>
      </c>
      <c r="X781">
        <f>IF(ISNUMBER(SEARCH('1Př1'!$A$35,N781)),MAX($M$2:M780)+1,0)</f>
        <v>779</v>
      </c>
      <c r="Y781" s="336" t="s">
        <v>2973</v>
      </c>
      <c r="Z781" t="str">
        <f>IFERROR(VLOOKUP(ROWS($Z$3:Z781),$X$3:$Y$992,2,0),"")</f>
        <v>Činnosti cestovních agentur</v>
      </c>
    </row>
    <row r="782" spans="13:26" ht="12.75">
      <c r="M782" s="335">
        <f>IF(ISNUMBER(SEARCH(ZAKL_DATA!$B$29,N782)),MAX($M$2:M781)+1,0)</f>
        <v>780</v>
      </c>
      <c r="N782" s="336" t="s">
        <v>2975</v>
      </c>
      <c r="O782" s="353" t="s">
        <v>2976</v>
      </c>
      <c r="P782" s="338"/>
      <c r="Q782" s="339" t="str">
        <f>IFERROR(VLOOKUP(ROWS($Q$3:Q782),$M$3:$N$992,2,0),"")</f>
        <v>Činnosti cestovních kanceláří</v>
      </c>
      <c r="R782">
        <f>IF(ISNUMBER(SEARCH('1Př1'!$A$33,N782)),MAX($M$2:M781)+1,0)</f>
        <v>780</v>
      </c>
      <c r="S782" s="336" t="s">
        <v>2975</v>
      </c>
      <c r="T782" t="str">
        <f>IFERROR(VLOOKUP(ROWS($T$3:T782),$R$3:$S$992,2,0),"")</f>
        <v>Činnosti cestovních kanceláří</v>
      </c>
      <c r="U782">
        <f>IF(ISNUMBER(SEARCH('1Př1'!$A$34,N782)),MAX($M$2:M781)+1,0)</f>
        <v>780</v>
      </c>
      <c r="V782" s="336" t="s">
        <v>2975</v>
      </c>
      <c r="W782" t="str">
        <f>IFERROR(VLOOKUP(ROWS($W$3:W782),$U$3:$V$992,2,0),"")</f>
        <v>Činnosti cestovních kanceláří</v>
      </c>
      <c r="X782">
        <f>IF(ISNUMBER(SEARCH('1Př1'!$A$35,N782)),MAX($M$2:M781)+1,0)</f>
        <v>780</v>
      </c>
      <c r="Y782" s="336" t="s">
        <v>2975</v>
      </c>
      <c r="Z782" t="str">
        <f>IFERROR(VLOOKUP(ROWS($Z$3:Z782),$X$3:$Y$992,2,0),"")</f>
        <v>Činnosti cestovních kanceláří</v>
      </c>
    </row>
    <row r="783" spans="13:26" ht="12.75">
      <c r="M783" s="335">
        <f>IF(ISNUMBER(SEARCH(ZAKL_DATA!$B$29,N783)),MAX($M$2:M782)+1,0)</f>
        <v>781</v>
      </c>
      <c r="N783" s="336" t="s">
        <v>2977</v>
      </c>
      <c r="O783" s="353" t="s">
        <v>2978</v>
      </c>
      <c r="P783" s="338"/>
      <c r="Q783" s="339" t="str">
        <f>IFERROR(VLOOKUP(ROWS($Q$3:Q783),$M$3:$N$992,2,0),"")</f>
        <v>Všeobecný úklid budov</v>
      </c>
      <c r="R783">
        <f>IF(ISNUMBER(SEARCH('1Př1'!$A$33,N783)),MAX($M$2:M782)+1,0)</f>
        <v>781</v>
      </c>
      <c r="S783" s="336" t="s">
        <v>2977</v>
      </c>
      <c r="T783" t="str">
        <f>IFERROR(VLOOKUP(ROWS($T$3:T783),$R$3:$S$992,2,0),"")</f>
        <v>Všeobecný úklid budov</v>
      </c>
      <c r="U783">
        <f>IF(ISNUMBER(SEARCH('1Př1'!$A$34,N783)),MAX($M$2:M782)+1,0)</f>
        <v>781</v>
      </c>
      <c r="V783" s="336" t="s">
        <v>2977</v>
      </c>
      <c r="W783" t="str">
        <f>IFERROR(VLOOKUP(ROWS($W$3:W783),$U$3:$V$992,2,0),"")</f>
        <v>Všeobecný úklid budov</v>
      </c>
      <c r="X783">
        <f>IF(ISNUMBER(SEARCH('1Př1'!$A$35,N783)),MAX($M$2:M782)+1,0)</f>
        <v>781</v>
      </c>
      <c r="Y783" s="336" t="s">
        <v>2977</v>
      </c>
      <c r="Z783" t="str">
        <f>IFERROR(VLOOKUP(ROWS($Z$3:Z783),$X$3:$Y$992,2,0),"")</f>
        <v>Všeobecný úklid budov</v>
      </c>
    </row>
    <row r="784" spans="13:26" ht="12.75">
      <c r="M784" s="335">
        <f>IF(ISNUMBER(SEARCH(ZAKL_DATA!$B$29,N784)),MAX($M$2:M783)+1,0)</f>
        <v>782</v>
      </c>
      <c r="N784" s="336" t="s">
        <v>2979</v>
      </c>
      <c r="O784" s="353" t="s">
        <v>2980</v>
      </c>
      <c r="P784" s="338"/>
      <c r="Q784" s="339" t="str">
        <f>IFERROR(VLOOKUP(ROWS($Q$3:Q784),$M$3:$N$992,2,0),"")</f>
        <v>Specializované čištění a úklid budov a průmyslových zařízení</v>
      </c>
      <c r="R784">
        <f>IF(ISNUMBER(SEARCH('1Př1'!$A$33,N784)),MAX($M$2:M783)+1,0)</f>
        <v>782</v>
      </c>
      <c r="S784" s="336" t="s">
        <v>2979</v>
      </c>
      <c r="T784" t="str">
        <f>IFERROR(VLOOKUP(ROWS($T$3:T784),$R$3:$S$992,2,0),"")</f>
        <v>Specializované čištění a úklid budov a průmyslových zařízení</v>
      </c>
      <c r="U784">
        <f>IF(ISNUMBER(SEARCH('1Př1'!$A$34,N784)),MAX($M$2:M783)+1,0)</f>
        <v>782</v>
      </c>
      <c r="V784" s="336" t="s">
        <v>2979</v>
      </c>
      <c r="W784" t="str">
        <f>IFERROR(VLOOKUP(ROWS($W$3:W784),$U$3:$V$992,2,0),"")</f>
        <v>Specializované čištění a úklid budov a průmyslových zařízení</v>
      </c>
      <c r="X784">
        <f>IF(ISNUMBER(SEARCH('1Př1'!$A$35,N784)),MAX($M$2:M783)+1,0)</f>
        <v>782</v>
      </c>
      <c r="Y784" s="336" t="s">
        <v>2979</v>
      </c>
      <c r="Z784" t="str">
        <f>IFERROR(VLOOKUP(ROWS($Z$3:Z784),$X$3:$Y$992,2,0),"")</f>
        <v>Specializované čištění a úklid budov a průmyslových zařízení</v>
      </c>
    </row>
    <row r="785" spans="13:26" ht="12.75">
      <c r="M785" s="335">
        <f>IF(ISNUMBER(SEARCH(ZAKL_DATA!$B$29,N785)),MAX($M$2:M784)+1,0)</f>
        <v>783</v>
      </c>
      <c r="N785" s="336" t="s">
        <v>2981</v>
      </c>
      <c r="O785" s="353" t="s">
        <v>2982</v>
      </c>
      <c r="P785" s="338"/>
      <c r="Q785" s="339" t="str">
        <f>IFERROR(VLOOKUP(ROWS($Q$3:Q785),$M$3:$N$992,2,0),"")</f>
        <v>Ostatní úklidové činnosti</v>
      </c>
      <c r="R785">
        <f>IF(ISNUMBER(SEARCH('1Př1'!$A$33,N785)),MAX($M$2:M784)+1,0)</f>
        <v>783</v>
      </c>
      <c r="S785" s="336" t="s">
        <v>2981</v>
      </c>
      <c r="T785" t="str">
        <f>IFERROR(VLOOKUP(ROWS($T$3:T785),$R$3:$S$992,2,0),"")</f>
        <v>Ostatní úklidové činnosti</v>
      </c>
      <c r="U785">
        <f>IF(ISNUMBER(SEARCH('1Př1'!$A$34,N785)),MAX($M$2:M784)+1,0)</f>
        <v>783</v>
      </c>
      <c r="V785" s="336" t="s">
        <v>2981</v>
      </c>
      <c r="W785" t="str">
        <f>IFERROR(VLOOKUP(ROWS($W$3:W785),$U$3:$V$992,2,0),"")</f>
        <v>Ostatní úklidové činnosti</v>
      </c>
      <c r="X785">
        <f>IF(ISNUMBER(SEARCH('1Př1'!$A$35,N785)),MAX($M$2:M784)+1,0)</f>
        <v>783</v>
      </c>
      <c r="Y785" s="336" t="s">
        <v>2981</v>
      </c>
      <c r="Z785" t="str">
        <f>IFERROR(VLOOKUP(ROWS($Z$3:Z785),$X$3:$Y$992,2,0),"")</f>
        <v>Ostatní úklidové činnosti</v>
      </c>
    </row>
    <row r="786" spans="13:26" ht="12.75">
      <c r="M786" s="335">
        <f>IF(ISNUMBER(SEARCH(ZAKL_DATA!$B$29,N786)),MAX($M$2:M785)+1,0)</f>
        <v>784</v>
      </c>
      <c r="N786" s="336" t="s">
        <v>2983</v>
      </c>
      <c r="O786" s="353" t="s">
        <v>2984</v>
      </c>
      <c r="P786" s="338"/>
      <c r="Q786" s="339" t="str">
        <f>IFERROR(VLOOKUP(ROWS($Q$3:Q786),$M$3:$N$992,2,0),"")</f>
        <v>Univerzální administrativní činnosti</v>
      </c>
      <c r="R786">
        <f>IF(ISNUMBER(SEARCH('1Př1'!$A$33,N786)),MAX($M$2:M785)+1,0)</f>
        <v>784</v>
      </c>
      <c r="S786" s="336" t="s">
        <v>2983</v>
      </c>
      <c r="T786" t="str">
        <f>IFERROR(VLOOKUP(ROWS($T$3:T786),$R$3:$S$992,2,0),"")</f>
        <v>Univerzální administrativní činnosti</v>
      </c>
      <c r="U786">
        <f>IF(ISNUMBER(SEARCH('1Př1'!$A$34,N786)),MAX($M$2:M785)+1,0)</f>
        <v>784</v>
      </c>
      <c r="V786" s="336" t="s">
        <v>2983</v>
      </c>
      <c r="W786" t="str">
        <f>IFERROR(VLOOKUP(ROWS($W$3:W786),$U$3:$V$992,2,0),"")</f>
        <v>Univerzální administrativní činnosti</v>
      </c>
      <c r="X786">
        <f>IF(ISNUMBER(SEARCH('1Př1'!$A$35,N786)),MAX($M$2:M785)+1,0)</f>
        <v>784</v>
      </c>
      <c r="Y786" s="336" t="s">
        <v>2983</v>
      </c>
      <c r="Z786" t="str">
        <f>IFERROR(VLOOKUP(ROWS($Z$3:Z786),$X$3:$Y$992,2,0),"")</f>
        <v>Univerzální administrativní činnosti</v>
      </c>
    </row>
    <row r="787" spans="13:26" ht="12.75">
      <c r="M787" s="335">
        <f>IF(ISNUMBER(SEARCH(ZAKL_DATA!$B$29,N787)),MAX($M$2:M786)+1,0)</f>
        <v>785</v>
      </c>
      <c r="N787" s="336" t="s">
        <v>2985</v>
      </c>
      <c r="O787" s="353" t="s">
        <v>2986</v>
      </c>
      <c r="P787" s="338"/>
      <c r="Q787" s="339" t="str">
        <f>IFERROR(VLOOKUP(ROWS($Q$3:Q787),$M$3:$N$992,2,0),"")</f>
        <v>Kopírování,příprava dokumentů a ost.specializ.kancel.podpůrné činnosti</v>
      </c>
      <c r="R787">
        <f>IF(ISNUMBER(SEARCH('1Př1'!$A$33,N787)),MAX($M$2:M786)+1,0)</f>
        <v>785</v>
      </c>
      <c r="S787" s="336" t="s">
        <v>2985</v>
      </c>
      <c r="T787" t="str">
        <f>IFERROR(VLOOKUP(ROWS($T$3:T787),$R$3:$S$992,2,0),"")</f>
        <v>Kopírování,příprava dokumentů a ost.specializ.kancel.podpůrné činnosti</v>
      </c>
      <c r="U787">
        <f>IF(ISNUMBER(SEARCH('1Př1'!$A$34,N787)),MAX($M$2:M786)+1,0)</f>
        <v>785</v>
      </c>
      <c r="V787" s="336" t="s">
        <v>2985</v>
      </c>
      <c r="W787" t="str">
        <f>IFERROR(VLOOKUP(ROWS($W$3:W787),$U$3:$V$992,2,0),"")</f>
        <v>Kopírování,příprava dokumentů a ost.specializ.kancel.podpůrné činnosti</v>
      </c>
      <c r="X787">
        <f>IF(ISNUMBER(SEARCH('1Př1'!$A$35,N787)),MAX($M$2:M786)+1,0)</f>
        <v>785</v>
      </c>
      <c r="Y787" s="336" t="s">
        <v>2985</v>
      </c>
      <c r="Z787" t="str">
        <f>IFERROR(VLOOKUP(ROWS($Z$3:Z787),$X$3:$Y$992,2,0),"")</f>
        <v>Kopírování,příprava dokumentů a ost.specializ.kancel.podpůrné činnosti</v>
      </c>
    </row>
    <row r="788" spans="13:26" ht="12.75">
      <c r="M788" s="335">
        <f>IF(ISNUMBER(SEARCH(ZAKL_DATA!$B$29,N788)),MAX($M$2:M787)+1,0)</f>
        <v>786</v>
      </c>
      <c r="N788" s="336" t="s">
        <v>2987</v>
      </c>
      <c r="O788" s="353" t="s">
        <v>2988</v>
      </c>
      <c r="P788" s="338"/>
      <c r="Q788" s="339" t="str">
        <f>IFERROR(VLOOKUP(ROWS($Q$3:Q788),$M$3:$N$992,2,0),"")</f>
        <v>Inkasní činnosti, ověřování solventnosti zákazníka</v>
      </c>
      <c r="R788">
        <f>IF(ISNUMBER(SEARCH('1Př1'!$A$33,N788)),MAX($M$2:M787)+1,0)</f>
        <v>786</v>
      </c>
      <c r="S788" s="336" t="s">
        <v>2987</v>
      </c>
      <c r="T788" t="str">
        <f>IFERROR(VLOOKUP(ROWS($T$3:T788),$R$3:$S$992,2,0),"")</f>
        <v>Inkasní činnosti, ověřování solventnosti zákazníka</v>
      </c>
      <c r="U788">
        <f>IF(ISNUMBER(SEARCH('1Př1'!$A$34,N788)),MAX($M$2:M787)+1,0)</f>
        <v>786</v>
      </c>
      <c r="V788" s="336" t="s">
        <v>2987</v>
      </c>
      <c r="W788" t="str">
        <f>IFERROR(VLOOKUP(ROWS($W$3:W788),$U$3:$V$992,2,0),"")</f>
        <v>Inkasní činnosti, ověřování solventnosti zákazníka</v>
      </c>
      <c r="X788">
        <f>IF(ISNUMBER(SEARCH('1Př1'!$A$35,N788)),MAX($M$2:M787)+1,0)</f>
        <v>786</v>
      </c>
      <c r="Y788" s="336" t="s">
        <v>2987</v>
      </c>
      <c r="Z788" t="str">
        <f>IFERROR(VLOOKUP(ROWS($Z$3:Z788),$X$3:$Y$992,2,0),"")</f>
        <v>Inkasní činnosti, ověřování solventnosti zákazníka</v>
      </c>
    </row>
    <row r="789" spans="13:26" ht="12.75">
      <c r="M789" s="335">
        <f>IF(ISNUMBER(SEARCH(ZAKL_DATA!$B$29,N789)),MAX($M$2:M788)+1,0)</f>
        <v>787</v>
      </c>
      <c r="N789" s="336" t="s">
        <v>2989</v>
      </c>
      <c r="O789" s="353" t="s">
        <v>2990</v>
      </c>
      <c r="P789" s="338"/>
      <c r="Q789" s="339" t="str">
        <f>IFERROR(VLOOKUP(ROWS($Q$3:Q789),$M$3:$N$992,2,0),"")</f>
        <v>Balicí činnosti</v>
      </c>
      <c r="R789">
        <f>IF(ISNUMBER(SEARCH('1Př1'!$A$33,N789)),MAX($M$2:M788)+1,0)</f>
        <v>787</v>
      </c>
      <c r="S789" s="336" t="s">
        <v>2989</v>
      </c>
      <c r="T789" t="str">
        <f>IFERROR(VLOOKUP(ROWS($T$3:T789),$R$3:$S$992,2,0),"")</f>
        <v>Balicí činnosti</v>
      </c>
      <c r="U789">
        <f>IF(ISNUMBER(SEARCH('1Př1'!$A$34,N789)),MAX($M$2:M788)+1,0)</f>
        <v>787</v>
      </c>
      <c r="V789" s="336" t="s">
        <v>2989</v>
      </c>
      <c r="W789" t="str">
        <f>IFERROR(VLOOKUP(ROWS($W$3:W789),$U$3:$V$992,2,0),"")</f>
        <v>Balicí činnosti</v>
      </c>
      <c r="X789">
        <f>IF(ISNUMBER(SEARCH('1Př1'!$A$35,N789)),MAX($M$2:M788)+1,0)</f>
        <v>787</v>
      </c>
      <c r="Y789" s="336" t="s">
        <v>2989</v>
      </c>
      <c r="Z789" t="str">
        <f>IFERROR(VLOOKUP(ROWS($Z$3:Z789),$X$3:$Y$992,2,0),"")</f>
        <v>Balicí činnosti</v>
      </c>
    </row>
    <row r="790" spans="13:26" ht="12.75">
      <c r="M790" s="335">
        <f>IF(ISNUMBER(SEARCH(ZAKL_DATA!$B$29,N790)),MAX($M$2:M789)+1,0)</f>
        <v>788</v>
      </c>
      <c r="N790" s="336" t="s">
        <v>2991</v>
      </c>
      <c r="O790" s="353" t="s">
        <v>2992</v>
      </c>
      <c r="P790" s="338"/>
      <c r="Q790" s="339" t="str">
        <f>IFERROR(VLOOKUP(ROWS($Q$3:Q790),$M$3:$N$992,2,0),"")</f>
        <v>Ostatní podpůrné činnosti pro podnikání j. n.</v>
      </c>
      <c r="R790">
        <f>IF(ISNUMBER(SEARCH('1Př1'!$A$33,N790)),MAX($M$2:M789)+1,0)</f>
        <v>788</v>
      </c>
      <c r="S790" s="336" t="s">
        <v>2991</v>
      </c>
      <c r="T790" t="str">
        <f>IFERROR(VLOOKUP(ROWS($T$3:T790),$R$3:$S$992,2,0),"")</f>
        <v>Ostatní podpůrné činnosti pro podnikání j. n.</v>
      </c>
      <c r="U790">
        <f>IF(ISNUMBER(SEARCH('1Př1'!$A$34,N790)),MAX($M$2:M789)+1,0)</f>
        <v>788</v>
      </c>
      <c r="V790" s="336" t="s">
        <v>2991</v>
      </c>
      <c r="W790" t="str">
        <f>IFERROR(VLOOKUP(ROWS($W$3:W790),$U$3:$V$992,2,0),"")</f>
        <v>Ostatní podpůrné činnosti pro podnikání j. n.</v>
      </c>
      <c r="X790">
        <f>IF(ISNUMBER(SEARCH('1Př1'!$A$35,N790)),MAX($M$2:M789)+1,0)</f>
        <v>788</v>
      </c>
      <c r="Y790" s="336" t="s">
        <v>2991</v>
      </c>
      <c r="Z790" t="str">
        <f>IFERROR(VLOOKUP(ROWS($Z$3:Z790),$X$3:$Y$992,2,0),"")</f>
        <v>Ostatní podpůrné činnosti pro podnikání j. n.</v>
      </c>
    </row>
    <row r="791" spans="13:26" ht="12.75">
      <c r="M791" s="335">
        <f>IF(ISNUMBER(SEARCH(ZAKL_DATA!$B$29,N791)),MAX($M$2:M790)+1,0)</f>
        <v>789</v>
      </c>
      <c r="N791" s="336" t="s">
        <v>2993</v>
      </c>
      <c r="O791" s="353" t="s">
        <v>2994</v>
      </c>
      <c r="P791" s="338"/>
      <c r="Q791" s="339" t="str">
        <f>IFERROR(VLOOKUP(ROWS($Q$3:Q791),$M$3:$N$992,2,0),"")</f>
        <v>Všeobecné činnosti veřejné správy</v>
      </c>
      <c r="R791">
        <f>IF(ISNUMBER(SEARCH('1Př1'!$A$33,N791)),MAX($M$2:M790)+1,0)</f>
        <v>789</v>
      </c>
      <c r="S791" s="336" t="s">
        <v>2993</v>
      </c>
      <c r="T791" t="str">
        <f>IFERROR(VLOOKUP(ROWS($T$3:T791),$R$3:$S$992,2,0),"")</f>
        <v>Všeobecné činnosti veřejné správy</v>
      </c>
      <c r="U791">
        <f>IF(ISNUMBER(SEARCH('1Př1'!$A$34,N791)),MAX($M$2:M790)+1,0)</f>
        <v>789</v>
      </c>
      <c r="V791" s="336" t="s">
        <v>2993</v>
      </c>
      <c r="W791" t="str">
        <f>IFERROR(VLOOKUP(ROWS($W$3:W791),$U$3:$V$992,2,0),"")</f>
        <v>Všeobecné činnosti veřejné správy</v>
      </c>
      <c r="X791">
        <f>IF(ISNUMBER(SEARCH('1Př1'!$A$35,N791)),MAX($M$2:M790)+1,0)</f>
        <v>789</v>
      </c>
      <c r="Y791" s="336" t="s">
        <v>2993</v>
      </c>
      <c r="Z791" t="str">
        <f>IFERROR(VLOOKUP(ROWS($Z$3:Z791),$X$3:$Y$992,2,0),"")</f>
        <v>Všeobecné činnosti veřejné správy</v>
      </c>
    </row>
    <row r="792" spans="13:26" ht="12.75">
      <c r="M792" s="335">
        <f>IF(ISNUMBER(SEARCH(ZAKL_DATA!$B$29,N792)),MAX($M$2:M791)+1,0)</f>
        <v>790</v>
      </c>
      <c r="N792" s="336" t="s">
        <v>2995</v>
      </c>
      <c r="O792" s="353" t="s">
        <v>2996</v>
      </c>
      <c r="P792" s="338"/>
      <c r="Q792" s="339" t="str">
        <f>IFERROR(VLOOKUP(ROWS($Q$3:Q792),$M$3:$N$992,2,0),"")</f>
        <v>Regul.čin.souvis.s poskyt.zdr.péče,vzděl.,kulturou a soc.péčí,kromě soc.z.</v>
      </c>
      <c r="R792">
        <f>IF(ISNUMBER(SEARCH('1Př1'!$A$33,N792)),MAX($M$2:M791)+1,0)</f>
        <v>790</v>
      </c>
      <c r="S792" s="336" t="s">
        <v>2995</v>
      </c>
      <c r="T792" t="str">
        <f>IFERROR(VLOOKUP(ROWS($T$3:T792),$R$3:$S$992,2,0),"")</f>
        <v>Regul.čin.souvis.s poskyt.zdr.péče,vzděl.,kulturou a soc.péčí,kromě soc.z.</v>
      </c>
      <c r="U792">
        <f>IF(ISNUMBER(SEARCH('1Př1'!$A$34,N792)),MAX($M$2:M791)+1,0)</f>
        <v>790</v>
      </c>
      <c r="V792" s="336" t="s">
        <v>2995</v>
      </c>
      <c r="W792" t="str">
        <f>IFERROR(VLOOKUP(ROWS($W$3:W792),$U$3:$V$992,2,0),"")</f>
        <v>Regul.čin.souvis.s poskyt.zdr.péče,vzděl.,kulturou a soc.péčí,kromě soc.z.</v>
      </c>
      <c r="X792">
        <f>IF(ISNUMBER(SEARCH('1Př1'!$A$35,N792)),MAX($M$2:M791)+1,0)</f>
        <v>790</v>
      </c>
      <c r="Y792" s="336" t="s">
        <v>2995</v>
      </c>
      <c r="Z792" t="str">
        <f>IFERROR(VLOOKUP(ROWS($Z$3:Z792),$X$3:$Y$992,2,0),"")</f>
        <v>Regul.čin.souvis.s poskyt.zdr.péče,vzděl.,kulturou a soc.péčí,kromě soc.z.</v>
      </c>
    </row>
    <row r="793" spans="13:26" ht="12.75">
      <c r="M793" s="335">
        <f>IF(ISNUMBER(SEARCH(ZAKL_DATA!$B$29,N793)),MAX($M$2:M792)+1,0)</f>
        <v>791</v>
      </c>
      <c r="N793" s="336" t="s">
        <v>2997</v>
      </c>
      <c r="O793" s="353" t="s">
        <v>2998</v>
      </c>
      <c r="P793" s="338"/>
      <c r="Q793" s="339" t="str">
        <f>IFERROR(VLOOKUP(ROWS($Q$3:Q793),$M$3:$N$992,2,0),"")</f>
        <v>Regulace a podpora podnikatelského prostředí</v>
      </c>
      <c r="R793">
        <f>IF(ISNUMBER(SEARCH('1Př1'!$A$33,N793)),MAX($M$2:M792)+1,0)</f>
        <v>791</v>
      </c>
      <c r="S793" s="336" t="s">
        <v>2997</v>
      </c>
      <c r="T793" t="str">
        <f>IFERROR(VLOOKUP(ROWS($T$3:T793),$R$3:$S$992,2,0),"")</f>
        <v>Regulace a podpora podnikatelského prostředí</v>
      </c>
      <c r="U793">
        <f>IF(ISNUMBER(SEARCH('1Př1'!$A$34,N793)),MAX($M$2:M792)+1,0)</f>
        <v>791</v>
      </c>
      <c r="V793" s="336" t="s">
        <v>2997</v>
      </c>
      <c r="W793" t="str">
        <f>IFERROR(VLOOKUP(ROWS($W$3:W793),$U$3:$V$992,2,0),"")</f>
        <v>Regulace a podpora podnikatelského prostředí</v>
      </c>
      <c r="X793">
        <f>IF(ISNUMBER(SEARCH('1Př1'!$A$35,N793)),MAX($M$2:M792)+1,0)</f>
        <v>791</v>
      </c>
      <c r="Y793" s="336" t="s">
        <v>2997</v>
      </c>
      <c r="Z793" t="str">
        <f>IFERROR(VLOOKUP(ROWS($Z$3:Z793),$X$3:$Y$992,2,0),"")</f>
        <v>Regulace a podpora podnikatelského prostředí</v>
      </c>
    </row>
    <row r="794" spans="13:26" ht="12.75">
      <c r="M794" s="335">
        <f>IF(ISNUMBER(SEARCH(ZAKL_DATA!$B$29,N794)),MAX($M$2:M793)+1,0)</f>
        <v>792</v>
      </c>
      <c r="N794" s="336" t="s">
        <v>2999</v>
      </c>
      <c r="O794" s="353" t="s">
        <v>3000</v>
      </c>
      <c r="P794" s="338"/>
      <c r="Q794" s="339" t="str">
        <f>IFERROR(VLOOKUP(ROWS($Q$3:Q794),$M$3:$N$992,2,0),"")</f>
        <v>Činnosti v oblasti zahraničních věcí</v>
      </c>
      <c r="R794">
        <f>IF(ISNUMBER(SEARCH('1Př1'!$A$33,N794)),MAX($M$2:M793)+1,0)</f>
        <v>792</v>
      </c>
      <c r="S794" s="336" t="s">
        <v>2999</v>
      </c>
      <c r="T794" t="str">
        <f>IFERROR(VLOOKUP(ROWS($T$3:T794),$R$3:$S$992,2,0),"")</f>
        <v>Činnosti v oblasti zahraničních věcí</v>
      </c>
      <c r="U794">
        <f>IF(ISNUMBER(SEARCH('1Př1'!$A$34,N794)),MAX($M$2:M793)+1,0)</f>
        <v>792</v>
      </c>
      <c r="V794" s="336" t="s">
        <v>2999</v>
      </c>
      <c r="W794" t="str">
        <f>IFERROR(VLOOKUP(ROWS($W$3:W794),$U$3:$V$992,2,0),"")</f>
        <v>Činnosti v oblasti zahraničních věcí</v>
      </c>
      <c r="X794">
        <f>IF(ISNUMBER(SEARCH('1Př1'!$A$35,N794)),MAX($M$2:M793)+1,0)</f>
        <v>792</v>
      </c>
      <c r="Y794" s="336" t="s">
        <v>2999</v>
      </c>
      <c r="Z794" t="str">
        <f>IFERROR(VLOOKUP(ROWS($Z$3:Z794),$X$3:$Y$992,2,0),"")</f>
        <v>Činnosti v oblasti zahraničních věcí</v>
      </c>
    </row>
    <row r="795" spans="13:26" ht="12.75">
      <c r="M795" s="335">
        <f>IF(ISNUMBER(SEARCH(ZAKL_DATA!$B$29,N795)),MAX($M$2:M794)+1,0)</f>
        <v>793</v>
      </c>
      <c r="N795" s="336" t="s">
        <v>3001</v>
      </c>
      <c r="O795" s="353" t="s">
        <v>3002</v>
      </c>
      <c r="P795" s="338"/>
      <c r="Q795" s="339" t="str">
        <f>IFERROR(VLOOKUP(ROWS($Q$3:Q795),$M$3:$N$992,2,0),"")</f>
        <v>Činnosti v oblasti obrany</v>
      </c>
      <c r="R795">
        <f>IF(ISNUMBER(SEARCH('1Př1'!$A$33,N795)),MAX($M$2:M794)+1,0)</f>
        <v>793</v>
      </c>
      <c r="S795" s="336" t="s">
        <v>3001</v>
      </c>
      <c r="T795" t="str">
        <f>IFERROR(VLOOKUP(ROWS($T$3:T795),$R$3:$S$992,2,0),"")</f>
        <v>Činnosti v oblasti obrany</v>
      </c>
      <c r="U795">
        <f>IF(ISNUMBER(SEARCH('1Př1'!$A$34,N795)),MAX($M$2:M794)+1,0)</f>
        <v>793</v>
      </c>
      <c r="V795" s="336" t="s">
        <v>3001</v>
      </c>
      <c r="W795" t="str">
        <f>IFERROR(VLOOKUP(ROWS($W$3:W795),$U$3:$V$992,2,0),"")</f>
        <v>Činnosti v oblasti obrany</v>
      </c>
      <c r="X795">
        <f>IF(ISNUMBER(SEARCH('1Př1'!$A$35,N795)),MAX($M$2:M794)+1,0)</f>
        <v>793</v>
      </c>
      <c r="Y795" s="336" t="s">
        <v>3001</v>
      </c>
      <c r="Z795" t="str">
        <f>IFERROR(VLOOKUP(ROWS($Z$3:Z795),$X$3:$Y$992,2,0),"")</f>
        <v>Činnosti v oblasti obrany</v>
      </c>
    </row>
    <row r="796" spans="13:26" ht="12.75">
      <c r="M796" s="335">
        <f>IF(ISNUMBER(SEARCH(ZAKL_DATA!$B$29,N796)),MAX($M$2:M795)+1,0)</f>
        <v>794</v>
      </c>
      <c r="N796" s="336" t="s">
        <v>3003</v>
      </c>
      <c r="O796" s="353" t="s">
        <v>3004</v>
      </c>
      <c r="P796" s="338"/>
      <c r="Q796" s="339" t="str">
        <f>IFERROR(VLOOKUP(ROWS($Q$3:Q796),$M$3:$N$992,2,0),"")</f>
        <v>Činnosti v oblasti spravedlnosti a soudnictví</v>
      </c>
      <c r="R796">
        <f>IF(ISNUMBER(SEARCH('1Př1'!$A$33,N796)),MAX($M$2:M795)+1,0)</f>
        <v>794</v>
      </c>
      <c r="S796" s="336" t="s">
        <v>3003</v>
      </c>
      <c r="T796" t="str">
        <f>IFERROR(VLOOKUP(ROWS($T$3:T796),$R$3:$S$992,2,0),"")</f>
        <v>Činnosti v oblasti spravedlnosti a soudnictví</v>
      </c>
      <c r="U796">
        <f>IF(ISNUMBER(SEARCH('1Př1'!$A$34,N796)),MAX($M$2:M795)+1,0)</f>
        <v>794</v>
      </c>
      <c r="V796" s="336" t="s">
        <v>3003</v>
      </c>
      <c r="W796" t="str">
        <f>IFERROR(VLOOKUP(ROWS($W$3:W796),$U$3:$V$992,2,0),"")</f>
        <v>Činnosti v oblasti spravedlnosti a soudnictví</v>
      </c>
      <c r="X796">
        <f>IF(ISNUMBER(SEARCH('1Př1'!$A$35,N796)),MAX($M$2:M795)+1,0)</f>
        <v>794</v>
      </c>
      <c r="Y796" s="336" t="s">
        <v>3003</v>
      </c>
      <c r="Z796" t="str">
        <f>IFERROR(VLOOKUP(ROWS($Z$3:Z796),$X$3:$Y$992,2,0),"")</f>
        <v>Činnosti v oblasti spravedlnosti a soudnictví</v>
      </c>
    </row>
    <row r="797" spans="13:26" ht="12.75">
      <c r="M797" s="335">
        <f>IF(ISNUMBER(SEARCH(ZAKL_DATA!$B$29,N797)),MAX($M$2:M796)+1,0)</f>
        <v>795</v>
      </c>
      <c r="N797" s="336" t="s">
        <v>3005</v>
      </c>
      <c r="O797" s="353" t="s">
        <v>3006</v>
      </c>
      <c r="P797" s="338"/>
      <c r="Q797" s="339" t="str">
        <f>IFERROR(VLOOKUP(ROWS($Q$3:Q797),$M$3:$N$992,2,0),"")</f>
        <v>Činnosti v oblasti veřejného pořádku a bezpečnosti</v>
      </c>
      <c r="R797">
        <f>IF(ISNUMBER(SEARCH('1Př1'!$A$33,N797)),MAX($M$2:M796)+1,0)</f>
        <v>795</v>
      </c>
      <c r="S797" s="336" t="s">
        <v>3005</v>
      </c>
      <c r="T797" t="str">
        <f>IFERROR(VLOOKUP(ROWS($T$3:T797),$R$3:$S$992,2,0),"")</f>
        <v>Činnosti v oblasti veřejného pořádku a bezpečnosti</v>
      </c>
      <c r="U797">
        <f>IF(ISNUMBER(SEARCH('1Př1'!$A$34,N797)),MAX($M$2:M796)+1,0)</f>
        <v>795</v>
      </c>
      <c r="V797" s="336" t="s">
        <v>3005</v>
      </c>
      <c r="W797" t="str">
        <f>IFERROR(VLOOKUP(ROWS($W$3:W797),$U$3:$V$992,2,0),"")</f>
        <v>Činnosti v oblasti veřejného pořádku a bezpečnosti</v>
      </c>
      <c r="X797">
        <f>IF(ISNUMBER(SEARCH('1Př1'!$A$35,N797)),MAX($M$2:M796)+1,0)</f>
        <v>795</v>
      </c>
      <c r="Y797" s="336" t="s">
        <v>3005</v>
      </c>
      <c r="Z797" t="str">
        <f>IFERROR(VLOOKUP(ROWS($Z$3:Z797),$X$3:$Y$992,2,0),"")</f>
        <v>Činnosti v oblasti veřejného pořádku a bezpečnosti</v>
      </c>
    </row>
    <row r="798" spans="13:26" ht="12.75">
      <c r="M798" s="335">
        <f>IF(ISNUMBER(SEARCH(ZAKL_DATA!$B$29,N798)),MAX($M$2:M797)+1,0)</f>
        <v>796</v>
      </c>
      <c r="N798" s="336" t="s">
        <v>3007</v>
      </c>
      <c r="O798" s="353" t="s">
        <v>3008</v>
      </c>
      <c r="P798" s="338"/>
      <c r="Q798" s="339" t="str">
        <f>IFERROR(VLOOKUP(ROWS($Q$3:Q798),$M$3:$N$992,2,0),"")</f>
        <v>Činnosti v oblasti protipožární ochrany</v>
      </c>
      <c r="R798">
        <f>IF(ISNUMBER(SEARCH('1Př1'!$A$33,N798)),MAX($M$2:M797)+1,0)</f>
        <v>796</v>
      </c>
      <c r="S798" s="336" t="s">
        <v>3007</v>
      </c>
      <c r="T798" t="str">
        <f>IFERROR(VLOOKUP(ROWS($T$3:T798),$R$3:$S$992,2,0),"")</f>
        <v>Činnosti v oblasti protipožární ochrany</v>
      </c>
      <c r="U798">
        <f>IF(ISNUMBER(SEARCH('1Př1'!$A$34,N798)),MAX($M$2:M797)+1,0)</f>
        <v>796</v>
      </c>
      <c r="V798" s="336" t="s">
        <v>3007</v>
      </c>
      <c r="W798" t="str">
        <f>IFERROR(VLOOKUP(ROWS($W$3:W798),$U$3:$V$992,2,0),"")</f>
        <v>Činnosti v oblasti protipožární ochrany</v>
      </c>
      <c r="X798">
        <f>IF(ISNUMBER(SEARCH('1Př1'!$A$35,N798)),MAX($M$2:M797)+1,0)</f>
        <v>796</v>
      </c>
      <c r="Y798" s="336" t="s">
        <v>3007</v>
      </c>
      <c r="Z798" t="str">
        <f>IFERROR(VLOOKUP(ROWS($Z$3:Z798),$X$3:$Y$992,2,0),"")</f>
        <v>Činnosti v oblasti protipožární ochrany</v>
      </c>
    </row>
    <row r="799" spans="13:26" ht="12.75">
      <c r="M799" s="335">
        <f>IF(ISNUMBER(SEARCH(ZAKL_DATA!$B$29,N799)),MAX($M$2:M798)+1,0)</f>
        <v>797</v>
      </c>
      <c r="N799" s="336" t="s">
        <v>3009</v>
      </c>
      <c r="O799" s="353" t="s">
        <v>3010</v>
      </c>
      <c r="P799" s="338"/>
      <c r="Q799" s="339" t="str">
        <f>IFERROR(VLOOKUP(ROWS($Q$3:Q799),$M$3:$N$992,2,0),"")</f>
        <v>Sekundární všeobecné vzdělávání</v>
      </c>
      <c r="R799">
        <f>IF(ISNUMBER(SEARCH('1Př1'!$A$33,N799)),MAX($M$2:M798)+1,0)</f>
        <v>797</v>
      </c>
      <c r="S799" s="336" t="s">
        <v>3009</v>
      </c>
      <c r="T799" t="str">
        <f>IFERROR(VLOOKUP(ROWS($T$3:T799),$R$3:$S$992,2,0),"")</f>
        <v>Sekundární všeobecné vzdělávání</v>
      </c>
      <c r="U799">
        <f>IF(ISNUMBER(SEARCH('1Př1'!$A$34,N799)),MAX($M$2:M798)+1,0)</f>
        <v>797</v>
      </c>
      <c r="V799" s="336" t="s">
        <v>3009</v>
      </c>
      <c r="W799" t="str">
        <f>IFERROR(VLOOKUP(ROWS($W$3:W799),$U$3:$V$992,2,0),"")</f>
        <v>Sekundární všeobecné vzdělávání</v>
      </c>
      <c r="X799">
        <f>IF(ISNUMBER(SEARCH('1Př1'!$A$35,N799)),MAX($M$2:M798)+1,0)</f>
        <v>797</v>
      </c>
      <c r="Y799" s="336" t="s">
        <v>3009</v>
      </c>
      <c r="Z799" t="str">
        <f>IFERROR(VLOOKUP(ROWS($Z$3:Z799),$X$3:$Y$992,2,0),"")</f>
        <v>Sekundární všeobecné vzdělávání</v>
      </c>
    </row>
    <row r="800" spans="13:26" ht="12.75">
      <c r="M800" s="335">
        <f>IF(ISNUMBER(SEARCH(ZAKL_DATA!$B$29,N800)),MAX($M$2:M799)+1,0)</f>
        <v>798</v>
      </c>
      <c r="N800" s="336" t="s">
        <v>3011</v>
      </c>
      <c r="O800" s="353" t="s">
        <v>3012</v>
      </c>
      <c r="P800" s="338"/>
      <c r="Q800" s="339" t="str">
        <f>IFERROR(VLOOKUP(ROWS($Q$3:Q800),$M$3:$N$992,2,0),"")</f>
        <v>Sekundární odborné vzdělávání</v>
      </c>
      <c r="R800">
        <f>IF(ISNUMBER(SEARCH('1Př1'!$A$33,N800)),MAX($M$2:M799)+1,0)</f>
        <v>798</v>
      </c>
      <c r="S800" s="336" t="s">
        <v>3011</v>
      </c>
      <c r="T800" t="str">
        <f>IFERROR(VLOOKUP(ROWS($T$3:T800),$R$3:$S$992,2,0),"")</f>
        <v>Sekundární odborné vzdělávání</v>
      </c>
      <c r="U800">
        <f>IF(ISNUMBER(SEARCH('1Př1'!$A$34,N800)),MAX($M$2:M799)+1,0)</f>
        <v>798</v>
      </c>
      <c r="V800" s="336" t="s">
        <v>3011</v>
      </c>
      <c r="W800" t="str">
        <f>IFERROR(VLOOKUP(ROWS($W$3:W800),$U$3:$V$992,2,0),"")</f>
        <v>Sekundární odborné vzdělávání</v>
      </c>
      <c r="X800">
        <f>IF(ISNUMBER(SEARCH('1Př1'!$A$35,N800)),MAX($M$2:M799)+1,0)</f>
        <v>798</v>
      </c>
      <c r="Y800" s="336" t="s">
        <v>3011</v>
      </c>
      <c r="Z800" t="str">
        <f>IFERROR(VLOOKUP(ROWS($Z$3:Z800),$X$3:$Y$992,2,0),"")</f>
        <v>Sekundární odborné vzdělávání</v>
      </c>
    </row>
    <row r="801" spans="13:26" ht="12.75">
      <c r="M801" s="335">
        <f>IF(ISNUMBER(SEARCH(ZAKL_DATA!$B$29,N801)),MAX($M$2:M800)+1,0)</f>
        <v>799</v>
      </c>
      <c r="N801" s="336" t="s">
        <v>3013</v>
      </c>
      <c r="O801" s="353" t="s">
        <v>3014</v>
      </c>
      <c r="P801" s="338"/>
      <c r="Q801" s="339" t="str">
        <f>IFERROR(VLOOKUP(ROWS($Q$3:Q801),$M$3:$N$992,2,0),"")</f>
        <v>Postsekundární nikoli terciární vzdělávání</v>
      </c>
      <c r="R801">
        <f>IF(ISNUMBER(SEARCH('1Př1'!$A$33,N801)),MAX($M$2:M800)+1,0)</f>
        <v>799</v>
      </c>
      <c r="S801" s="336" t="s">
        <v>3013</v>
      </c>
      <c r="T801" t="str">
        <f>IFERROR(VLOOKUP(ROWS($T$3:T801),$R$3:$S$992,2,0),"")</f>
        <v>Postsekundární nikoli terciární vzdělávání</v>
      </c>
      <c r="U801">
        <f>IF(ISNUMBER(SEARCH('1Př1'!$A$34,N801)),MAX($M$2:M800)+1,0)</f>
        <v>799</v>
      </c>
      <c r="V801" s="336" t="s">
        <v>3013</v>
      </c>
      <c r="W801" t="str">
        <f>IFERROR(VLOOKUP(ROWS($W$3:W801),$U$3:$V$992,2,0),"")</f>
        <v>Postsekundární nikoli terciární vzdělávání</v>
      </c>
      <c r="X801">
        <f>IF(ISNUMBER(SEARCH('1Př1'!$A$35,N801)),MAX($M$2:M800)+1,0)</f>
        <v>799</v>
      </c>
      <c r="Y801" s="336" t="s">
        <v>3013</v>
      </c>
      <c r="Z801" t="str">
        <f>IFERROR(VLOOKUP(ROWS($Z$3:Z801),$X$3:$Y$992,2,0),"")</f>
        <v>Postsekundární nikoli terciární vzdělávání</v>
      </c>
    </row>
    <row r="802" spans="13:26" ht="12.75">
      <c r="M802" s="335">
        <f>IF(ISNUMBER(SEARCH(ZAKL_DATA!$B$29,N802)),MAX($M$2:M801)+1,0)</f>
        <v>800</v>
      </c>
      <c r="N802" s="336" t="s">
        <v>3015</v>
      </c>
      <c r="O802" s="353" t="s">
        <v>3016</v>
      </c>
      <c r="P802" s="338"/>
      <c r="Q802" s="339" t="str">
        <f>IFERROR(VLOOKUP(ROWS($Q$3:Q802),$M$3:$N$992,2,0),"")</f>
        <v>Terciární vzdělávání</v>
      </c>
      <c r="R802">
        <f>IF(ISNUMBER(SEARCH('1Př1'!$A$33,N802)),MAX($M$2:M801)+1,0)</f>
        <v>800</v>
      </c>
      <c r="S802" s="336" t="s">
        <v>3015</v>
      </c>
      <c r="T802" t="str">
        <f>IFERROR(VLOOKUP(ROWS($T$3:T802),$R$3:$S$992,2,0),"")</f>
        <v>Terciární vzdělávání</v>
      </c>
      <c r="U802">
        <f>IF(ISNUMBER(SEARCH('1Př1'!$A$34,N802)),MAX($M$2:M801)+1,0)</f>
        <v>800</v>
      </c>
      <c r="V802" s="336" t="s">
        <v>3015</v>
      </c>
      <c r="W802" t="str">
        <f>IFERROR(VLOOKUP(ROWS($W$3:W802),$U$3:$V$992,2,0),"")</f>
        <v>Terciární vzdělávání</v>
      </c>
      <c r="X802">
        <f>IF(ISNUMBER(SEARCH('1Př1'!$A$35,N802)),MAX($M$2:M801)+1,0)</f>
        <v>800</v>
      </c>
      <c r="Y802" s="336" t="s">
        <v>3015</v>
      </c>
      <c r="Z802" t="str">
        <f>IFERROR(VLOOKUP(ROWS($Z$3:Z802),$X$3:$Y$992,2,0),"")</f>
        <v>Terciární vzdělávání</v>
      </c>
    </row>
    <row r="803" spans="13:26" ht="12.75">
      <c r="M803" s="335">
        <f>IF(ISNUMBER(SEARCH(ZAKL_DATA!$B$29,N803)),MAX($M$2:M802)+1,0)</f>
        <v>801</v>
      </c>
      <c r="N803" s="336" t="s">
        <v>3017</v>
      </c>
      <c r="O803" s="353" t="s">
        <v>3018</v>
      </c>
      <c r="P803" s="338"/>
      <c r="Q803" s="339" t="str">
        <f>IFERROR(VLOOKUP(ROWS($Q$3:Q803),$M$3:$N$992,2,0),"")</f>
        <v>Sportovní a rekreační vzdělávání</v>
      </c>
      <c r="R803">
        <f>IF(ISNUMBER(SEARCH('1Př1'!$A$33,N803)),MAX($M$2:M802)+1,0)</f>
        <v>801</v>
      </c>
      <c r="S803" s="336" t="s">
        <v>3017</v>
      </c>
      <c r="T803" t="str">
        <f>IFERROR(VLOOKUP(ROWS($T$3:T803),$R$3:$S$992,2,0),"")</f>
        <v>Sportovní a rekreační vzdělávání</v>
      </c>
      <c r="U803">
        <f>IF(ISNUMBER(SEARCH('1Př1'!$A$34,N803)),MAX($M$2:M802)+1,0)</f>
        <v>801</v>
      </c>
      <c r="V803" s="336" t="s">
        <v>3017</v>
      </c>
      <c r="W803" t="str">
        <f>IFERROR(VLOOKUP(ROWS($W$3:W803),$U$3:$V$992,2,0),"")</f>
        <v>Sportovní a rekreační vzdělávání</v>
      </c>
      <c r="X803">
        <f>IF(ISNUMBER(SEARCH('1Př1'!$A$35,N803)),MAX($M$2:M802)+1,0)</f>
        <v>801</v>
      </c>
      <c r="Y803" s="336" t="s">
        <v>3017</v>
      </c>
      <c r="Z803" t="str">
        <f>IFERROR(VLOOKUP(ROWS($Z$3:Z803),$X$3:$Y$992,2,0),"")</f>
        <v>Sportovní a rekreační vzdělávání</v>
      </c>
    </row>
    <row r="804" spans="13:26" ht="12.75">
      <c r="M804" s="335">
        <f>IF(ISNUMBER(SEARCH(ZAKL_DATA!$B$29,N804)),MAX($M$2:M803)+1,0)</f>
        <v>802</v>
      </c>
      <c r="N804" s="336" t="s">
        <v>3019</v>
      </c>
      <c r="O804" s="353" t="s">
        <v>3020</v>
      </c>
      <c r="P804" s="338"/>
      <c r="Q804" s="339" t="str">
        <f>IFERROR(VLOOKUP(ROWS($Q$3:Q804),$M$3:$N$992,2,0),"")</f>
        <v>Umělecké vzdělávání</v>
      </c>
      <c r="R804">
        <f>IF(ISNUMBER(SEARCH('1Př1'!$A$33,N804)),MAX($M$2:M803)+1,0)</f>
        <v>802</v>
      </c>
      <c r="S804" s="336" t="s">
        <v>3019</v>
      </c>
      <c r="T804" t="str">
        <f>IFERROR(VLOOKUP(ROWS($T$3:T804),$R$3:$S$992,2,0),"")</f>
        <v>Umělecké vzdělávání</v>
      </c>
      <c r="U804">
        <f>IF(ISNUMBER(SEARCH('1Př1'!$A$34,N804)),MAX($M$2:M803)+1,0)</f>
        <v>802</v>
      </c>
      <c r="V804" s="336" t="s">
        <v>3019</v>
      </c>
      <c r="W804" t="str">
        <f>IFERROR(VLOOKUP(ROWS($W$3:W804),$U$3:$V$992,2,0),"")</f>
        <v>Umělecké vzdělávání</v>
      </c>
      <c r="X804">
        <f>IF(ISNUMBER(SEARCH('1Př1'!$A$35,N804)),MAX($M$2:M803)+1,0)</f>
        <v>802</v>
      </c>
      <c r="Y804" s="336" t="s">
        <v>3019</v>
      </c>
      <c r="Z804" t="str">
        <f>IFERROR(VLOOKUP(ROWS($Z$3:Z804),$X$3:$Y$992,2,0),"")</f>
        <v>Umělecké vzdělávání</v>
      </c>
    </row>
    <row r="805" spans="13:26" ht="12.75">
      <c r="M805" s="335">
        <f>IF(ISNUMBER(SEARCH(ZAKL_DATA!$B$29,N805)),MAX($M$2:M804)+1,0)</f>
        <v>803</v>
      </c>
      <c r="N805" s="336" t="s">
        <v>3021</v>
      </c>
      <c r="O805" s="353" t="s">
        <v>3022</v>
      </c>
      <c r="P805" s="338"/>
      <c r="Q805" s="339" t="str">
        <f>IFERROR(VLOOKUP(ROWS($Q$3:Q805),$M$3:$N$992,2,0),"")</f>
        <v>Činnosti autoškol a jiných škol řízení</v>
      </c>
      <c r="R805">
        <f>IF(ISNUMBER(SEARCH('1Př1'!$A$33,N805)),MAX($M$2:M804)+1,0)</f>
        <v>803</v>
      </c>
      <c r="S805" s="336" t="s">
        <v>3021</v>
      </c>
      <c r="T805" t="str">
        <f>IFERROR(VLOOKUP(ROWS($T$3:T805),$R$3:$S$992,2,0),"")</f>
        <v>Činnosti autoškol a jiných škol řízení</v>
      </c>
      <c r="U805">
        <f>IF(ISNUMBER(SEARCH('1Př1'!$A$34,N805)),MAX($M$2:M804)+1,0)</f>
        <v>803</v>
      </c>
      <c r="V805" s="336" t="s">
        <v>3021</v>
      </c>
      <c r="W805" t="str">
        <f>IFERROR(VLOOKUP(ROWS($W$3:W805),$U$3:$V$992,2,0),"")</f>
        <v>Činnosti autoškol a jiných škol řízení</v>
      </c>
      <c r="X805">
        <f>IF(ISNUMBER(SEARCH('1Př1'!$A$35,N805)),MAX($M$2:M804)+1,0)</f>
        <v>803</v>
      </c>
      <c r="Y805" s="336" t="s">
        <v>3021</v>
      </c>
      <c r="Z805" t="str">
        <f>IFERROR(VLOOKUP(ROWS($Z$3:Z805),$X$3:$Y$992,2,0),"")</f>
        <v>Činnosti autoškol a jiných škol řízení</v>
      </c>
    </row>
    <row r="806" spans="13:26" ht="12.75">
      <c r="M806" s="335">
        <f>IF(ISNUMBER(SEARCH(ZAKL_DATA!$B$29,N806)),MAX($M$2:M805)+1,0)</f>
        <v>804</v>
      </c>
      <c r="N806" s="336" t="s">
        <v>3023</v>
      </c>
      <c r="O806" s="353" t="s">
        <v>3024</v>
      </c>
      <c r="P806" s="338"/>
      <c r="Q806" s="339" t="str">
        <f>IFERROR(VLOOKUP(ROWS($Q$3:Q806),$M$3:$N$992,2,0),"")</f>
        <v>Ostatní vzdělávání j. n.</v>
      </c>
      <c r="R806">
        <f>IF(ISNUMBER(SEARCH('1Př1'!$A$33,N806)),MAX($M$2:M805)+1,0)</f>
        <v>804</v>
      </c>
      <c r="S806" s="336" t="s">
        <v>3023</v>
      </c>
      <c r="T806" t="str">
        <f>IFERROR(VLOOKUP(ROWS($T$3:T806),$R$3:$S$992,2,0),"")</f>
        <v>Ostatní vzdělávání j. n.</v>
      </c>
      <c r="U806">
        <f>IF(ISNUMBER(SEARCH('1Př1'!$A$34,N806)),MAX($M$2:M805)+1,0)</f>
        <v>804</v>
      </c>
      <c r="V806" s="336" t="s">
        <v>3023</v>
      </c>
      <c r="W806" t="str">
        <f>IFERROR(VLOOKUP(ROWS($W$3:W806),$U$3:$V$992,2,0),"")</f>
        <v>Ostatní vzdělávání j. n.</v>
      </c>
      <c r="X806">
        <f>IF(ISNUMBER(SEARCH('1Př1'!$A$35,N806)),MAX($M$2:M805)+1,0)</f>
        <v>804</v>
      </c>
      <c r="Y806" s="336" t="s">
        <v>3023</v>
      </c>
      <c r="Z806" t="str">
        <f>IFERROR(VLOOKUP(ROWS($Z$3:Z806),$X$3:$Y$992,2,0),"")</f>
        <v>Ostatní vzdělávání j. n.</v>
      </c>
    </row>
    <row r="807" spans="13:26" ht="12.75">
      <c r="M807" s="335">
        <f>IF(ISNUMBER(SEARCH(ZAKL_DATA!$B$29,N807)),MAX($M$2:M806)+1,0)</f>
        <v>805</v>
      </c>
      <c r="N807" s="336" t="s">
        <v>3025</v>
      </c>
      <c r="O807" s="353" t="s">
        <v>3026</v>
      </c>
      <c r="P807" s="338"/>
      <c r="Q807" s="339" t="str">
        <f>IFERROR(VLOOKUP(ROWS($Q$3:Q807),$M$3:$N$992,2,0),"")</f>
        <v>Všeobecná ambulantní zdravotní péče</v>
      </c>
      <c r="R807">
        <f>IF(ISNUMBER(SEARCH('1Př1'!$A$33,N807)),MAX($M$2:M806)+1,0)</f>
        <v>805</v>
      </c>
      <c r="S807" s="336" t="s">
        <v>3025</v>
      </c>
      <c r="T807" t="str">
        <f>IFERROR(VLOOKUP(ROWS($T$3:T807),$R$3:$S$992,2,0),"")</f>
        <v>Všeobecná ambulantní zdravotní péče</v>
      </c>
      <c r="U807">
        <f>IF(ISNUMBER(SEARCH('1Př1'!$A$34,N807)),MAX($M$2:M806)+1,0)</f>
        <v>805</v>
      </c>
      <c r="V807" s="336" t="s">
        <v>3025</v>
      </c>
      <c r="W807" t="str">
        <f>IFERROR(VLOOKUP(ROWS($W$3:W807),$U$3:$V$992,2,0),"")</f>
        <v>Všeobecná ambulantní zdravotní péče</v>
      </c>
      <c r="X807">
        <f>IF(ISNUMBER(SEARCH('1Př1'!$A$35,N807)),MAX($M$2:M806)+1,0)</f>
        <v>805</v>
      </c>
      <c r="Y807" s="336" t="s">
        <v>3025</v>
      </c>
      <c r="Z807" t="str">
        <f>IFERROR(VLOOKUP(ROWS($Z$3:Z807),$X$3:$Y$992,2,0),"")</f>
        <v>Všeobecná ambulantní zdravotní péče</v>
      </c>
    </row>
    <row r="808" spans="13:26" ht="12.75">
      <c r="M808" s="335">
        <f>IF(ISNUMBER(SEARCH(ZAKL_DATA!$B$29,N808)),MAX($M$2:M807)+1,0)</f>
        <v>806</v>
      </c>
      <c r="N808" s="336" t="s">
        <v>3027</v>
      </c>
      <c r="O808" s="353" t="s">
        <v>3028</v>
      </c>
      <c r="P808" s="338"/>
      <c r="Q808" s="339" t="str">
        <f>IFERROR(VLOOKUP(ROWS($Q$3:Q808),$M$3:$N$992,2,0),"")</f>
        <v>Specializovaná ambulantní zdravotní péče</v>
      </c>
      <c r="R808">
        <f>IF(ISNUMBER(SEARCH('1Př1'!$A$33,N808)),MAX($M$2:M807)+1,0)</f>
        <v>806</v>
      </c>
      <c r="S808" s="336" t="s">
        <v>3027</v>
      </c>
      <c r="T808" t="str">
        <f>IFERROR(VLOOKUP(ROWS($T$3:T808),$R$3:$S$992,2,0),"")</f>
        <v>Specializovaná ambulantní zdravotní péče</v>
      </c>
      <c r="U808">
        <f>IF(ISNUMBER(SEARCH('1Př1'!$A$34,N808)),MAX($M$2:M807)+1,0)</f>
        <v>806</v>
      </c>
      <c r="V808" s="336" t="s">
        <v>3027</v>
      </c>
      <c r="W808" t="str">
        <f>IFERROR(VLOOKUP(ROWS($W$3:W808),$U$3:$V$992,2,0),"")</f>
        <v>Specializovaná ambulantní zdravotní péče</v>
      </c>
      <c r="X808">
        <f>IF(ISNUMBER(SEARCH('1Př1'!$A$35,N808)),MAX($M$2:M807)+1,0)</f>
        <v>806</v>
      </c>
      <c r="Y808" s="336" t="s">
        <v>3027</v>
      </c>
      <c r="Z808" t="str">
        <f>IFERROR(VLOOKUP(ROWS($Z$3:Z808),$X$3:$Y$992,2,0),"")</f>
        <v>Specializovaná ambulantní zdravotní péče</v>
      </c>
    </row>
    <row r="809" spans="13:26" ht="12.75">
      <c r="M809" s="335">
        <f>IF(ISNUMBER(SEARCH(ZAKL_DATA!$B$29,N809)),MAX($M$2:M808)+1,0)</f>
        <v>807</v>
      </c>
      <c r="N809" s="336" t="s">
        <v>3029</v>
      </c>
      <c r="O809" s="353" t="s">
        <v>3030</v>
      </c>
      <c r="P809" s="338"/>
      <c r="Q809" s="339" t="str">
        <f>IFERROR(VLOOKUP(ROWS($Q$3:Q809),$M$3:$N$992,2,0),"")</f>
        <v>Zubní péče</v>
      </c>
      <c r="R809">
        <f>IF(ISNUMBER(SEARCH('1Př1'!$A$33,N809)),MAX($M$2:M808)+1,0)</f>
        <v>807</v>
      </c>
      <c r="S809" s="336" t="s">
        <v>3029</v>
      </c>
      <c r="T809" t="str">
        <f>IFERROR(VLOOKUP(ROWS($T$3:T809),$R$3:$S$992,2,0),"")</f>
        <v>Zubní péče</v>
      </c>
      <c r="U809">
        <f>IF(ISNUMBER(SEARCH('1Př1'!$A$34,N809)),MAX($M$2:M808)+1,0)</f>
        <v>807</v>
      </c>
      <c r="V809" s="336" t="s">
        <v>3029</v>
      </c>
      <c r="W809" t="str">
        <f>IFERROR(VLOOKUP(ROWS($W$3:W809),$U$3:$V$992,2,0),"")</f>
        <v>Zubní péče</v>
      </c>
      <c r="X809">
        <f>IF(ISNUMBER(SEARCH('1Př1'!$A$35,N809)),MAX($M$2:M808)+1,0)</f>
        <v>807</v>
      </c>
      <c r="Y809" s="336" t="s">
        <v>3029</v>
      </c>
      <c r="Z809" t="str">
        <f>IFERROR(VLOOKUP(ROWS($Z$3:Z809),$X$3:$Y$992,2,0),"")</f>
        <v>Zubní péče</v>
      </c>
    </row>
    <row r="810" spans="13:26" ht="12.75">
      <c r="M810" s="335">
        <f>IF(ISNUMBER(SEARCH(ZAKL_DATA!$B$29,N810)),MAX($M$2:M809)+1,0)</f>
        <v>808</v>
      </c>
      <c r="N810" s="336" t="s">
        <v>3031</v>
      </c>
      <c r="O810" s="353" t="s">
        <v>3032</v>
      </c>
      <c r="P810" s="338"/>
      <c r="Q810" s="339" t="str">
        <f>IFERROR(VLOOKUP(ROWS($Q$3:Q810),$M$3:$N$992,2,0),"")</f>
        <v>Sociální služby poskytované dětem</v>
      </c>
      <c r="R810">
        <f>IF(ISNUMBER(SEARCH('1Př1'!$A$33,N810)),MAX($M$2:M809)+1,0)</f>
        <v>808</v>
      </c>
      <c r="S810" s="336" t="s">
        <v>3031</v>
      </c>
      <c r="T810" t="str">
        <f>IFERROR(VLOOKUP(ROWS($T$3:T810),$R$3:$S$992,2,0),"")</f>
        <v>Sociální služby poskytované dětem</v>
      </c>
      <c r="U810">
        <f>IF(ISNUMBER(SEARCH('1Př1'!$A$34,N810)),MAX($M$2:M809)+1,0)</f>
        <v>808</v>
      </c>
      <c r="V810" s="336" t="s">
        <v>3031</v>
      </c>
      <c r="W810" t="str">
        <f>IFERROR(VLOOKUP(ROWS($W$3:W810),$U$3:$V$992,2,0),"")</f>
        <v>Sociální služby poskytované dětem</v>
      </c>
      <c r="X810">
        <f>IF(ISNUMBER(SEARCH('1Př1'!$A$35,N810)),MAX($M$2:M809)+1,0)</f>
        <v>808</v>
      </c>
      <c r="Y810" s="336" t="s">
        <v>3031</v>
      </c>
      <c r="Z810" t="str">
        <f>IFERROR(VLOOKUP(ROWS($Z$3:Z810),$X$3:$Y$992,2,0),"")</f>
        <v>Sociální služby poskytované dětem</v>
      </c>
    </row>
    <row r="811" spans="13:26" ht="12.75">
      <c r="M811" s="335">
        <f>IF(ISNUMBER(SEARCH(ZAKL_DATA!$B$29,N811)),MAX($M$2:M810)+1,0)</f>
        <v>809</v>
      </c>
      <c r="N811" s="336" t="s">
        <v>3033</v>
      </c>
      <c r="O811" s="353" t="s">
        <v>3034</v>
      </c>
      <c r="P811" s="338"/>
      <c r="Q811" s="339" t="str">
        <f>IFERROR(VLOOKUP(ROWS($Q$3:Q811),$M$3:$N$992,2,0),"")</f>
        <v>Ostatní ambulantní nebo terénní sociální služby j. n.</v>
      </c>
      <c r="R811">
        <f>IF(ISNUMBER(SEARCH('1Př1'!$A$33,N811)),MAX($M$2:M810)+1,0)</f>
        <v>809</v>
      </c>
      <c r="S811" s="336" t="s">
        <v>3033</v>
      </c>
      <c r="T811" t="str">
        <f>IFERROR(VLOOKUP(ROWS($T$3:T811),$R$3:$S$992,2,0),"")</f>
        <v>Ostatní ambulantní nebo terénní sociální služby j. n.</v>
      </c>
      <c r="U811">
        <f>IF(ISNUMBER(SEARCH('1Př1'!$A$34,N811)),MAX($M$2:M810)+1,0)</f>
        <v>809</v>
      </c>
      <c r="V811" s="336" t="s">
        <v>3033</v>
      </c>
      <c r="W811" t="str">
        <f>IFERROR(VLOOKUP(ROWS($W$3:W811),$U$3:$V$992,2,0),"")</f>
        <v>Ostatní ambulantní nebo terénní sociální služby j. n.</v>
      </c>
      <c r="X811">
        <f>IF(ISNUMBER(SEARCH('1Př1'!$A$35,N811)),MAX($M$2:M810)+1,0)</f>
        <v>809</v>
      </c>
      <c r="Y811" s="336" t="s">
        <v>3033</v>
      </c>
      <c r="Z811" t="str">
        <f>IFERROR(VLOOKUP(ROWS($Z$3:Z811),$X$3:$Y$992,2,0),"")</f>
        <v>Ostatní ambulantní nebo terénní sociální služby j. n.</v>
      </c>
    </row>
    <row r="812" spans="13:26" ht="12.75">
      <c r="M812" s="335">
        <f>IF(ISNUMBER(SEARCH(ZAKL_DATA!$B$29,N812)),MAX($M$2:M811)+1,0)</f>
        <v>810</v>
      </c>
      <c r="N812" s="336" t="s">
        <v>3035</v>
      </c>
      <c r="O812" s="353" t="s">
        <v>3036</v>
      </c>
      <c r="P812" s="338"/>
      <c r="Q812" s="339" t="str">
        <f>IFERROR(VLOOKUP(ROWS($Q$3:Q812),$M$3:$N$992,2,0),"")</f>
        <v>Scénická umění</v>
      </c>
      <c r="R812">
        <f>IF(ISNUMBER(SEARCH('1Př1'!$A$33,N812)),MAX($M$2:M811)+1,0)</f>
        <v>810</v>
      </c>
      <c r="S812" s="336" t="s">
        <v>3035</v>
      </c>
      <c r="T812" t="str">
        <f>IFERROR(VLOOKUP(ROWS($T$3:T812),$R$3:$S$992,2,0),"")</f>
        <v>Scénická umění</v>
      </c>
      <c r="U812">
        <f>IF(ISNUMBER(SEARCH('1Př1'!$A$34,N812)),MAX($M$2:M811)+1,0)</f>
        <v>810</v>
      </c>
      <c r="V812" s="336" t="s">
        <v>3035</v>
      </c>
      <c r="W812" t="str">
        <f>IFERROR(VLOOKUP(ROWS($W$3:W812),$U$3:$V$992,2,0),"")</f>
        <v>Scénická umění</v>
      </c>
      <c r="X812">
        <f>IF(ISNUMBER(SEARCH('1Př1'!$A$35,N812)),MAX($M$2:M811)+1,0)</f>
        <v>810</v>
      </c>
      <c r="Y812" s="336" t="s">
        <v>3035</v>
      </c>
      <c r="Z812" t="str">
        <f>IFERROR(VLOOKUP(ROWS($Z$3:Z812),$X$3:$Y$992,2,0),"")</f>
        <v>Scénická umění</v>
      </c>
    </row>
    <row r="813" spans="13:26" ht="12.75">
      <c r="M813" s="335">
        <f>IF(ISNUMBER(SEARCH(ZAKL_DATA!$B$29,N813)),MAX($M$2:M812)+1,0)</f>
        <v>811</v>
      </c>
      <c r="N813" s="336" t="s">
        <v>3037</v>
      </c>
      <c r="O813" s="353" t="s">
        <v>3038</v>
      </c>
      <c r="P813" s="338"/>
      <c r="Q813" s="339" t="str">
        <f>IFERROR(VLOOKUP(ROWS($Q$3:Q813),$M$3:$N$992,2,0),"")</f>
        <v>Podpůrné činnosti pro scénická umění</v>
      </c>
      <c r="R813">
        <f>IF(ISNUMBER(SEARCH('1Př1'!$A$33,N813)),MAX($M$2:M812)+1,0)</f>
        <v>811</v>
      </c>
      <c r="S813" s="336" t="s">
        <v>3037</v>
      </c>
      <c r="T813" t="str">
        <f>IFERROR(VLOOKUP(ROWS($T$3:T813),$R$3:$S$992,2,0),"")</f>
        <v>Podpůrné činnosti pro scénická umění</v>
      </c>
      <c r="U813">
        <f>IF(ISNUMBER(SEARCH('1Př1'!$A$34,N813)),MAX($M$2:M812)+1,0)</f>
        <v>811</v>
      </c>
      <c r="V813" s="336" t="s">
        <v>3037</v>
      </c>
      <c r="W813" t="str">
        <f>IFERROR(VLOOKUP(ROWS($W$3:W813),$U$3:$V$992,2,0),"")</f>
        <v>Podpůrné činnosti pro scénická umění</v>
      </c>
      <c r="X813">
        <f>IF(ISNUMBER(SEARCH('1Př1'!$A$35,N813)),MAX($M$2:M812)+1,0)</f>
        <v>811</v>
      </c>
      <c r="Y813" s="336" t="s">
        <v>3037</v>
      </c>
      <c r="Z813" t="str">
        <f>IFERROR(VLOOKUP(ROWS($Z$3:Z813),$X$3:$Y$992,2,0),"")</f>
        <v>Podpůrné činnosti pro scénická umění</v>
      </c>
    </row>
    <row r="814" spans="13:26" ht="12.75">
      <c r="M814" s="335">
        <f>IF(ISNUMBER(SEARCH(ZAKL_DATA!$B$29,N814)),MAX($M$2:M813)+1,0)</f>
        <v>812</v>
      </c>
      <c r="N814" s="336" t="s">
        <v>3039</v>
      </c>
      <c r="O814" s="353" t="s">
        <v>3040</v>
      </c>
      <c r="P814" s="338"/>
      <c r="Q814" s="339" t="str">
        <f>IFERROR(VLOOKUP(ROWS($Q$3:Q814),$M$3:$N$992,2,0),"")</f>
        <v>Umělecká tvorba</v>
      </c>
      <c r="R814">
        <f>IF(ISNUMBER(SEARCH('1Př1'!$A$33,N814)),MAX($M$2:M813)+1,0)</f>
        <v>812</v>
      </c>
      <c r="S814" s="336" t="s">
        <v>3039</v>
      </c>
      <c r="T814" t="str">
        <f>IFERROR(VLOOKUP(ROWS($T$3:T814),$R$3:$S$992,2,0),"")</f>
        <v>Umělecká tvorba</v>
      </c>
      <c r="U814">
        <f>IF(ISNUMBER(SEARCH('1Př1'!$A$34,N814)),MAX($M$2:M813)+1,0)</f>
        <v>812</v>
      </c>
      <c r="V814" s="336" t="s">
        <v>3039</v>
      </c>
      <c r="W814" t="str">
        <f>IFERROR(VLOOKUP(ROWS($W$3:W814),$U$3:$V$992,2,0),"")</f>
        <v>Umělecká tvorba</v>
      </c>
      <c r="X814">
        <f>IF(ISNUMBER(SEARCH('1Př1'!$A$35,N814)),MAX($M$2:M813)+1,0)</f>
        <v>812</v>
      </c>
      <c r="Y814" s="336" t="s">
        <v>3039</v>
      </c>
      <c r="Z814" t="str">
        <f>IFERROR(VLOOKUP(ROWS($Z$3:Z814),$X$3:$Y$992,2,0),"")</f>
        <v>Umělecká tvorba</v>
      </c>
    </row>
    <row r="815" spans="13:26" ht="12.75">
      <c r="M815" s="335">
        <f>IF(ISNUMBER(SEARCH(ZAKL_DATA!$B$29,N815)),MAX($M$2:M814)+1,0)</f>
        <v>813</v>
      </c>
      <c r="N815" s="336" t="s">
        <v>3041</v>
      </c>
      <c r="O815" s="353" t="s">
        <v>3042</v>
      </c>
      <c r="P815" s="338"/>
      <c r="Q815" s="339" t="str">
        <f>IFERROR(VLOOKUP(ROWS($Q$3:Q815),$M$3:$N$992,2,0),"")</f>
        <v>Provozování kulturních zařízení</v>
      </c>
      <c r="R815">
        <f>IF(ISNUMBER(SEARCH('1Př1'!$A$33,N815)),MAX($M$2:M814)+1,0)</f>
        <v>813</v>
      </c>
      <c r="S815" s="336" t="s">
        <v>3041</v>
      </c>
      <c r="T815" t="str">
        <f>IFERROR(VLOOKUP(ROWS($T$3:T815),$R$3:$S$992,2,0),"")</f>
        <v>Provozování kulturních zařízení</v>
      </c>
      <c r="U815">
        <f>IF(ISNUMBER(SEARCH('1Př1'!$A$34,N815)),MAX($M$2:M814)+1,0)</f>
        <v>813</v>
      </c>
      <c r="V815" s="336" t="s">
        <v>3041</v>
      </c>
      <c r="W815" t="str">
        <f>IFERROR(VLOOKUP(ROWS($W$3:W815),$U$3:$V$992,2,0),"")</f>
        <v>Provozování kulturních zařízení</v>
      </c>
      <c r="X815">
        <f>IF(ISNUMBER(SEARCH('1Př1'!$A$35,N815)),MAX($M$2:M814)+1,0)</f>
        <v>813</v>
      </c>
      <c r="Y815" s="336" t="s">
        <v>3041</v>
      </c>
      <c r="Z815" t="str">
        <f>IFERROR(VLOOKUP(ROWS($Z$3:Z815),$X$3:$Y$992,2,0),"")</f>
        <v>Provozování kulturních zařízení</v>
      </c>
    </row>
    <row r="816" spans="13:26" ht="12.75">
      <c r="M816" s="335">
        <f>IF(ISNUMBER(SEARCH(ZAKL_DATA!$B$29,N816)),MAX($M$2:M815)+1,0)</f>
        <v>814</v>
      </c>
      <c r="N816" s="336" t="s">
        <v>3043</v>
      </c>
      <c r="O816" s="353" t="s">
        <v>3044</v>
      </c>
      <c r="P816" s="338"/>
      <c r="Q816" s="339" t="str">
        <f>IFERROR(VLOOKUP(ROWS($Q$3:Q816),$M$3:$N$992,2,0),"")</f>
        <v>Činnosti knihoven a archivů</v>
      </c>
      <c r="R816">
        <f>IF(ISNUMBER(SEARCH('1Př1'!$A$33,N816)),MAX($M$2:M815)+1,0)</f>
        <v>814</v>
      </c>
      <c r="S816" s="336" t="s">
        <v>3043</v>
      </c>
      <c r="T816" t="str">
        <f>IFERROR(VLOOKUP(ROWS($T$3:T816),$R$3:$S$992,2,0),"")</f>
        <v>Činnosti knihoven a archivů</v>
      </c>
      <c r="U816">
        <f>IF(ISNUMBER(SEARCH('1Př1'!$A$34,N816)),MAX($M$2:M815)+1,0)</f>
        <v>814</v>
      </c>
      <c r="V816" s="336" t="s">
        <v>3043</v>
      </c>
      <c r="W816" t="str">
        <f>IFERROR(VLOOKUP(ROWS($W$3:W816),$U$3:$V$992,2,0),"")</f>
        <v>Činnosti knihoven a archivů</v>
      </c>
      <c r="X816">
        <f>IF(ISNUMBER(SEARCH('1Př1'!$A$35,N816)),MAX($M$2:M815)+1,0)</f>
        <v>814</v>
      </c>
      <c r="Y816" s="336" t="s">
        <v>3043</v>
      </c>
      <c r="Z816" t="str">
        <f>IFERROR(VLOOKUP(ROWS($Z$3:Z816),$X$3:$Y$992,2,0),"")</f>
        <v>Činnosti knihoven a archivů</v>
      </c>
    </row>
    <row r="817" spans="13:26" ht="12.75">
      <c r="M817" s="335">
        <f>IF(ISNUMBER(SEARCH(ZAKL_DATA!$B$29,N817)),MAX($M$2:M816)+1,0)</f>
        <v>815</v>
      </c>
      <c r="N817" s="336" t="s">
        <v>3045</v>
      </c>
      <c r="O817" s="353" t="s">
        <v>3046</v>
      </c>
      <c r="P817" s="338"/>
      <c r="Q817" s="339" t="str">
        <f>IFERROR(VLOOKUP(ROWS($Q$3:Q817),$M$3:$N$992,2,0),"")</f>
        <v>Činnosti muzeí</v>
      </c>
      <c r="R817">
        <f>IF(ISNUMBER(SEARCH('1Př1'!$A$33,N817)),MAX($M$2:M816)+1,0)</f>
        <v>815</v>
      </c>
      <c r="S817" s="336" t="s">
        <v>3045</v>
      </c>
      <c r="T817" t="str">
        <f>IFERROR(VLOOKUP(ROWS($T$3:T817),$R$3:$S$992,2,0),"")</f>
        <v>Činnosti muzeí</v>
      </c>
      <c r="U817">
        <f>IF(ISNUMBER(SEARCH('1Př1'!$A$34,N817)),MAX($M$2:M816)+1,0)</f>
        <v>815</v>
      </c>
      <c r="V817" s="336" t="s">
        <v>3045</v>
      </c>
      <c r="W817" t="str">
        <f>IFERROR(VLOOKUP(ROWS($W$3:W817),$U$3:$V$992,2,0),"")</f>
        <v>Činnosti muzeí</v>
      </c>
      <c r="X817">
        <f>IF(ISNUMBER(SEARCH('1Př1'!$A$35,N817)),MAX($M$2:M816)+1,0)</f>
        <v>815</v>
      </c>
      <c r="Y817" s="336" t="s">
        <v>3045</v>
      </c>
      <c r="Z817" t="str">
        <f>IFERROR(VLOOKUP(ROWS($Z$3:Z817),$X$3:$Y$992,2,0),"")</f>
        <v>Činnosti muzeí</v>
      </c>
    </row>
    <row r="818" spans="13:26" ht="12.75">
      <c r="M818" s="335">
        <f>IF(ISNUMBER(SEARCH(ZAKL_DATA!$B$29,N818)),MAX($M$2:M817)+1,0)</f>
        <v>816</v>
      </c>
      <c r="N818" s="336" t="s">
        <v>3047</v>
      </c>
      <c r="O818" s="353" t="s">
        <v>3048</v>
      </c>
      <c r="P818" s="338"/>
      <c r="Q818" s="339" t="str">
        <f>IFERROR(VLOOKUP(ROWS($Q$3:Q818),$M$3:$N$992,2,0),"")</f>
        <v>Provozování kultur.památek,histor.staveb a obdobných turist.zajímavostí</v>
      </c>
      <c r="R818">
        <f>IF(ISNUMBER(SEARCH('1Př1'!$A$33,N818)),MAX($M$2:M817)+1,0)</f>
        <v>816</v>
      </c>
      <c r="S818" s="336" t="s">
        <v>3047</v>
      </c>
      <c r="T818" t="str">
        <f>IFERROR(VLOOKUP(ROWS($T$3:T818),$R$3:$S$992,2,0),"")</f>
        <v>Provozování kultur.památek,histor.staveb a obdobných turist.zajímavostí</v>
      </c>
      <c r="U818">
        <f>IF(ISNUMBER(SEARCH('1Př1'!$A$34,N818)),MAX($M$2:M817)+1,0)</f>
        <v>816</v>
      </c>
      <c r="V818" s="336" t="s">
        <v>3047</v>
      </c>
      <c r="W818" t="str">
        <f>IFERROR(VLOOKUP(ROWS($W$3:W818),$U$3:$V$992,2,0),"")</f>
        <v>Provozování kultur.památek,histor.staveb a obdobných turist.zajímavostí</v>
      </c>
      <c r="X818">
        <f>IF(ISNUMBER(SEARCH('1Př1'!$A$35,N818)),MAX($M$2:M817)+1,0)</f>
        <v>816</v>
      </c>
      <c r="Y818" s="336" t="s">
        <v>3047</v>
      </c>
      <c r="Z818" t="str">
        <f>IFERROR(VLOOKUP(ROWS($Z$3:Z818),$X$3:$Y$992,2,0),"")</f>
        <v>Provozování kultur.památek,histor.staveb a obdobných turist.zajímavostí</v>
      </c>
    </row>
    <row r="819" spans="13:26" ht="12.75">
      <c r="M819" s="335">
        <f>IF(ISNUMBER(SEARCH(ZAKL_DATA!$B$29,N819)),MAX($M$2:M818)+1,0)</f>
        <v>817</v>
      </c>
      <c r="N819" s="336" t="s">
        <v>3049</v>
      </c>
      <c r="O819" s="353" t="s">
        <v>3050</v>
      </c>
      <c r="P819" s="338"/>
      <c r="Q819" s="339" t="str">
        <f>IFERROR(VLOOKUP(ROWS($Q$3:Q819),$M$3:$N$992,2,0),"")</f>
        <v>Činnosti botanických a zoologických zahrad,přír.rezervací a národ.parků</v>
      </c>
      <c r="R819">
        <f>IF(ISNUMBER(SEARCH('1Př1'!$A$33,N819)),MAX($M$2:M818)+1,0)</f>
        <v>817</v>
      </c>
      <c r="S819" s="336" t="s">
        <v>3049</v>
      </c>
      <c r="T819" t="str">
        <f>IFERROR(VLOOKUP(ROWS($T$3:T819),$R$3:$S$992,2,0),"")</f>
        <v>Činnosti botanických a zoologických zahrad,přír.rezervací a národ.parků</v>
      </c>
      <c r="U819">
        <f>IF(ISNUMBER(SEARCH('1Př1'!$A$34,N819)),MAX($M$2:M818)+1,0)</f>
        <v>817</v>
      </c>
      <c r="V819" s="336" t="s">
        <v>3049</v>
      </c>
      <c r="W819" t="str">
        <f>IFERROR(VLOOKUP(ROWS($W$3:W819),$U$3:$V$992,2,0),"")</f>
        <v>Činnosti botanických a zoologických zahrad,přír.rezervací a národ.parků</v>
      </c>
      <c r="X819">
        <f>IF(ISNUMBER(SEARCH('1Př1'!$A$35,N819)),MAX($M$2:M818)+1,0)</f>
        <v>817</v>
      </c>
      <c r="Y819" s="336" t="s">
        <v>3049</v>
      </c>
      <c r="Z819" t="str">
        <f>IFERROR(VLOOKUP(ROWS($Z$3:Z819),$X$3:$Y$992,2,0),"")</f>
        <v>Činnosti botanických a zoologických zahrad,přír.rezervací a národ.parků</v>
      </c>
    </row>
    <row r="820" spans="13:26" ht="12.75">
      <c r="M820" s="335">
        <f>IF(ISNUMBER(SEARCH(ZAKL_DATA!$B$29,N820)),MAX($M$2:M819)+1,0)</f>
        <v>818</v>
      </c>
      <c r="N820" s="336" t="s">
        <v>3051</v>
      </c>
      <c r="O820" s="353" t="s">
        <v>3052</v>
      </c>
      <c r="P820" s="338"/>
      <c r="Q820" s="339" t="str">
        <f>IFERROR(VLOOKUP(ROWS($Q$3:Q820),$M$3:$N$992,2,0),"")</f>
        <v>Provozování sportovních zařízení</v>
      </c>
      <c r="R820">
        <f>IF(ISNUMBER(SEARCH('1Př1'!$A$33,N820)),MAX($M$2:M819)+1,0)</f>
        <v>818</v>
      </c>
      <c r="S820" s="336" t="s">
        <v>3051</v>
      </c>
      <c r="T820" t="str">
        <f>IFERROR(VLOOKUP(ROWS($T$3:T820),$R$3:$S$992,2,0),"")</f>
        <v>Provozování sportovních zařízení</v>
      </c>
      <c r="U820">
        <f>IF(ISNUMBER(SEARCH('1Př1'!$A$34,N820)),MAX($M$2:M819)+1,0)</f>
        <v>818</v>
      </c>
      <c r="V820" s="336" t="s">
        <v>3051</v>
      </c>
      <c r="W820" t="str">
        <f>IFERROR(VLOOKUP(ROWS($W$3:W820),$U$3:$V$992,2,0),"")</f>
        <v>Provozování sportovních zařízení</v>
      </c>
      <c r="X820">
        <f>IF(ISNUMBER(SEARCH('1Př1'!$A$35,N820)),MAX($M$2:M819)+1,0)</f>
        <v>818</v>
      </c>
      <c r="Y820" s="336" t="s">
        <v>3051</v>
      </c>
      <c r="Z820" t="str">
        <f>IFERROR(VLOOKUP(ROWS($Z$3:Z820),$X$3:$Y$992,2,0),"")</f>
        <v>Provozování sportovních zařízení</v>
      </c>
    </row>
    <row r="821" spans="13:26" ht="12.75">
      <c r="M821" s="335">
        <f>IF(ISNUMBER(SEARCH(ZAKL_DATA!$B$29,N821)),MAX($M$2:M820)+1,0)</f>
        <v>819</v>
      </c>
      <c r="N821" s="336" t="s">
        <v>3053</v>
      </c>
      <c r="O821" s="353" t="s">
        <v>3054</v>
      </c>
      <c r="P821" s="338"/>
      <c r="Q821" s="339" t="str">
        <f>IFERROR(VLOOKUP(ROWS($Q$3:Q821),$M$3:$N$992,2,0),"")</f>
        <v>Činnosti sportovních klubů</v>
      </c>
      <c r="R821">
        <f>IF(ISNUMBER(SEARCH('1Př1'!$A$33,N821)),MAX($M$2:M820)+1,0)</f>
        <v>819</v>
      </c>
      <c r="S821" s="336" t="s">
        <v>3053</v>
      </c>
      <c r="T821" t="str">
        <f>IFERROR(VLOOKUP(ROWS($T$3:T821),$R$3:$S$992,2,0),"")</f>
        <v>Činnosti sportovních klubů</v>
      </c>
      <c r="U821">
        <f>IF(ISNUMBER(SEARCH('1Př1'!$A$34,N821)),MAX($M$2:M820)+1,0)</f>
        <v>819</v>
      </c>
      <c r="V821" s="336" t="s">
        <v>3053</v>
      </c>
      <c r="W821" t="str">
        <f>IFERROR(VLOOKUP(ROWS($W$3:W821),$U$3:$V$992,2,0),"")</f>
        <v>Činnosti sportovních klubů</v>
      </c>
      <c r="X821">
        <f>IF(ISNUMBER(SEARCH('1Př1'!$A$35,N821)),MAX($M$2:M820)+1,0)</f>
        <v>819</v>
      </c>
      <c r="Y821" s="336" t="s">
        <v>3053</v>
      </c>
      <c r="Z821" t="str">
        <f>IFERROR(VLOOKUP(ROWS($Z$3:Z821),$X$3:$Y$992,2,0),"")</f>
        <v>Činnosti sportovních klubů</v>
      </c>
    </row>
    <row r="822" spans="13:26" ht="12.75">
      <c r="M822" s="335">
        <f>IF(ISNUMBER(SEARCH(ZAKL_DATA!$B$29,N822)),MAX($M$2:M821)+1,0)</f>
        <v>820</v>
      </c>
      <c r="N822" s="336" t="s">
        <v>3055</v>
      </c>
      <c r="O822" s="353" t="s">
        <v>3056</v>
      </c>
      <c r="P822" s="338"/>
      <c r="Q822" s="339" t="str">
        <f>IFERROR(VLOOKUP(ROWS($Q$3:Q822),$M$3:$N$992,2,0),"")</f>
        <v>Činnosti fitcenter</v>
      </c>
      <c r="R822">
        <f>IF(ISNUMBER(SEARCH('1Př1'!$A$33,N822)),MAX($M$2:M821)+1,0)</f>
        <v>820</v>
      </c>
      <c r="S822" s="336" t="s">
        <v>3055</v>
      </c>
      <c r="T822" t="str">
        <f>IFERROR(VLOOKUP(ROWS($T$3:T822),$R$3:$S$992,2,0),"")</f>
        <v>Činnosti fitcenter</v>
      </c>
      <c r="U822">
        <f>IF(ISNUMBER(SEARCH('1Př1'!$A$34,N822)),MAX($M$2:M821)+1,0)</f>
        <v>820</v>
      </c>
      <c r="V822" s="336" t="s">
        <v>3055</v>
      </c>
      <c r="W822" t="str">
        <f>IFERROR(VLOOKUP(ROWS($W$3:W822),$U$3:$V$992,2,0),"")</f>
        <v>Činnosti fitcenter</v>
      </c>
      <c r="X822">
        <f>IF(ISNUMBER(SEARCH('1Př1'!$A$35,N822)),MAX($M$2:M821)+1,0)</f>
        <v>820</v>
      </c>
      <c r="Y822" s="336" t="s">
        <v>3055</v>
      </c>
      <c r="Z822" t="str">
        <f>IFERROR(VLOOKUP(ROWS($Z$3:Z822),$X$3:$Y$992,2,0),"")</f>
        <v>Činnosti fitcenter</v>
      </c>
    </row>
    <row r="823" spans="13:26" ht="12.75">
      <c r="M823" s="335">
        <f>IF(ISNUMBER(SEARCH(ZAKL_DATA!$B$29,N823)),MAX($M$2:M822)+1,0)</f>
        <v>821</v>
      </c>
      <c r="N823" s="336" t="s">
        <v>3057</v>
      </c>
      <c r="O823" s="353" t="s">
        <v>3058</v>
      </c>
      <c r="P823" s="338"/>
      <c r="Q823" s="339" t="str">
        <f>IFERROR(VLOOKUP(ROWS($Q$3:Q823),$M$3:$N$992,2,0),"")</f>
        <v>Ostatní sportovní činnosti</v>
      </c>
      <c r="R823">
        <f>IF(ISNUMBER(SEARCH('1Př1'!$A$33,N823)),MAX($M$2:M822)+1,0)</f>
        <v>821</v>
      </c>
      <c r="S823" s="336" t="s">
        <v>3057</v>
      </c>
      <c r="T823" t="str">
        <f>IFERROR(VLOOKUP(ROWS($T$3:T823),$R$3:$S$992,2,0),"")</f>
        <v>Ostatní sportovní činnosti</v>
      </c>
      <c r="U823">
        <f>IF(ISNUMBER(SEARCH('1Př1'!$A$34,N823)),MAX($M$2:M822)+1,0)</f>
        <v>821</v>
      </c>
      <c r="V823" s="336" t="s">
        <v>3057</v>
      </c>
      <c r="W823" t="str">
        <f>IFERROR(VLOOKUP(ROWS($W$3:W823),$U$3:$V$992,2,0),"")</f>
        <v>Ostatní sportovní činnosti</v>
      </c>
      <c r="X823">
        <f>IF(ISNUMBER(SEARCH('1Př1'!$A$35,N823)),MAX($M$2:M822)+1,0)</f>
        <v>821</v>
      </c>
      <c r="Y823" s="336" t="s">
        <v>3057</v>
      </c>
      <c r="Z823" t="str">
        <f>IFERROR(VLOOKUP(ROWS($Z$3:Z823),$X$3:$Y$992,2,0),"")</f>
        <v>Ostatní sportovní činnosti</v>
      </c>
    </row>
    <row r="824" spans="13:26" ht="12.75">
      <c r="M824" s="335">
        <f>IF(ISNUMBER(SEARCH(ZAKL_DATA!$B$29,N824)),MAX($M$2:M823)+1,0)</f>
        <v>822</v>
      </c>
      <c r="N824" s="336" t="s">
        <v>3059</v>
      </c>
      <c r="O824" s="353" t="s">
        <v>3060</v>
      </c>
      <c r="P824" s="338"/>
      <c r="Q824" s="339" t="str">
        <f>IFERROR(VLOOKUP(ROWS($Q$3:Q824),$M$3:$N$992,2,0),"")</f>
        <v>Činnosti lunaparků a zábavních parků</v>
      </c>
      <c r="R824">
        <f>IF(ISNUMBER(SEARCH('1Př1'!$A$33,N824)),MAX($M$2:M823)+1,0)</f>
        <v>822</v>
      </c>
      <c r="S824" s="336" t="s">
        <v>3059</v>
      </c>
      <c r="T824" t="str">
        <f>IFERROR(VLOOKUP(ROWS($T$3:T824),$R$3:$S$992,2,0),"")</f>
        <v>Činnosti lunaparků a zábavních parků</v>
      </c>
      <c r="U824">
        <f>IF(ISNUMBER(SEARCH('1Př1'!$A$34,N824)),MAX($M$2:M823)+1,0)</f>
        <v>822</v>
      </c>
      <c r="V824" s="336" t="s">
        <v>3059</v>
      </c>
      <c r="W824" t="str">
        <f>IFERROR(VLOOKUP(ROWS($W$3:W824),$U$3:$V$992,2,0),"")</f>
        <v>Činnosti lunaparků a zábavních parků</v>
      </c>
      <c r="X824">
        <f>IF(ISNUMBER(SEARCH('1Př1'!$A$35,N824)),MAX($M$2:M823)+1,0)</f>
        <v>822</v>
      </c>
      <c r="Y824" s="336" t="s">
        <v>3059</v>
      </c>
      <c r="Z824" t="str">
        <f>IFERROR(VLOOKUP(ROWS($Z$3:Z824),$X$3:$Y$992,2,0),"")</f>
        <v>Činnosti lunaparků a zábavních parků</v>
      </c>
    </row>
    <row r="825" spans="13:26" ht="12.75">
      <c r="M825" s="335">
        <f>IF(ISNUMBER(SEARCH(ZAKL_DATA!$B$29,N825)),MAX($M$2:M824)+1,0)</f>
        <v>823</v>
      </c>
      <c r="N825" s="336" t="s">
        <v>3061</v>
      </c>
      <c r="O825" s="353" t="s">
        <v>3062</v>
      </c>
      <c r="P825" s="338"/>
      <c r="Q825" s="339" t="str">
        <f>IFERROR(VLOOKUP(ROWS($Q$3:Q825),$M$3:$N$992,2,0),"")</f>
        <v>Ostatní zábavní a rekreační činnosti j. n.</v>
      </c>
      <c r="R825">
        <f>IF(ISNUMBER(SEARCH('1Př1'!$A$33,N825)),MAX($M$2:M824)+1,0)</f>
        <v>823</v>
      </c>
      <c r="S825" s="336" t="s">
        <v>3061</v>
      </c>
      <c r="T825" t="str">
        <f>IFERROR(VLOOKUP(ROWS($T$3:T825),$R$3:$S$992,2,0),"")</f>
        <v>Ostatní zábavní a rekreační činnosti j. n.</v>
      </c>
      <c r="U825">
        <f>IF(ISNUMBER(SEARCH('1Př1'!$A$34,N825)),MAX($M$2:M824)+1,0)</f>
        <v>823</v>
      </c>
      <c r="V825" s="336" t="s">
        <v>3061</v>
      </c>
      <c r="W825" t="str">
        <f>IFERROR(VLOOKUP(ROWS($W$3:W825),$U$3:$V$992,2,0),"")</f>
        <v>Ostatní zábavní a rekreační činnosti j. n.</v>
      </c>
      <c r="X825">
        <f>IF(ISNUMBER(SEARCH('1Př1'!$A$35,N825)),MAX($M$2:M824)+1,0)</f>
        <v>823</v>
      </c>
      <c r="Y825" s="336" t="s">
        <v>3061</v>
      </c>
      <c r="Z825" t="str">
        <f>IFERROR(VLOOKUP(ROWS($Z$3:Z825),$X$3:$Y$992,2,0),"")</f>
        <v>Ostatní zábavní a rekreační činnosti j. n.</v>
      </c>
    </row>
    <row r="826" spans="13:26" ht="12.75">
      <c r="M826" s="335">
        <f>IF(ISNUMBER(SEARCH(ZAKL_DATA!$B$29,N826)),MAX($M$2:M825)+1,0)</f>
        <v>824</v>
      </c>
      <c r="N826" s="336" t="s">
        <v>3063</v>
      </c>
      <c r="O826" s="353" t="s">
        <v>3064</v>
      </c>
      <c r="P826" s="338"/>
      <c r="Q826" s="339" t="str">
        <f>IFERROR(VLOOKUP(ROWS($Q$3:Q826),$M$3:$N$992,2,0),"")</f>
        <v>Činnosti podnikatelských a zaměstnavatelských organizací</v>
      </c>
      <c r="R826">
        <f>IF(ISNUMBER(SEARCH('1Př1'!$A$33,N826)),MAX($M$2:M825)+1,0)</f>
        <v>824</v>
      </c>
      <c r="S826" s="336" t="s">
        <v>3063</v>
      </c>
      <c r="T826" t="str">
        <f>IFERROR(VLOOKUP(ROWS($T$3:T826),$R$3:$S$992,2,0),"")</f>
        <v>Činnosti podnikatelských a zaměstnavatelských organizací</v>
      </c>
      <c r="U826">
        <f>IF(ISNUMBER(SEARCH('1Př1'!$A$34,N826)),MAX($M$2:M825)+1,0)</f>
        <v>824</v>
      </c>
      <c r="V826" s="336" t="s">
        <v>3063</v>
      </c>
      <c r="W826" t="str">
        <f>IFERROR(VLOOKUP(ROWS($W$3:W826),$U$3:$V$992,2,0),"")</f>
        <v>Činnosti podnikatelských a zaměstnavatelských organizací</v>
      </c>
      <c r="X826">
        <f>IF(ISNUMBER(SEARCH('1Př1'!$A$35,N826)),MAX($M$2:M825)+1,0)</f>
        <v>824</v>
      </c>
      <c r="Y826" s="336" t="s">
        <v>3063</v>
      </c>
      <c r="Z826" t="str">
        <f>IFERROR(VLOOKUP(ROWS($Z$3:Z826),$X$3:$Y$992,2,0),"")</f>
        <v>Činnosti podnikatelských a zaměstnavatelských organizací</v>
      </c>
    </row>
    <row r="827" spans="13:26" ht="12.75">
      <c r="M827" s="335">
        <f>IF(ISNUMBER(SEARCH(ZAKL_DATA!$B$29,N827)),MAX($M$2:M826)+1,0)</f>
        <v>825</v>
      </c>
      <c r="N827" s="336" t="s">
        <v>3065</v>
      </c>
      <c r="O827" s="353" t="s">
        <v>3066</v>
      </c>
      <c r="P827" s="338"/>
      <c r="Q827" s="339" t="str">
        <f>IFERROR(VLOOKUP(ROWS($Q$3:Q827),$M$3:$N$992,2,0),"")</f>
        <v>Činnosti profesních organizací</v>
      </c>
      <c r="R827">
        <f>IF(ISNUMBER(SEARCH('1Př1'!$A$33,N827)),MAX($M$2:M826)+1,0)</f>
        <v>825</v>
      </c>
      <c r="S827" s="336" t="s">
        <v>3065</v>
      </c>
      <c r="T827" t="str">
        <f>IFERROR(VLOOKUP(ROWS($T$3:T827),$R$3:$S$992,2,0),"")</f>
        <v>Činnosti profesních organizací</v>
      </c>
      <c r="U827">
        <f>IF(ISNUMBER(SEARCH('1Př1'!$A$34,N827)),MAX($M$2:M826)+1,0)</f>
        <v>825</v>
      </c>
      <c r="V827" s="336" t="s">
        <v>3065</v>
      </c>
      <c r="W827" t="str">
        <f>IFERROR(VLOOKUP(ROWS($W$3:W827),$U$3:$V$992,2,0),"")</f>
        <v>Činnosti profesních organizací</v>
      </c>
      <c r="X827">
        <f>IF(ISNUMBER(SEARCH('1Př1'!$A$35,N827)),MAX($M$2:M826)+1,0)</f>
        <v>825</v>
      </c>
      <c r="Y827" s="336" t="s">
        <v>3065</v>
      </c>
      <c r="Z827" t="str">
        <f>IFERROR(VLOOKUP(ROWS($Z$3:Z827),$X$3:$Y$992,2,0),"")</f>
        <v>Činnosti profesních organizací</v>
      </c>
    </row>
    <row r="828" spans="13:26" ht="12.75">
      <c r="M828" s="335">
        <f>IF(ISNUMBER(SEARCH(ZAKL_DATA!$B$29,N828)),MAX($M$2:M827)+1,0)</f>
        <v>826</v>
      </c>
      <c r="N828" s="336" t="s">
        <v>3067</v>
      </c>
      <c r="O828" s="353" t="s">
        <v>3068</v>
      </c>
      <c r="P828" s="338"/>
      <c r="Q828" s="339" t="str">
        <f>IFERROR(VLOOKUP(ROWS($Q$3:Q828),$M$3:$N$992,2,0),"")</f>
        <v>Činnosti náboženských organizací</v>
      </c>
      <c r="R828">
        <f>IF(ISNUMBER(SEARCH('1Př1'!$A$33,N828)),MAX($M$2:M827)+1,0)</f>
        <v>826</v>
      </c>
      <c r="S828" s="336" t="s">
        <v>3067</v>
      </c>
      <c r="T828" t="str">
        <f>IFERROR(VLOOKUP(ROWS($T$3:T828),$R$3:$S$992,2,0),"")</f>
        <v>Činnosti náboženských organizací</v>
      </c>
      <c r="U828">
        <f>IF(ISNUMBER(SEARCH('1Př1'!$A$34,N828)),MAX($M$2:M827)+1,0)</f>
        <v>826</v>
      </c>
      <c r="V828" s="336" t="s">
        <v>3067</v>
      </c>
      <c r="W828" t="str">
        <f>IFERROR(VLOOKUP(ROWS($W$3:W828),$U$3:$V$992,2,0),"")</f>
        <v>Činnosti náboženských organizací</v>
      </c>
      <c r="X828">
        <f>IF(ISNUMBER(SEARCH('1Př1'!$A$35,N828)),MAX($M$2:M827)+1,0)</f>
        <v>826</v>
      </c>
      <c r="Y828" s="336" t="s">
        <v>3067</v>
      </c>
      <c r="Z828" t="str">
        <f>IFERROR(VLOOKUP(ROWS($Z$3:Z828),$X$3:$Y$992,2,0),"")</f>
        <v>Činnosti náboženských organizací</v>
      </c>
    </row>
    <row r="829" spans="13:26" ht="12.75">
      <c r="M829" s="335">
        <f>IF(ISNUMBER(SEARCH(ZAKL_DATA!$B$29,N829)),MAX($M$2:M828)+1,0)</f>
        <v>827</v>
      </c>
      <c r="N829" s="336" t="s">
        <v>3069</v>
      </c>
      <c r="O829" s="353" t="s">
        <v>3070</v>
      </c>
      <c r="P829" s="338"/>
      <c r="Q829" s="339" t="str">
        <f>IFERROR(VLOOKUP(ROWS($Q$3:Q829),$M$3:$N$992,2,0),"")</f>
        <v>Činnosti politických stran a organizací</v>
      </c>
      <c r="R829">
        <f>IF(ISNUMBER(SEARCH('1Př1'!$A$33,N829)),MAX($M$2:M828)+1,0)</f>
        <v>827</v>
      </c>
      <c r="S829" s="336" t="s">
        <v>3069</v>
      </c>
      <c r="T829" t="str">
        <f>IFERROR(VLOOKUP(ROWS($T$3:T829),$R$3:$S$992,2,0),"")</f>
        <v>Činnosti politických stran a organizací</v>
      </c>
      <c r="U829">
        <f>IF(ISNUMBER(SEARCH('1Př1'!$A$34,N829)),MAX($M$2:M828)+1,0)</f>
        <v>827</v>
      </c>
      <c r="V829" s="336" t="s">
        <v>3069</v>
      </c>
      <c r="W829" t="str">
        <f>IFERROR(VLOOKUP(ROWS($W$3:W829),$U$3:$V$992,2,0),"")</f>
        <v>Činnosti politických stran a organizací</v>
      </c>
      <c r="X829">
        <f>IF(ISNUMBER(SEARCH('1Př1'!$A$35,N829)),MAX($M$2:M828)+1,0)</f>
        <v>827</v>
      </c>
      <c r="Y829" s="336" t="s">
        <v>3069</v>
      </c>
      <c r="Z829" t="str">
        <f>IFERROR(VLOOKUP(ROWS($Z$3:Z829),$X$3:$Y$992,2,0),"")</f>
        <v>Činnosti politických stran a organizací</v>
      </c>
    </row>
    <row r="830" spans="13:26" ht="12.75">
      <c r="M830" s="335">
        <f>IF(ISNUMBER(SEARCH(ZAKL_DATA!$B$29,N830)),MAX($M$2:M829)+1,0)</f>
        <v>828</v>
      </c>
      <c r="N830" s="336" t="s">
        <v>3071</v>
      </c>
      <c r="O830" s="353" t="s">
        <v>3072</v>
      </c>
      <c r="P830" s="338"/>
      <c r="Q830" s="339" t="str">
        <f>IFERROR(VLOOKUP(ROWS($Q$3:Q830),$M$3:$N$992,2,0),"")</f>
        <v>Činnosti ost.org.sdružujících osoby za účelem prosazování spol.zájmů j.n.</v>
      </c>
      <c r="R830">
        <f>IF(ISNUMBER(SEARCH('1Př1'!$A$33,N830)),MAX($M$2:M829)+1,0)</f>
        <v>828</v>
      </c>
      <c r="S830" s="336" t="s">
        <v>3071</v>
      </c>
      <c r="T830" t="str">
        <f>IFERROR(VLOOKUP(ROWS($T$3:T830),$R$3:$S$992,2,0),"")</f>
        <v>Činnosti ost.org.sdružujících osoby za účelem prosazování spol.zájmů j.n.</v>
      </c>
      <c r="U830">
        <f>IF(ISNUMBER(SEARCH('1Př1'!$A$34,N830)),MAX($M$2:M829)+1,0)</f>
        <v>828</v>
      </c>
      <c r="V830" s="336" t="s">
        <v>3071</v>
      </c>
      <c r="W830" t="str">
        <f>IFERROR(VLOOKUP(ROWS($W$3:W830),$U$3:$V$992,2,0),"")</f>
        <v>Činnosti ost.org.sdružujících osoby za účelem prosazování spol.zájmů j.n.</v>
      </c>
      <c r="X830">
        <f>IF(ISNUMBER(SEARCH('1Př1'!$A$35,N830)),MAX($M$2:M829)+1,0)</f>
        <v>828</v>
      </c>
      <c r="Y830" s="336" t="s">
        <v>3071</v>
      </c>
      <c r="Z830" t="str">
        <f>IFERROR(VLOOKUP(ROWS($Z$3:Z830),$X$3:$Y$992,2,0),"")</f>
        <v>Činnosti ost.org.sdružujících osoby za účelem prosazování spol.zájmů j.n.</v>
      </c>
    </row>
    <row r="831" spans="13:26" ht="12.75">
      <c r="M831" s="335">
        <f>IF(ISNUMBER(SEARCH(ZAKL_DATA!$B$29,N831)),MAX($M$2:M830)+1,0)</f>
        <v>829</v>
      </c>
      <c r="N831" s="336" t="s">
        <v>3073</v>
      </c>
      <c r="O831" s="353" t="s">
        <v>3074</v>
      </c>
      <c r="P831" s="338"/>
      <c r="Q831" s="339" t="str">
        <f>IFERROR(VLOOKUP(ROWS($Q$3:Q831),$M$3:$N$992,2,0),"")</f>
        <v>Opravy počítačů a periferních zařízení</v>
      </c>
      <c r="R831">
        <f>IF(ISNUMBER(SEARCH('1Př1'!$A$33,N831)),MAX($M$2:M830)+1,0)</f>
        <v>829</v>
      </c>
      <c r="S831" s="336" t="s">
        <v>3073</v>
      </c>
      <c r="T831" t="str">
        <f>IFERROR(VLOOKUP(ROWS($T$3:T831),$R$3:$S$992,2,0),"")</f>
        <v>Opravy počítačů a periferních zařízení</v>
      </c>
      <c r="U831">
        <f>IF(ISNUMBER(SEARCH('1Př1'!$A$34,N831)),MAX($M$2:M830)+1,0)</f>
        <v>829</v>
      </c>
      <c r="V831" s="336" t="s">
        <v>3073</v>
      </c>
      <c r="W831" t="str">
        <f>IFERROR(VLOOKUP(ROWS($W$3:W831),$U$3:$V$992,2,0),"")</f>
        <v>Opravy počítačů a periferních zařízení</v>
      </c>
      <c r="X831">
        <f>IF(ISNUMBER(SEARCH('1Př1'!$A$35,N831)),MAX($M$2:M830)+1,0)</f>
        <v>829</v>
      </c>
      <c r="Y831" s="336" t="s">
        <v>3073</v>
      </c>
      <c r="Z831" t="str">
        <f>IFERROR(VLOOKUP(ROWS($Z$3:Z831),$X$3:$Y$992,2,0),"")</f>
        <v>Opravy počítačů a periferních zařízení</v>
      </c>
    </row>
    <row r="832" spans="13:26" ht="12.75">
      <c r="M832" s="335">
        <f>IF(ISNUMBER(SEARCH(ZAKL_DATA!$B$29,N832)),MAX($M$2:M831)+1,0)</f>
        <v>830</v>
      </c>
      <c r="N832" s="336" t="s">
        <v>3075</v>
      </c>
      <c r="O832" s="353" t="s">
        <v>3076</v>
      </c>
      <c r="P832" s="338"/>
      <c r="Q832" s="339" t="str">
        <f>IFERROR(VLOOKUP(ROWS($Q$3:Q832),$M$3:$N$992,2,0),"")</f>
        <v>Opravy komunikačních zařízení</v>
      </c>
      <c r="R832">
        <f>IF(ISNUMBER(SEARCH('1Př1'!$A$33,N832)),MAX($M$2:M831)+1,0)</f>
        <v>830</v>
      </c>
      <c r="S832" s="336" t="s">
        <v>3075</v>
      </c>
      <c r="T832" t="str">
        <f>IFERROR(VLOOKUP(ROWS($T$3:T832),$R$3:$S$992,2,0),"")</f>
        <v>Opravy komunikačních zařízení</v>
      </c>
      <c r="U832">
        <f>IF(ISNUMBER(SEARCH('1Př1'!$A$34,N832)),MAX($M$2:M831)+1,0)</f>
        <v>830</v>
      </c>
      <c r="V832" s="336" t="s">
        <v>3075</v>
      </c>
      <c r="W832" t="str">
        <f>IFERROR(VLOOKUP(ROWS($W$3:W832),$U$3:$V$992,2,0),"")</f>
        <v>Opravy komunikačních zařízení</v>
      </c>
      <c r="X832">
        <f>IF(ISNUMBER(SEARCH('1Př1'!$A$35,N832)),MAX($M$2:M831)+1,0)</f>
        <v>830</v>
      </c>
      <c r="Y832" s="336" t="s">
        <v>3075</v>
      </c>
      <c r="Z832" t="str">
        <f>IFERROR(VLOOKUP(ROWS($Z$3:Z832),$X$3:$Y$992,2,0),"")</f>
        <v>Opravy komunikačních zařízení</v>
      </c>
    </row>
    <row r="833" spans="13:26" ht="12.75">
      <c r="M833" s="335">
        <f>IF(ISNUMBER(SEARCH(ZAKL_DATA!$B$29,N833)),MAX($M$2:M832)+1,0)</f>
        <v>831</v>
      </c>
      <c r="N833" s="336" t="s">
        <v>3077</v>
      </c>
      <c r="O833" s="353" t="s">
        <v>3078</v>
      </c>
      <c r="P833" s="338"/>
      <c r="Q833" s="339" t="str">
        <f>IFERROR(VLOOKUP(ROWS($Q$3:Q833),$M$3:$N$992,2,0),"")</f>
        <v>Opravy spotřební elektroniky</v>
      </c>
      <c r="R833">
        <f>IF(ISNUMBER(SEARCH('1Př1'!$A$33,N833)),MAX($M$2:M832)+1,0)</f>
        <v>831</v>
      </c>
      <c r="S833" s="336" t="s">
        <v>3077</v>
      </c>
      <c r="T833" t="str">
        <f>IFERROR(VLOOKUP(ROWS($T$3:T833),$R$3:$S$992,2,0),"")</f>
        <v>Opravy spotřební elektroniky</v>
      </c>
      <c r="U833">
        <f>IF(ISNUMBER(SEARCH('1Př1'!$A$34,N833)),MAX($M$2:M832)+1,0)</f>
        <v>831</v>
      </c>
      <c r="V833" s="336" t="s">
        <v>3077</v>
      </c>
      <c r="W833" t="str">
        <f>IFERROR(VLOOKUP(ROWS($W$3:W833),$U$3:$V$992,2,0),"")</f>
        <v>Opravy spotřební elektroniky</v>
      </c>
      <c r="X833">
        <f>IF(ISNUMBER(SEARCH('1Př1'!$A$35,N833)),MAX($M$2:M832)+1,0)</f>
        <v>831</v>
      </c>
      <c r="Y833" s="336" t="s">
        <v>3077</v>
      </c>
      <c r="Z833" t="str">
        <f>IFERROR(VLOOKUP(ROWS($Z$3:Z833),$X$3:$Y$992,2,0),"")</f>
        <v>Opravy spotřební elektroniky</v>
      </c>
    </row>
    <row r="834" spans="13:26" ht="12.75">
      <c r="M834" s="335">
        <f>IF(ISNUMBER(SEARCH(ZAKL_DATA!$B$29,N834)),MAX($M$2:M833)+1,0)</f>
        <v>832</v>
      </c>
      <c r="N834" s="336" t="s">
        <v>3079</v>
      </c>
      <c r="O834" s="353" t="s">
        <v>3080</v>
      </c>
      <c r="P834" s="338"/>
      <c r="Q834" s="339" t="str">
        <f>IFERROR(VLOOKUP(ROWS($Q$3:Q834),$M$3:$N$992,2,0),"")</f>
        <v>Opravy přístrojů a zařízení převážně pro domácnost, dům a zahradu</v>
      </c>
      <c r="R834">
        <f>IF(ISNUMBER(SEARCH('1Př1'!$A$33,N834)),MAX($M$2:M833)+1,0)</f>
        <v>832</v>
      </c>
      <c r="S834" s="336" t="s">
        <v>3079</v>
      </c>
      <c r="T834" t="str">
        <f>IFERROR(VLOOKUP(ROWS($T$3:T834),$R$3:$S$992,2,0),"")</f>
        <v>Opravy přístrojů a zařízení převážně pro domácnost, dům a zahradu</v>
      </c>
      <c r="U834">
        <f>IF(ISNUMBER(SEARCH('1Př1'!$A$34,N834)),MAX($M$2:M833)+1,0)</f>
        <v>832</v>
      </c>
      <c r="V834" s="336" t="s">
        <v>3079</v>
      </c>
      <c r="W834" t="str">
        <f>IFERROR(VLOOKUP(ROWS($W$3:W834),$U$3:$V$992,2,0),"")</f>
        <v>Opravy přístrojů a zařízení převážně pro domácnost, dům a zahradu</v>
      </c>
      <c r="X834">
        <f>IF(ISNUMBER(SEARCH('1Př1'!$A$35,N834)),MAX($M$2:M833)+1,0)</f>
        <v>832</v>
      </c>
      <c r="Y834" s="336" t="s">
        <v>3079</v>
      </c>
      <c r="Z834" t="str">
        <f>IFERROR(VLOOKUP(ROWS($Z$3:Z834),$X$3:$Y$992,2,0),"")</f>
        <v>Opravy přístrojů a zařízení převážně pro domácnost, dům a zahradu</v>
      </c>
    </row>
    <row r="835" spans="13:26" ht="12.75">
      <c r="M835" s="335">
        <f>IF(ISNUMBER(SEARCH(ZAKL_DATA!$B$29,N835)),MAX($M$2:M834)+1,0)</f>
        <v>833</v>
      </c>
      <c r="N835" s="336" t="s">
        <v>3081</v>
      </c>
      <c r="O835" s="353" t="s">
        <v>3082</v>
      </c>
      <c r="P835" s="338"/>
      <c r="Q835" s="339" t="str">
        <f>IFERROR(VLOOKUP(ROWS($Q$3:Q835),$M$3:$N$992,2,0),"")</f>
        <v>Opravy obuvi a kožených výrobků</v>
      </c>
      <c r="R835">
        <f>IF(ISNUMBER(SEARCH('1Př1'!$A$33,N835)),MAX($M$2:M834)+1,0)</f>
        <v>833</v>
      </c>
      <c r="S835" s="336" t="s">
        <v>3081</v>
      </c>
      <c r="T835" t="str">
        <f>IFERROR(VLOOKUP(ROWS($T$3:T835),$R$3:$S$992,2,0),"")</f>
        <v>Opravy obuvi a kožených výrobků</v>
      </c>
      <c r="U835">
        <f>IF(ISNUMBER(SEARCH('1Př1'!$A$34,N835)),MAX($M$2:M834)+1,0)</f>
        <v>833</v>
      </c>
      <c r="V835" s="336" t="s">
        <v>3081</v>
      </c>
      <c r="W835" t="str">
        <f>IFERROR(VLOOKUP(ROWS($W$3:W835),$U$3:$V$992,2,0),"")</f>
        <v>Opravy obuvi a kožených výrobků</v>
      </c>
      <c r="X835">
        <f>IF(ISNUMBER(SEARCH('1Př1'!$A$35,N835)),MAX($M$2:M834)+1,0)</f>
        <v>833</v>
      </c>
      <c r="Y835" s="336" t="s">
        <v>3081</v>
      </c>
      <c r="Z835" t="str">
        <f>IFERROR(VLOOKUP(ROWS($Z$3:Z835),$X$3:$Y$992,2,0),"")</f>
        <v>Opravy obuvi a kožených výrobků</v>
      </c>
    </row>
    <row r="836" spans="13:26" ht="12.75">
      <c r="M836" s="335">
        <f>IF(ISNUMBER(SEARCH(ZAKL_DATA!$B$29,N836)),MAX($M$2:M835)+1,0)</f>
        <v>834</v>
      </c>
      <c r="N836" s="336" t="s">
        <v>3083</v>
      </c>
      <c r="O836" s="353" t="s">
        <v>3084</v>
      </c>
      <c r="P836" s="338"/>
      <c r="Q836" s="339" t="str">
        <f>IFERROR(VLOOKUP(ROWS($Q$3:Q836),$M$3:$N$992,2,0),"")</f>
        <v>Opravy nábytku a bytového zařízení</v>
      </c>
      <c r="R836">
        <f>IF(ISNUMBER(SEARCH('1Př1'!$A$33,N836)),MAX($M$2:M835)+1,0)</f>
        <v>834</v>
      </c>
      <c r="S836" s="336" t="s">
        <v>3083</v>
      </c>
      <c r="T836" t="str">
        <f>IFERROR(VLOOKUP(ROWS($T$3:T836),$R$3:$S$992,2,0),"")</f>
        <v>Opravy nábytku a bytového zařízení</v>
      </c>
      <c r="U836">
        <f>IF(ISNUMBER(SEARCH('1Př1'!$A$34,N836)),MAX($M$2:M835)+1,0)</f>
        <v>834</v>
      </c>
      <c r="V836" s="336" t="s">
        <v>3083</v>
      </c>
      <c r="W836" t="str">
        <f>IFERROR(VLOOKUP(ROWS($W$3:W836),$U$3:$V$992,2,0),"")</f>
        <v>Opravy nábytku a bytového zařízení</v>
      </c>
      <c r="X836">
        <f>IF(ISNUMBER(SEARCH('1Př1'!$A$35,N836)),MAX($M$2:M835)+1,0)</f>
        <v>834</v>
      </c>
      <c r="Y836" s="336" t="s">
        <v>3083</v>
      </c>
      <c r="Z836" t="str">
        <f>IFERROR(VLOOKUP(ROWS($Z$3:Z836),$X$3:$Y$992,2,0),"")</f>
        <v>Opravy nábytku a bytového zařízení</v>
      </c>
    </row>
    <row r="837" spans="13:26" ht="12.75">
      <c r="M837" s="335">
        <f>IF(ISNUMBER(SEARCH(ZAKL_DATA!$B$29,N837)),MAX($M$2:M836)+1,0)</f>
        <v>835</v>
      </c>
      <c r="N837" s="336" t="s">
        <v>3085</v>
      </c>
      <c r="O837" s="353" t="s">
        <v>3086</v>
      </c>
      <c r="P837" s="338"/>
      <c r="Q837" s="339" t="str">
        <f>IFERROR(VLOOKUP(ROWS($Q$3:Q837),$M$3:$N$992,2,0),"")</f>
        <v>Opravy hodin, hodinek a klenotnických výrobků</v>
      </c>
      <c r="R837">
        <f>IF(ISNUMBER(SEARCH('1Př1'!$A$33,N837)),MAX($M$2:M836)+1,0)</f>
        <v>835</v>
      </c>
      <c r="S837" s="336" t="s">
        <v>3085</v>
      </c>
      <c r="T837" t="str">
        <f>IFERROR(VLOOKUP(ROWS($T$3:T837),$R$3:$S$992,2,0),"")</f>
        <v>Opravy hodin, hodinek a klenotnických výrobků</v>
      </c>
      <c r="U837">
        <f>IF(ISNUMBER(SEARCH('1Př1'!$A$34,N837)),MAX($M$2:M836)+1,0)</f>
        <v>835</v>
      </c>
      <c r="V837" s="336" t="s">
        <v>3085</v>
      </c>
      <c r="W837" t="str">
        <f>IFERROR(VLOOKUP(ROWS($W$3:W837),$U$3:$V$992,2,0),"")</f>
        <v>Opravy hodin, hodinek a klenotnických výrobků</v>
      </c>
      <c r="X837">
        <f>IF(ISNUMBER(SEARCH('1Př1'!$A$35,N837)),MAX($M$2:M836)+1,0)</f>
        <v>835</v>
      </c>
      <c r="Y837" s="336" t="s">
        <v>3085</v>
      </c>
      <c r="Z837" t="str">
        <f>IFERROR(VLOOKUP(ROWS($Z$3:Z837),$X$3:$Y$992,2,0),"")</f>
        <v>Opravy hodin, hodinek a klenotnických výrobků</v>
      </c>
    </row>
    <row r="838" spans="13:26" ht="12.75">
      <c r="M838" s="335">
        <f>IF(ISNUMBER(SEARCH(ZAKL_DATA!$B$29,N838)),MAX($M$2:M837)+1,0)</f>
        <v>836</v>
      </c>
      <c r="N838" s="336" t="s">
        <v>3087</v>
      </c>
      <c r="O838" s="353" t="s">
        <v>3088</v>
      </c>
      <c r="P838" s="338"/>
      <c r="Q838" s="339" t="str">
        <f>IFERROR(VLOOKUP(ROWS($Q$3:Q838),$M$3:$N$992,2,0),"")</f>
        <v>Opravy ostatních výrobků pro osobní potřebu a převážně pro domácnost</v>
      </c>
      <c r="R838">
        <f>IF(ISNUMBER(SEARCH('1Př1'!$A$33,N838)),MAX($M$2:M837)+1,0)</f>
        <v>836</v>
      </c>
      <c r="S838" s="336" t="s">
        <v>3087</v>
      </c>
      <c r="T838" t="str">
        <f>IFERROR(VLOOKUP(ROWS($T$3:T838),$R$3:$S$992,2,0),"")</f>
        <v>Opravy ostatních výrobků pro osobní potřebu a převážně pro domácnost</v>
      </c>
      <c r="U838">
        <f>IF(ISNUMBER(SEARCH('1Př1'!$A$34,N838)),MAX($M$2:M837)+1,0)</f>
        <v>836</v>
      </c>
      <c r="V838" s="336" t="s">
        <v>3087</v>
      </c>
      <c r="W838" t="str">
        <f>IFERROR(VLOOKUP(ROWS($W$3:W838),$U$3:$V$992,2,0),"")</f>
        <v>Opravy ostatních výrobků pro osobní potřebu a převážně pro domácnost</v>
      </c>
      <c r="X838">
        <f>IF(ISNUMBER(SEARCH('1Př1'!$A$35,N838)),MAX($M$2:M837)+1,0)</f>
        <v>836</v>
      </c>
      <c r="Y838" s="336" t="s">
        <v>3087</v>
      </c>
      <c r="Z838" t="str">
        <f>IFERROR(VLOOKUP(ROWS($Z$3:Z838),$X$3:$Y$992,2,0),"")</f>
        <v>Opravy ostatních výrobků pro osobní potřebu a převážně pro domácnost</v>
      </c>
    </row>
    <row r="839" spans="13:26" ht="12.75">
      <c r="M839" s="335">
        <f>IF(ISNUMBER(SEARCH(ZAKL_DATA!$B$29,N839)),MAX($M$2:M838)+1,0)</f>
        <v>837</v>
      </c>
      <c r="N839" s="336" t="s">
        <v>3089</v>
      </c>
      <c r="O839" s="353" t="s">
        <v>3090</v>
      </c>
      <c r="P839" s="338"/>
      <c r="Q839" s="339" t="str">
        <f>IFERROR(VLOOKUP(ROWS($Q$3:Q839),$M$3:$N$992,2,0),"")</f>
        <v>Praní a chemické čištění textilních a kožešinových výrobků</v>
      </c>
      <c r="R839">
        <f>IF(ISNUMBER(SEARCH('1Př1'!$A$33,N839)),MAX($M$2:M838)+1,0)</f>
        <v>837</v>
      </c>
      <c r="S839" s="336" t="s">
        <v>3089</v>
      </c>
      <c r="T839" t="str">
        <f>IFERROR(VLOOKUP(ROWS($T$3:T839),$R$3:$S$992,2,0),"")</f>
        <v>Praní a chemické čištění textilních a kožešinových výrobků</v>
      </c>
      <c r="U839">
        <f>IF(ISNUMBER(SEARCH('1Př1'!$A$34,N839)),MAX($M$2:M838)+1,0)</f>
        <v>837</v>
      </c>
      <c r="V839" s="336" t="s">
        <v>3089</v>
      </c>
      <c r="W839" t="str">
        <f>IFERROR(VLOOKUP(ROWS($W$3:W839),$U$3:$V$992,2,0),"")</f>
        <v>Praní a chemické čištění textilních a kožešinových výrobků</v>
      </c>
      <c r="X839">
        <f>IF(ISNUMBER(SEARCH('1Př1'!$A$35,N839)),MAX($M$2:M838)+1,0)</f>
        <v>837</v>
      </c>
      <c r="Y839" s="336" t="s">
        <v>3089</v>
      </c>
      <c r="Z839" t="str">
        <f>IFERROR(VLOOKUP(ROWS($Z$3:Z839),$X$3:$Y$992,2,0),"")</f>
        <v>Praní a chemické čištění textilních a kožešinových výrobků</v>
      </c>
    </row>
    <row r="840" spans="13:26" ht="12.75">
      <c r="M840" s="335">
        <f>IF(ISNUMBER(SEARCH(ZAKL_DATA!$B$29,N840)),MAX($M$2:M839)+1,0)</f>
        <v>838</v>
      </c>
      <c r="N840" s="336" t="s">
        <v>3091</v>
      </c>
      <c r="O840" s="353" t="s">
        <v>3092</v>
      </c>
      <c r="P840" s="338"/>
      <c r="Q840" s="339" t="str">
        <f>IFERROR(VLOOKUP(ROWS($Q$3:Q840),$M$3:$N$992,2,0),"")</f>
        <v>Kadeřnické, kosmetické a podobné činnosti</v>
      </c>
      <c r="R840">
        <f>IF(ISNUMBER(SEARCH('1Př1'!$A$33,N840)),MAX($M$2:M839)+1,0)</f>
        <v>838</v>
      </c>
      <c r="S840" s="336" t="s">
        <v>3091</v>
      </c>
      <c r="T840" t="str">
        <f>IFERROR(VLOOKUP(ROWS($T$3:T840),$R$3:$S$992,2,0),"")</f>
        <v>Kadeřnické, kosmetické a podobné činnosti</v>
      </c>
      <c r="U840">
        <f>IF(ISNUMBER(SEARCH('1Př1'!$A$34,N840)),MAX($M$2:M839)+1,0)</f>
        <v>838</v>
      </c>
      <c r="V840" s="336" t="s">
        <v>3091</v>
      </c>
      <c r="W840" t="str">
        <f>IFERROR(VLOOKUP(ROWS($W$3:W840),$U$3:$V$992,2,0),"")</f>
        <v>Kadeřnické, kosmetické a podobné činnosti</v>
      </c>
      <c r="X840">
        <f>IF(ISNUMBER(SEARCH('1Př1'!$A$35,N840)),MAX($M$2:M839)+1,0)</f>
        <v>838</v>
      </c>
      <c r="Y840" s="336" t="s">
        <v>3091</v>
      </c>
      <c r="Z840" t="str">
        <f>IFERROR(VLOOKUP(ROWS($Z$3:Z840),$X$3:$Y$992,2,0),"")</f>
        <v>Kadeřnické, kosmetické a podobné činnosti</v>
      </c>
    </row>
    <row r="841" spans="13:26" ht="12.75">
      <c r="M841" s="335">
        <f>IF(ISNUMBER(SEARCH(ZAKL_DATA!$B$29,N841)),MAX($M$2:M840)+1,0)</f>
        <v>839</v>
      </c>
      <c r="N841" s="336" t="s">
        <v>3093</v>
      </c>
      <c r="O841" s="353" t="s">
        <v>3094</v>
      </c>
      <c r="P841" s="338"/>
      <c r="Q841" s="339" t="str">
        <f>IFERROR(VLOOKUP(ROWS($Q$3:Q841),$M$3:$N$992,2,0),"")</f>
        <v>Pohřební a související činnosti</v>
      </c>
      <c r="R841">
        <f>IF(ISNUMBER(SEARCH('1Př1'!$A$33,N841)),MAX($M$2:M840)+1,0)</f>
        <v>839</v>
      </c>
      <c r="S841" s="336" t="s">
        <v>3093</v>
      </c>
      <c r="T841" t="str">
        <f>IFERROR(VLOOKUP(ROWS($T$3:T841),$R$3:$S$992,2,0),"")</f>
        <v>Pohřební a související činnosti</v>
      </c>
      <c r="U841">
        <f>IF(ISNUMBER(SEARCH('1Př1'!$A$34,N841)),MAX($M$2:M840)+1,0)</f>
        <v>839</v>
      </c>
      <c r="V841" s="336" t="s">
        <v>3093</v>
      </c>
      <c r="W841" t="str">
        <f>IFERROR(VLOOKUP(ROWS($W$3:W841),$U$3:$V$992,2,0),"")</f>
        <v>Pohřební a související činnosti</v>
      </c>
      <c r="X841">
        <f>IF(ISNUMBER(SEARCH('1Př1'!$A$35,N841)),MAX($M$2:M840)+1,0)</f>
        <v>839</v>
      </c>
      <c r="Y841" s="336" t="s">
        <v>3093</v>
      </c>
      <c r="Z841" t="str">
        <f>IFERROR(VLOOKUP(ROWS($Z$3:Z841),$X$3:$Y$992,2,0),"")</f>
        <v>Pohřební a související činnosti</v>
      </c>
    </row>
    <row r="842" spans="13:26" ht="12.75">
      <c r="M842" s="335">
        <f>IF(ISNUMBER(SEARCH(ZAKL_DATA!$B$29,N842)),MAX($M$2:M841)+1,0)</f>
        <v>840</v>
      </c>
      <c r="N842" s="336" t="s">
        <v>3095</v>
      </c>
      <c r="O842" s="353" t="s">
        <v>3096</v>
      </c>
      <c r="P842" s="338"/>
      <c r="Q842" s="339" t="str">
        <f>IFERROR(VLOOKUP(ROWS($Q$3:Q842),$M$3:$N$992,2,0),"")</f>
        <v>Činnosti pro osobní a fyzickou pohodu</v>
      </c>
      <c r="R842">
        <f>IF(ISNUMBER(SEARCH('1Př1'!$A$33,N842)),MAX($M$2:M841)+1,0)</f>
        <v>840</v>
      </c>
      <c r="S842" s="336" t="s">
        <v>3095</v>
      </c>
      <c r="T842" t="str">
        <f>IFERROR(VLOOKUP(ROWS($T$3:T842),$R$3:$S$992,2,0),"")</f>
        <v>Činnosti pro osobní a fyzickou pohodu</v>
      </c>
      <c r="U842">
        <f>IF(ISNUMBER(SEARCH('1Př1'!$A$34,N842)),MAX($M$2:M841)+1,0)</f>
        <v>840</v>
      </c>
      <c r="V842" s="336" t="s">
        <v>3095</v>
      </c>
      <c r="W842" t="str">
        <f>IFERROR(VLOOKUP(ROWS($W$3:W842),$U$3:$V$992,2,0),"")</f>
        <v>Činnosti pro osobní a fyzickou pohodu</v>
      </c>
      <c r="X842">
        <f>IF(ISNUMBER(SEARCH('1Př1'!$A$35,N842)),MAX($M$2:M841)+1,0)</f>
        <v>840</v>
      </c>
      <c r="Y842" s="336" t="s">
        <v>3095</v>
      </c>
      <c r="Z842" t="str">
        <f>IFERROR(VLOOKUP(ROWS($Z$3:Z842),$X$3:$Y$992,2,0),"")</f>
        <v>Činnosti pro osobní a fyzickou pohodu</v>
      </c>
    </row>
    <row r="843" spans="13:26" ht="12.75">
      <c r="M843" s="335">
        <f>IF(ISNUMBER(SEARCH(ZAKL_DATA!$B$29,N843)),MAX($M$2:M842)+1,0)</f>
        <v>841</v>
      </c>
      <c r="N843" s="336" t="s">
        <v>3097</v>
      </c>
      <c r="O843" s="353" t="s">
        <v>3098</v>
      </c>
      <c r="P843" s="338"/>
      <c r="Q843" s="339" t="str">
        <f>IFERROR(VLOOKUP(ROWS($Q$3:Q843),$M$3:$N$992,2,0),"")</f>
        <v>Poskytování ostatních osobních služeb j. n.</v>
      </c>
      <c r="R843">
        <f>IF(ISNUMBER(SEARCH('1Př1'!$A$33,N843)),MAX($M$2:M842)+1,0)</f>
        <v>841</v>
      </c>
      <c r="S843" s="336" t="s">
        <v>3097</v>
      </c>
      <c r="T843" t="str">
        <f>IFERROR(VLOOKUP(ROWS($T$3:T843),$R$3:$S$992,2,0),"")</f>
        <v>Poskytování ostatních osobních služeb j. n.</v>
      </c>
      <c r="U843">
        <f>IF(ISNUMBER(SEARCH('1Př1'!$A$34,N843)),MAX($M$2:M842)+1,0)</f>
        <v>841</v>
      </c>
      <c r="V843" s="336" t="s">
        <v>3097</v>
      </c>
      <c r="W843" t="str">
        <f>IFERROR(VLOOKUP(ROWS($W$3:W843),$U$3:$V$992,2,0),"")</f>
        <v>Poskytování ostatních osobních služeb j. n.</v>
      </c>
      <c r="X843">
        <f>IF(ISNUMBER(SEARCH('1Př1'!$A$35,N843)),MAX($M$2:M842)+1,0)</f>
        <v>841</v>
      </c>
      <c r="Y843" s="336" t="s">
        <v>3097</v>
      </c>
      <c r="Z843" t="str">
        <f>IFERROR(VLOOKUP(ROWS($Z$3:Z843),$X$3:$Y$992,2,0),"")</f>
        <v>Poskytování ostatních osobních služeb j. n.</v>
      </c>
    </row>
    <row r="844" spans="13:26" ht="12.75">
      <c r="M844" s="335">
        <f>IF(ISNUMBER(SEARCH(ZAKL_DATA!$B$29,N844)),MAX($M$2:M843)+1,0)</f>
        <v>842</v>
      </c>
      <c r="N844" s="336" t="s">
        <v>3099</v>
      </c>
      <c r="O844" s="353" t="s">
        <v>2189</v>
      </c>
      <c r="P844" s="338"/>
      <c r="Q844" s="339" t="str">
        <f>IFERROR(VLOOKUP(ROWS($Q$3:Q844),$M$3:$N$992,2,0),"")</f>
        <v>Činnosti domácností produk.blíže neurčené výrobky pro vlastní potřebu</v>
      </c>
      <c r="R844">
        <f>IF(ISNUMBER(SEARCH('1Př1'!$A$33,N844)),MAX($M$2:M843)+1,0)</f>
        <v>842</v>
      </c>
      <c r="S844" s="336" t="s">
        <v>3099</v>
      </c>
      <c r="T844" t="str">
        <f>IFERROR(VLOOKUP(ROWS($T$3:T844),$R$3:$S$992,2,0),"")</f>
        <v>Činnosti domácností produk.blíže neurčené výrobky pro vlastní potřebu</v>
      </c>
      <c r="U844">
        <f>IF(ISNUMBER(SEARCH('1Př1'!$A$34,N844)),MAX($M$2:M843)+1,0)</f>
        <v>842</v>
      </c>
      <c r="V844" s="336" t="s">
        <v>3099</v>
      </c>
      <c r="W844" t="str">
        <f>IFERROR(VLOOKUP(ROWS($W$3:W844),$U$3:$V$992,2,0),"")</f>
        <v>Činnosti domácností produk.blíže neurčené výrobky pro vlastní potřebu</v>
      </c>
      <c r="X844">
        <f>IF(ISNUMBER(SEARCH('1Př1'!$A$35,N844)),MAX($M$2:M843)+1,0)</f>
        <v>842</v>
      </c>
      <c r="Y844" s="336" t="s">
        <v>3099</v>
      </c>
      <c r="Z844" t="str">
        <f>IFERROR(VLOOKUP(ROWS($Z$3:Z844),$X$3:$Y$992,2,0),"")</f>
        <v>Činnosti domácností produk.blíže neurčené výrobky pro vlastní potřebu</v>
      </c>
    </row>
    <row r="845" spans="13:26" ht="12.75">
      <c r="M845" s="335">
        <f>IF(ISNUMBER(SEARCH(ZAKL_DATA!$B$29,N845)),MAX($M$2:M844)+1,0)</f>
        <v>843</v>
      </c>
      <c r="N845" s="336" t="s">
        <v>3100</v>
      </c>
      <c r="O845" s="353" t="s">
        <v>3101</v>
      </c>
      <c r="P845" s="338"/>
      <c r="Q845" s="339" t="str">
        <f>IFERROR(VLOOKUP(ROWS($Q$3:Q845),$M$3:$N$992,2,0),"")</f>
        <v>Výroba obuvi s usňovým svrškem</v>
      </c>
      <c r="R845">
        <f>IF(ISNUMBER(SEARCH('1Př1'!$A$33,N845)),MAX($M$2:M844)+1,0)</f>
        <v>843</v>
      </c>
      <c r="S845" s="336" t="s">
        <v>3100</v>
      </c>
      <c r="T845" t="str">
        <f>IFERROR(VLOOKUP(ROWS($T$3:T845),$R$3:$S$992,2,0),"")</f>
        <v>Výroba obuvi s usňovým svrškem</v>
      </c>
      <c r="U845">
        <f>IF(ISNUMBER(SEARCH('1Př1'!$A$34,N845)),MAX($M$2:M844)+1,0)</f>
        <v>843</v>
      </c>
      <c r="V845" s="336" t="s">
        <v>3100</v>
      </c>
      <c r="W845" t="str">
        <f>IFERROR(VLOOKUP(ROWS($W$3:W845),$U$3:$V$992,2,0),"")</f>
        <v>Výroba obuvi s usňovým svrškem</v>
      </c>
      <c r="X845">
        <f>IF(ISNUMBER(SEARCH('1Př1'!$A$35,N845)),MAX($M$2:M844)+1,0)</f>
        <v>843</v>
      </c>
      <c r="Y845" s="336" t="s">
        <v>3100</v>
      </c>
      <c r="Z845" t="str">
        <f>IFERROR(VLOOKUP(ROWS($Z$3:Z845),$X$3:$Y$992,2,0),"")</f>
        <v>Výroba obuvi s usňovým svrškem</v>
      </c>
    </row>
    <row r="846" spans="13:26" ht="12.75">
      <c r="M846" s="335">
        <f>IF(ISNUMBER(SEARCH(ZAKL_DATA!$B$29,N846)),MAX($M$2:M845)+1,0)</f>
        <v>844</v>
      </c>
      <c r="N846" s="336" t="s">
        <v>3102</v>
      </c>
      <c r="O846" s="353" t="s">
        <v>3103</v>
      </c>
      <c r="P846" s="338"/>
      <c r="Q846" s="339" t="str">
        <f>IFERROR(VLOOKUP(ROWS($Q$3:Q846),$M$3:$N$992,2,0),"")</f>
        <v>Výroba obuvi z ostatních materiálů</v>
      </c>
      <c r="R846">
        <f>IF(ISNUMBER(SEARCH('1Př1'!$A$33,N846)),MAX($M$2:M845)+1,0)</f>
        <v>844</v>
      </c>
      <c r="S846" s="336" t="s">
        <v>3102</v>
      </c>
      <c r="T846" t="str">
        <f>IFERROR(VLOOKUP(ROWS($T$3:T846),$R$3:$S$992,2,0),"")</f>
        <v>Výroba obuvi z ostatních materiálů</v>
      </c>
      <c r="U846">
        <f>IF(ISNUMBER(SEARCH('1Př1'!$A$34,N846)),MAX($M$2:M845)+1,0)</f>
        <v>844</v>
      </c>
      <c r="V846" s="336" t="s">
        <v>3102</v>
      </c>
      <c r="W846" t="str">
        <f>IFERROR(VLOOKUP(ROWS($W$3:W846),$U$3:$V$992,2,0),"")</f>
        <v>Výroba obuvi z ostatních materiálů</v>
      </c>
      <c r="X846">
        <f>IF(ISNUMBER(SEARCH('1Př1'!$A$35,N846)),MAX($M$2:M845)+1,0)</f>
        <v>844</v>
      </c>
      <c r="Y846" s="336" t="s">
        <v>3102</v>
      </c>
      <c r="Z846" t="str">
        <f>IFERROR(VLOOKUP(ROWS($Z$3:Z846),$X$3:$Y$992,2,0),"")</f>
        <v>Výroba obuvi z ostatních materiálů</v>
      </c>
    </row>
    <row r="847" spans="13:26" ht="12.75">
      <c r="M847" s="335">
        <f>IF(ISNUMBER(SEARCH(ZAKL_DATA!$B$29,N847)),MAX($M$2:M846)+1,0)</f>
        <v>845</v>
      </c>
      <c r="N847" s="336" t="s">
        <v>3104</v>
      </c>
      <c r="O847" s="353" t="s">
        <v>3105</v>
      </c>
      <c r="P847" s="338"/>
      <c r="Q847" s="339" t="str">
        <f>IFERROR(VLOOKUP(ROWS($Q$3:Q847),$M$3:$N$992,2,0),"")</f>
        <v>Výroba chemických buničin</v>
      </c>
      <c r="R847">
        <f>IF(ISNUMBER(SEARCH('1Př1'!$A$33,N847)),MAX($M$2:M846)+1,0)</f>
        <v>845</v>
      </c>
      <c r="S847" s="336" t="s">
        <v>3104</v>
      </c>
      <c r="T847" t="str">
        <f>IFERROR(VLOOKUP(ROWS($T$3:T847),$R$3:$S$992,2,0),"")</f>
        <v>Výroba chemických buničin</v>
      </c>
      <c r="U847">
        <f>IF(ISNUMBER(SEARCH('1Př1'!$A$34,N847)),MAX($M$2:M846)+1,0)</f>
        <v>845</v>
      </c>
      <c r="V847" s="336" t="s">
        <v>3104</v>
      </c>
      <c r="W847" t="str">
        <f>IFERROR(VLOOKUP(ROWS($W$3:W847),$U$3:$V$992,2,0),"")</f>
        <v>Výroba chemických buničin</v>
      </c>
      <c r="X847">
        <f>IF(ISNUMBER(SEARCH('1Př1'!$A$35,N847)),MAX($M$2:M846)+1,0)</f>
        <v>845</v>
      </c>
      <c r="Y847" s="336" t="s">
        <v>3104</v>
      </c>
      <c r="Z847" t="str">
        <f>IFERROR(VLOOKUP(ROWS($Z$3:Z847),$X$3:$Y$992,2,0),"")</f>
        <v>Výroba chemických buničin</v>
      </c>
    </row>
    <row r="848" spans="13:26" ht="12.75">
      <c r="M848" s="335">
        <f>IF(ISNUMBER(SEARCH(ZAKL_DATA!$B$29,N848)),MAX($M$2:M847)+1,0)</f>
        <v>846</v>
      </c>
      <c r="N848" s="336" t="s">
        <v>3106</v>
      </c>
      <c r="O848" s="353" t="s">
        <v>3107</v>
      </c>
      <c r="P848" s="338"/>
      <c r="Q848" s="339" t="str">
        <f>IFERROR(VLOOKUP(ROWS($Q$3:Q848),$M$3:$N$992,2,0),"")</f>
        <v>Výroba mechanických vláknin</v>
      </c>
      <c r="R848">
        <f>IF(ISNUMBER(SEARCH('1Př1'!$A$33,N848)),MAX($M$2:M847)+1,0)</f>
        <v>846</v>
      </c>
      <c r="S848" s="336" t="s">
        <v>3106</v>
      </c>
      <c r="T848" t="str">
        <f>IFERROR(VLOOKUP(ROWS($T$3:T848),$R$3:$S$992,2,0),"")</f>
        <v>Výroba mechanických vláknin</v>
      </c>
      <c r="U848">
        <f>IF(ISNUMBER(SEARCH('1Př1'!$A$34,N848)),MAX($M$2:M847)+1,0)</f>
        <v>846</v>
      </c>
      <c r="V848" s="336" t="s">
        <v>3106</v>
      </c>
      <c r="W848" t="str">
        <f>IFERROR(VLOOKUP(ROWS($W$3:W848),$U$3:$V$992,2,0),"")</f>
        <v>Výroba mechanických vláknin</v>
      </c>
      <c r="X848">
        <f>IF(ISNUMBER(SEARCH('1Př1'!$A$35,N848)),MAX($M$2:M847)+1,0)</f>
        <v>846</v>
      </c>
      <c r="Y848" s="336" t="s">
        <v>3106</v>
      </c>
      <c r="Z848" t="str">
        <f>IFERROR(VLOOKUP(ROWS($Z$3:Z848),$X$3:$Y$992,2,0),"")</f>
        <v>Výroba mechanických vláknin</v>
      </c>
    </row>
    <row r="849" spans="13:26" ht="12.75">
      <c r="M849" s="335">
        <f>IF(ISNUMBER(SEARCH(ZAKL_DATA!$B$29,N849)),MAX($M$2:M848)+1,0)</f>
        <v>847</v>
      </c>
      <c r="N849" s="336" t="s">
        <v>3108</v>
      </c>
      <c r="O849" s="353" t="s">
        <v>3109</v>
      </c>
      <c r="P849" s="338"/>
      <c r="Q849" s="339" t="str">
        <f>IFERROR(VLOOKUP(ROWS($Q$3:Q849),$M$3:$N$992,2,0),"")</f>
        <v>Výroba ostatních papírenských vláknin</v>
      </c>
      <c r="R849">
        <f>IF(ISNUMBER(SEARCH('1Př1'!$A$33,N849)),MAX($M$2:M848)+1,0)</f>
        <v>847</v>
      </c>
      <c r="S849" s="336" t="s">
        <v>3108</v>
      </c>
      <c r="T849" t="str">
        <f>IFERROR(VLOOKUP(ROWS($T$3:T849),$R$3:$S$992,2,0),"")</f>
        <v>Výroba ostatních papírenských vláknin</v>
      </c>
      <c r="U849">
        <f>IF(ISNUMBER(SEARCH('1Př1'!$A$34,N849)),MAX($M$2:M848)+1,0)</f>
        <v>847</v>
      </c>
      <c r="V849" s="336" t="s">
        <v>3108</v>
      </c>
      <c r="W849" t="str">
        <f>IFERROR(VLOOKUP(ROWS($W$3:W849),$U$3:$V$992,2,0),"")</f>
        <v>Výroba ostatních papírenských vláknin</v>
      </c>
      <c r="X849">
        <f>IF(ISNUMBER(SEARCH('1Př1'!$A$35,N849)),MAX($M$2:M848)+1,0)</f>
        <v>847</v>
      </c>
      <c r="Y849" s="336" t="s">
        <v>3108</v>
      </c>
      <c r="Z849" t="str">
        <f>IFERROR(VLOOKUP(ROWS($Z$3:Z849),$X$3:$Y$992,2,0),"")</f>
        <v>Výroba ostatních papírenských vláknin</v>
      </c>
    </row>
    <row r="850" spans="13:26" ht="12.75">
      <c r="M850" s="335">
        <f>IF(ISNUMBER(SEARCH(ZAKL_DATA!$B$29,N850)),MAX($M$2:M849)+1,0)</f>
        <v>848</v>
      </c>
      <c r="N850" s="336" t="s">
        <v>3110</v>
      </c>
      <c r="O850" s="353" t="s">
        <v>3111</v>
      </c>
      <c r="P850" s="338"/>
      <c r="Q850" s="339" t="str">
        <f>IFERROR(VLOOKUP(ROWS($Q$3:Q850),$M$3:$N$992,2,0),"")</f>
        <v>Výroba bioet.(biolihu)pro pohon motorů a pro výr.směsí a komp.paliv</v>
      </c>
      <c r="R850">
        <f>IF(ISNUMBER(SEARCH('1Př1'!$A$33,N850)),MAX($M$2:M849)+1,0)</f>
        <v>848</v>
      </c>
      <c r="S850" s="336" t="s">
        <v>3110</v>
      </c>
      <c r="T850" t="str">
        <f>IFERROR(VLOOKUP(ROWS($T$3:T850),$R$3:$S$992,2,0),"")</f>
        <v>Výroba bioet.(biolihu)pro pohon motorů a pro výr.směsí a komp.paliv</v>
      </c>
      <c r="U850">
        <f>IF(ISNUMBER(SEARCH('1Př1'!$A$34,N850)),MAX($M$2:M849)+1,0)</f>
        <v>848</v>
      </c>
      <c r="V850" s="336" t="s">
        <v>3110</v>
      </c>
      <c r="W850" t="str">
        <f>IFERROR(VLOOKUP(ROWS($W$3:W850),$U$3:$V$992,2,0),"")</f>
        <v>Výroba bioet.(biolihu)pro pohon motorů a pro výr.směsí a komp.paliv</v>
      </c>
      <c r="X850">
        <f>IF(ISNUMBER(SEARCH('1Př1'!$A$35,N850)),MAX($M$2:M849)+1,0)</f>
        <v>848</v>
      </c>
      <c r="Y850" s="336" t="s">
        <v>3110</v>
      </c>
      <c r="Z850" t="str">
        <f>IFERROR(VLOOKUP(ROWS($Z$3:Z850),$X$3:$Y$992,2,0),"")</f>
        <v>Výroba bioet.(biolihu)pro pohon motorů a pro výr.směsí a komp.paliv</v>
      </c>
    </row>
    <row r="851" spans="13:26" ht="12.75">
      <c r="M851" s="335">
        <f>IF(ISNUMBER(SEARCH(ZAKL_DATA!$B$29,N851)),MAX($M$2:M850)+1,0)</f>
        <v>849</v>
      </c>
      <c r="N851" s="336" t="s">
        <v>3112</v>
      </c>
      <c r="O851" s="353" t="s">
        <v>3113</v>
      </c>
      <c r="P851" s="338"/>
      <c r="Q851" s="339" t="str">
        <f>IFERROR(VLOOKUP(ROWS($Q$3:Q851),$M$3:$N$992,2,0),"")</f>
        <v>Výroba ostatních základních organických chemických látek</v>
      </c>
      <c r="R851">
        <f>IF(ISNUMBER(SEARCH('1Př1'!$A$33,N851)),MAX($M$2:M850)+1,0)</f>
        <v>849</v>
      </c>
      <c r="S851" s="336" t="s">
        <v>3112</v>
      </c>
      <c r="T851" t="str">
        <f>IFERROR(VLOOKUP(ROWS($T$3:T851),$R$3:$S$992,2,0),"")</f>
        <v>Výroba ostatních základních organických chemických látek</v>
      </c>
      <c r="U851">
        <f>IF(ISNUMBER(SEARCH('1Př1'!$A$34,N851)),MAX($M$2:M850)+1,0)</f>
        <v>849</v>
      </c>
      <c r="V851" s="336" t="s">
        <v>3112</v>
      </c>
      <c r="W851" t="str">
        <f>IFERROR(VLOOKUP(ROWS($W$3:W851),$U$3:$V$992,2,0),"")</f>
        <v>Výroba ostatních základních organických chemických látek</v>
      </c>
      <c r="X851">
        <f>IF(ISNUMBER(SEARCH('1Př1'!$A$35,N851)),MAX($M$2:M850)+1,0)</f>
        <v>849</v>
      </c>
      <c r="Y851" s="336" t="s">
        <v>3112</v>
      </c>
      <c r="Z851" t="str">
        <f>IFERROR(VLOOKUP(ROWS($Z$3:Z851),$X$3:$Y$992,2,0),"")</f>
        <v>Výroba ostatních základních organických chemických látek</v>
      </c>
    </row>
    <row r="852" spans="13:26" ht="12.75">
      <c r="M852" s="335">
        <f>IF(ISNUMBER(SEARCH(ZAKL_DATA!$B$29,N852)),MAX($M$2:M851)+1,0)</f>
        <v>850</v>
      </c>
      <c r="N852" s="336" t="s">
        <v>3114</v>
      </c>
      <c r="O852" s="353" t="s">
        <v>3115</v>
      </c>
      <c r="P852" s="338"/>
      <c r="Q852" s="339" t="str">
        <f>IFERROR(VLOOKUP(ROWS($Q$3:Q852),$M$3:$N$992,2,0),"")</f>
        <v>Výr.metylesterů a etylesterů mast.kys.pro pohon motorů a pro výr.sm.p.</v>
      </c>
      <c r="R852">
        <f>IF(ISNUMBER(SEARCH('1Př1'!$A$33,N852)),MAX($M$2:M851)+1,0)</f>
        <v>850</v>
      </c>
      <c r="S852" s="336" t="s">
        <v>3114</v>
      </c>
      <c r="T852" t="str">
        <f>IFERROR(VLOOKUP(ROWS($T$3:T852),$R$3:$S$992,2,0),"")</f>
        <v>Výr.metylesterů a etylesterů mast.kys.pro pohon motorů a pro výr.sm.p.</v>
      </c>
      <c r="U852">
        <f>IF(ISNUMBER(SEARCH('1Př1'!$A$34,N852)),MAX($M$2:M851)+1,0)</f>
        <v>850</v>
      </c>
      <c r="V852" s="336" t="s">
        <v>3114</v>
      </c>
      <c r="W852" t="str">
        <f>IFERROR(VLOOKUP(ROWS($W$3:W852),$U$3:$V$992,2,0),"")</f>
        <v>Výr.metylesterů a etylesterů mast.kys.pro pohon motorů a pro výr.sm.p.</v>
      </c>
      <c r="X852">
        <f>IF(ISNUMBER(SEARCH('1Př1'!$A$35,N852)),MAX($M$2:M851)+1,0)</f>
        <v>850</v>
      </c>
      <c r="Y852" s="336" t="s">
        <v>3114</v>
      </c>
      <c r="Z852" t="str">
        <f>IFERROR(VLOOKUP(ROWS($Z$3:Z852),$X$3:$Y$992,2,0),"")</f>
        <v>Výr.metylesterů a etylesterů mast.kys.pro pohon motorů a pro výr.sm.p.</v>
      </c>
    </row>
    <row r="853" spans="13:26" ht="12.75">
      <c r="M853" s="335">
        <f>IF(ISNUMBER(SEARCH(ZAKL_DATA!$B$29,N853)),MAX($M$2:M852)+1,0)</f>
        <v>851</v>
      </c>
      <c r="N853" s="336" t="s">
        <v>3116</v>
      </c>
      <c r="O853" s="353" t="s">
        <v>3117</v>
      </c>
      <c r="P853" s="338"/>
      <c r="Q853" s="339" t="str">
        <f>IFERROR(VLOOKUP(ROWS($Q$3:Q853),$M$3:$N$992,2,0),"")</f>
        <v>Výroba jiných chemických výrobků j. n.</v>
      </c>
      <c r="R853">
        <f>IF(ISNUMBER(SEARCH('1Př1'!$A$33,N853)),MAX($M$2:M852)+1,0)</f>
        <v>851</v>
      </c>
      <c r="S853" s="336" t="s">
        <v>3116</v>
      </c>
      <c r="T853" t="str">
        <f>IFERROR(VLOOKUP(ROWS($T$3:T853),$R$3:$S$992,2,0),"")</f>
        <v>Výroba jiných chemických výrobků j. n.</v>
      </c>
      <c r="U853">
        <f>IF(ISNUMBER(SEARCH('1Př1'!$A$34,N853)),MAX($M$2:M852)+1,0)</f>
        <v>851</v>
      </c>
      <c r="V853" s="336" t="s">
        <v>3116</v>
      </c>
      <c r="W853" t="str">
        <f>IFERROR(VLOOKUP(ROWS($W$3:W853),$U$3:$V$992,2,0),"")</f>
        <v>Výroba jiných chemických výrobků j. n.</v>
      </c>
      <c r="X853">
        <f>IF(ISNUMBER(SEARCH('1Př1'!$A$35,N853)),MAX($M$2:M852)+1,0)</f>
        <v>851</v>
      </c>
      <c r="Y853" s="336" t="s">
        <v>3116</v>
      </c>
      <c r="Z853" t="str">
        <f>IFERROR(VLOOKUP(ROWS($Z$3:Z853),$X$3:$Y$992,2,0),"")</f>
        <v>Výroba jiných chemických výrobků j. n.</v>
      </c>
    </row>
    <row r="854" spans="13:26" ht="12.75">
      <c r="M854" s="335">
        <f>IF(ISNUMBER(SEARCH(ZAKL_DATA!$B$29,N854)),MAX($M$2:M853)+1,0)</f>
        <v>852</v>
      </c>
      <c r="N854" s="336" t="s">
        <v>3118</v>
      </c>
      <c r="O854" s="353" t="s">
        <v>3119</v>
      </c>
      <c r="P854" s="338"/>
      <c r="Q854" s="339" t="str">
        <f>IFERROR(VLOOKUP(ROWS($Q$3:Q854),$M$3:$N$992,2,0),"")</f>
        <v>Výroba surového železa, oceli a feroslitin</v>
      </c>
      <c r="R854">
        <f>IF(ISNUMBER(SEARCH('1Př1'!$A$33,N854)),MAX($M$2:M853)+1,0)</f>
        <v>852</v>
      </c>
      <c r="S854" s="336" t="s">
        <v>3118</v>
      </c>
      <c r="T854" t="str">
        <f>IFERROR(VLOOKUP(ROWS($T$3:T854),$R$3:$S$992,2,0),"")</f>
        <v>Výroba surového železa, oceli a feroslitin</v>
      </c>
      <c r="U854">
        <f>IF(ISNUMBER(SEARCH('1Př1'!$A$34,N854)),MAX($M$2:M853)+1,0)</f>
        <v>852</v>
      </c>
      <c r="V854" s="336" t="s">
        <v>3118</v>
      </c>
      <c r="W854" t="str">
        <f>IFERROR(VLOOKUP(ROWS($W$3:W854),$U$3:$V$992,2,0),"")</f>
        <v>Výroba surového železa, oceli a feroslitin</v>
      </c>
      <c r="X854">
        <f>IF(ISNUMBER(SEARCH('1Př1'!$A$35,N854)),MAX($M$2:M853)+1,0)</f>
        <v>852</v>
      </c>
      <c r="Y854" s="336" t="s">
        <v>3118</v>
      </c>
      <c r="Z854" t="str">
        <f>IFERROR(VLOOKUP(ROWS($Z$3:Z854),$X$3:$Y$992,2,0),"")</f>
        <v>Výroba surového železa, oceli a feroslitin</v>
      </c>
    </row>
    <row r="855" spans="13:26" ht="12.75">
      <c r="M855" s="335">
        <f>IF(ISNUMBER(SEARCH(ZAKL_DATA!$B$29,N855)),MAX($M$2:M854)+1,0)</f>
        <v>853</v>
      </c>
      <c r="N855" s="336" t="s">
        <v>3120</v>
      </c>
      <c r="O855" s="353" t="s">
        <v>3121</v>
      </c>
      <c r="P855" s="338"/>
      <c r="Q855" s="339" t="str">
        <f>IFERROR(VLOOKUP(ROWS($Q$3:Q855),$M$3:$N$992,2,0),"")</f>
        <v>Výroba plochých výrobků (kromě pásky za studena)</v>
      </c>
      <c r="R855">
        <f>IF(ISNUMBER(SEARCH('1Př1'!$A$33,N855)),MAX($M$2:M854)+1,0)</f>
        <v>853</v>
      </c>
      <c r="S855" s="336" t="s">
        <v>3120</v>
      </c>
      <c r="T855" t="str">
        <f>IFERROR(VLOOKUP(ROWS($T$3:T855),$R$3:$S$992,2,0),"")</f>
        <v>Výroba plochých výrobků (kromě pásky za studena)</v>
      </c>
      <c r="U855">
        <f>IF(ISNUMBER(SEARCH('1Př1'!$A$34,N855)),MAX($M$2:M854)+1,0)</f>
        <v>853</v>
      </c>
      <c r="V855" s="336" t="s">
        <v>3120</v>
      </c>
      <c r="W855" t="str">
        <f>IFERROR(VLOOKUP(ROWS($W$3:W855),$U$3:$V$992,2,0),"")</f>
        <v>Výroba plochých výrobků (kromě pásky za studena)</v>
      </c>
      <c r="X855">
        <f>IF(ISNUMBER(SEARCH('1Př1'!$A$35,N855)),MAX($M$2:M854)+1,0)</f>
        <v>853</v>
      </c>
      <c r="Y855" s="336" t="s">
        <v>3120</v>
      </c>
      <c r="Z855" t="str">
        <f>IFERROR(VLOOKUP(ROWS($Z$3:Z855),$X$3:$Y$992,2,0),"")</f>
        <v>Výroba plochých výrobků (kromě pásky za studena)</v>
      </c>
    </row>
    <row r="856" spans="13:26" ht="12.75">
      <c r="M856" s="335">
        <f>IF(ISNUMBER(SEARCH(ZAKL_DATA!$B$29,N856)),MAX($M$2:M855)+1,0)</f>
        <v>854</v>
      </c>
      <c r="N856" s="336" t="s">
        <v>3122</v>
      </c>
      <c r="O856" s="353" t="s">
        <v>3123</v>
      </c>
      <c r="P856" s="338"/>
      <c r="Q856" s="339" t="str">
        <f>IFERROR(VLOOKUP(ROWS($Q$3:Q856),$M$3:$N$992,2,0),"")</f>
        <v>Tváření výrobků za tepla</v>
      </c>
      <c r="R856">
        <f>IF(ISNUMBER(SEARCH('1Př1'!$A$33,N856)),MAX($M$2:M855)+1,0)</f>
        <v>854</v>
      </c>
      <c r="S856" s="336" t="s">
        <v>3122</v>
      </c>
      <c r="T856" t="str">
        <f>IFERROR(VLOOKUP(ROWS($T$3:T856),$R$3:$S$992,2,0),"")</f>
        <v>Tváření výrobků za tepla</v>
      </c>
      <c r="U856">
        <f>IF(ISNUMBER(SEARCH('1Př1'!$A$34,N856)),MAX($M$2:M855)+1,0)</f>
        <v>854</v>
      </c>
      <c r="V856" s="336" t="s">
        <v>3122</v>
      </c>
      <c r="W856" t="str">
        <f>IFERROR(VLOOKUP(ROWS($W$3:W856),$U$3:$V$992,2,0),"")</f>
        <v>Tváření výrobků za tepla</v>
      </c>
      <c r="X856">
        <f>IF(ISNUMBER(SEARCH('1Př1'!$A$35,N856)),MAX($M$2:M855)+1,0)</f>
        <v>854</v>
      </c>
      <c r="Y856" s="336" t="s">
        <v>3122</v>
      </c>
      <c r="Z856" t="str">
        <f>IFERROR(VLOOKUP(ROWS($Z$3:Z856),$X$3:$Y$992,2,0),"")</f>
        <v>Tváření výrobků za tepla</v>
      </c>
    </row>
    <row r="857" spans="13:26" ht="12.75">
      <c r="M857" s="335">
        <f>IF(ISNUMBER(SEARCH(ZAKL_DATA!$B$29,N857)),MAX($M$2:M856)+1,0)</f>
        <v>855</v>
      </c>
      <c r="N857" s="336" t="s">
        <v>3124</v>
      </c>
      <c r="O857" s="353" t="s">
        <v>3125</v>
      </c>
      <c r="P857" s="338"/>
      <c r="Q857" s="339" t="str">
        <f>IFERROR(VLOOKUP(ROWS($Q$3:Q857),$M$3:$N$992,2,0),"")</f>
        <v>Výroba odlitků z litiny s lupínkovým grafitem</v>
      </c>
      <c r="R857">
        <f>IF(ISNUMBER(SEARCH('1Př1'!$A$33,N857)),MAX($M$2:M856)+1,0)</f>
        <v>855</v>
      </c>
      <c r="S857" s="336" t="s">
        <v>3124</v>
      </c>
      <c r="T857" t="str">
        <f>IFERROR(VLOOKUP(ROWS($T$3:T857),$R$3:$S$992,2,0),"")</f>
        <v>Výroba odlitků z litiny s lupínkovým grafitem</v>
      </c>
      <c r="U857">
        <f>IF(ISNUMBER(SEARCH('1Př1'!$A$34,N857)),MAX($M$2:M856)+1,0)</f>
        <v>855</v>
      </c>
      <c r="V857" s="336" t="s">
        <v>3124</v>
      </c>
      <c r="W857" t="str">
        <f>IFERROR(VLOOKUP(ROWS($W$3:W857),$U$3:$V$992,2,0),"")</f>
        <v>Výroba odlitků z litiny s lupínkovým grafitem</v>
      </c>
      <c r="X857">
        <f>IF(ISNUMBER(SEARCH('1Př1'!$A$35,N857)),MAX($M$2:M856)+1,0)</f>
        <v>855</v>
      </c>
      <c r="Y857" s="336" t="s">
        <v>3124</v>
      </c>
      <c r="Z857" t="str">
        <f>IFERROR(VLOOKUP(ROWS($Z$3:Z857),$X$3:$Y$992,2,0),"")</f>
        <v>Výroba odlitků z litiny s lupínkovým grafitem</v>
      </c>
    </row>
    <row r="858" spans="13:26" ht="12.75">
      <c r="M858" s="335">
        <f>IF(ISNUMBER(SEARCH(ZAKL_DATA!$B$29,N858)),MAX($M$2:M857)+1,0)</f>
        <v>856</v>
      </c>
      <c r="N858" s="336" t="s">
        <v>3126</v>
      </c>
      <c r="O858" s="353" t="s">
        <v>3127</v>
      </c>
      <c r="P858" s="338"/>
      <c r="Q858" s="339" t="str">
        <f>IFERROR(VLOOKUP(ROWS($Q$3:Q858),$M$3:$N$992,2,0),"")</f>
        <v>Výroba odlitků z litiny s kuličkovým grafitem</v>
      </c>
      <c r="R858">
        <f>IF(ISNUMBER(SEARCH('1Př1'!$A$33,N858)),MAX($M$2:M857)+1,0)</f>
        <v>856</v>
      </c>
      <c r="S858" s="336" t="s">
        <v>3126</v>
      </c>
      <c r="T858" t="str">
        <f>IFERROR(VLOOKUP(ROWS($T$3:T858),$R$3:$S$992,2,0),"")</f>
        <v>Výroba odlitků z litiny s kuličkovým grafitem</v>
      </c>
      <c r="U858">
        <f>IF(ISNUMBER(SEARCH('1Př1'!$A$34,N858)),MAX($M$2:M857)+1,0)</f>
        <v>856</v>
      </c>
      <c r="V858" s="336" t="s">
        <v>3126</v>
      </c>
      <c r="W858" t="str">
        <f>IFERROR(VLOOKUP(ROWS($W$3:W858),$U$3:$V$992,2,0),"")</f>
        <v>Výroba odlitků z litiny s kuličkovým grafitem</v>
      </c>
      <c r="X858">
        <f>IF(ISNUMBER(SEARCH('1Př1'!$A$35,N858)),MAX($M$2:M857)+1,0)</f>
        <v>856</v>
      </c>
      <c r="Y858" s="336" t="s">
        <v>3126</v>
      </c>
      <c r="Z858" t="str">
        <f>IFERROR(VLOOKUP(ROWS($Z$3:Z858),$X$3:$Y$992,2,0),"")</f>
        <v>Výroba odlitků z litiny s kuličkovým grafitem</v>
      </c>
    </row>
    <row r="859" spans="13:26" ht="12.75">
      <c r="M859" s="335">
        <f>IF(ISNUMBER(SEARCH(ZAKL_DATA!$B$29,N859)),MAX($M$2:M858)+1,0)</f>
        <v>857</v>
      </c>
      <c r="N859" s="336" t="s">
        <v>3128</v>
      </c>
      <c r="O859" s="353" t="s">
        <v>3129</v>
      </c>
      <c r="P859" s="338"/>
      <c r="Q859" s="339" t="str">
        <f>IFERROR(VLOOKUP(ROWS($Q$3:Q859),$M$3:$N$992,2,0),"")</f>
        <v>Výroba ostatních odlitků z litiny</v>
      </c>
      <c r="R859">
        <f>IF(ISNUMBER(SEARCH('1Př1'!$A$33,N859)),MAX($M$2:M858)+1,0)</f>
        <v>857</v>
      </c>
      <c r="S859" s="336" t="s">
        <v>3128</v>
      </c>
      <c r="T859" t="str">
        <f>IFERROR(VLOOKUP(ROWS($T$3:T859),$R$3:$S$992,2,0),"")</f>
        <v>Výroba ostatních odlitků z litiny</v>
      </c>
      <c r="U859">
        <f>IF(ISNUMBER(SEARCH('1Př1'!$A$34,N859)),MAX($M$2:M858)+1,0)</f>
        <v>857</v>
      </c>
      <c r="V859" s="336" t="s">
        <v>3128</v>
      </c>
      <c r="W859" t="str">
        <f>IFERROR(VLOOKUP(ROWS($W$3:W859),$U$3:$V$992,2,0),"")</f>
        <v>Výroba ostatních odlitků z litiny</v>
      </c>
      <c r="X859">
        <f>IF(ISNUMBER(SEARCH('1Př1'!$A$35,N859)),MAX($M$2:M858)+1,0)</f>
        <v>857</v>
      </c>
      <c r="Y859" s="336" t="s">
        <v>3128</v>
      </c>
      <c r="Z859" t="str">
        <f>IFERROR(VLOOKUP(ROWS($Z$3:Z859),$X$3:$Y$992,2,0),"")</f>
        <v>Výroba ostatních odlitků z litiny</v>
      </c>
    </row>
    <row r="860" spans="13:26" ht="12.75">
      <c r="M860" s="335">
        <f>IF(ISNUMBER(SEARCH(ZAKL_DATA!$B$29,N860)),MAX($M$2:M859)+1,0)</f>
        <v>858</v>
      </c>
      <c r="N860" s="336" t="s">
        <v>3130</v>
      </c>
      <c r="O860" s="353" t="s">
        <v>3131</v>
      </c>
      <c r="P860" s="338"/>
      <c r="Q860" s="339" t="str">
        <f>IFERROR(VLOOKUP(ROWS($Q$3:Q860),$M$3:$N$992,2,0),"")</f>
        <v>Výroba odlitků z uhlíkatých ocelí</v>
      </c>
      <c r="R860">
        <f>IF(ISNUMBER(SEARCH('1Př1'!$A$33,N860)),MAX($M$2:M859)+1,0)</f>
        <v>858</v>
      </c>
      <c r="S860" s="336" t="s">
        <v>3130</v>
      </c>
      <c r="T860" t="str">
        <f>IFERROR(VLOOKUP(ROWS($T$3:T860),$R$3:$S$992,2,0),"")</f>
        <v>Výroba odlitků z uhlíkatých ocelí</v>
      </c>
      <c r="U860">
        <f>IF(ISNUMBER(SEARCH('1Př1'!$A$34,N860)),MAX($M$2:M859)+1,0)</f>
        <v>858</v>
      </c>
      <c r="V860" s="336" t="s">
        <v>3130</v>
      </c>
      <c r="W860" t="str">
        <f>IFERROR(VLOOKUP(ROWS($W$3:W860),$U$3:$V$992,2,0),"")</f>
        <v>Výroba odlitků z uhlíkatých ocelí</v>
      </c>
      <c r="X860">
        <f>IF(ISNUMBER(SEARCH('1Př1'!$A$35,N860)),MAX($M$2:M859)+1,0)</f>
        <v>858</v>
      </c>
      <c r="Y860" s="336" t="s">
        <v>3130</v>
      </c>
      <c r="Z860" t="str">
        <f>IFERROR(VLOOKUP(ROWS($Z$3:Z860),$X$3:$Y$992,2,0),"")</f>
        <v>Výroba odlitků z uhlíkatých ocelí</v>
      </c>
    </row>
    <row r="861" spans="13:26" ht="12.75">
      <c r="M861" s="335">
        <f>IF(ISNUMBER(SEARCH(ZAKL_DATA!$B$29,N861)),MAX($M$2:M860)+1,0)</f>
        <v>859</v>
      </c>
      <c r="N861" s="336" t="s">
        <v>3132</v>
      </c>
      <c r="O861" s="353" t="s">
        <v>3133</v>
      </c>
      <c r="P861" s="338"/>
      <c r="Q861" s="339" t="str">
        <f>IFERROR(VLOOKUP(ROWS($Q$3:Q861),$M$3:$N$992,2,0),"")</f>
        <v>Výroba odlitků z legovaných ocelí</v>
      </c>
      <c r="R861">
        <f>IF(ISNUMBER(SEARCH('1Př1'!$A$33,N861)),MAX($M$2:M860)+1,0)</f>
        <v>859</v>
      </c>
      <c r="S861" s="336" t="s">
        <v>3132</v>
      </c>
      <c r="T861" t="str">
        <f>IFERROR(VLOOKUP(ROWS($T$3:T861),$R$3:$S$992,2,0),"")</f>
        <v>Výroba odlitků z legovaných ocelí</v>
      </c>
      <c r="U861">
        <f>IF(ISNUMBER(SEARCH('1Př1'!$A$34,N861)),MAX($M$2:M860)+1,0)</f>
        <v>859</v>
      </c>
      <c r="V861" s="336" t="s">
        <v>3132</v>
      </c>
      <c r="W861" t="str">
        <f>IFERROR(VLOOKUP(ROWS($W$3:W861),$U$3:$V$992,2,0),"")</f>
        <v>Výroba odlitků z legovaných ocelí</v>
      </c>
      <c r="X861">
        <f>IF(ISNUMBER(SEARCH('1Př1'!$A$35,N861)),MAX($M$2:M860)+1,0)</f>
        <v>859</v>
      </c>
      <c r="Y861" s="336" t="s">
        <v>3132</v>
      </c>
      <c r="Z861" t="str">
        <f>IFERROR(VLOOKUP(ROWS($Z$3:Z861),$X$3:$Y$992,2,0),"")</f>
        <v>Výroba odlitků z legovaných ocelí</v>
      </c>
    </row>
    <row r="862" spans="13:26" ht="12.75">
      <c r="M862" s="335">
        <f>IF(ISNUMBER(SEARCH(ZAKL_DATA!$B$29,N862)),MAX($M$2:M861)+1,0)</f>
        <v>860</v>
      </c>
      <c r="N862" s="336" t="s">
        <v>3134</v>
      </c>
      <c r="O862" s="353" t="s">
        <v>3135</v>
      </c>
      <c r="P862" s="338"/>
      <c r="Q862" s="339" t="str">
        <f>IFERROR(VLOOKUP(ROWS($Q$3:Q862),$M$3:$N$992,2,0),"")</f>
        <v>Opravy a údržba kolejových vozidel</v>
      </c>
      <c r="R862">
        <f>IF(ISNUMBER(SEARCH('1Př1'!$A$33,N862)),MAX($M$2:M861)+1,0)</f>
        <v>860</v>
      </c>
      <c r="S862" s="336" t="s">
        <v>3134</v>
      </c>
      <c r="T862" t="str">
        <f>IFERROR(VLOOKUP(ROWS($T$3:T862),$R$3:$S$992,2,0),"")</f>
        <v>Opravy a údržba kolejových vozidel</v>
      </c>
      <c r="U862">
        <f>IF(ISNUMBER(SEARCH('1Př1'!$A$34,N862)),MAX($M$2:M861)+1,0)</f>
        <v>860</v>
      </c>
      <c r="V862" s="336" t="s">
        <v>3134</v>
      </c>
      <c r="W862" t="str">
        <f>IFERROR(VLOOKUP(ROWS($W$3:W862),$U$3:$V$992,2,0),"")</f>
        <v>Opravy a údržba kolejových vozidel</v>
      </c>
      <c r="X862">
        <f>IF(ISNUMBER(SEARCH('1Př1'!$A$35,N862)),MAX($M$2:M861)+1,0)</f>
        <v>860</v>
      </c>
      <c r="Y862" s="336" t="s">
        <v>3134</v>
      </c>
      <c r="Z862" t="str">
        <f>IFERROR(VLOOKUP(ROWS($Z$3:Z862),$X$3:$Y$992,2,0),"")</f>
        <v>Opravy a údržba kolejových vozidel</v>
      </c>
    </row>
    <row r="863" spans="13:26" ht="12.75">
      <c r="M863" s="335">
        <f>IF(ISNUMBER(SEARCH(ZAKL_DATA!$B$29,N863)),MAX($M$2:M862)+1,0)</f>
        <v>861</v>
      </c>
      <c r="N863" s="336" t="s">
        <v>3136</v>
      </c>
      <c r="O863" s="353" t="s">
        <v>3137</v>
      </c>
      <c r="P863" s="338"/>
      <c r="Q863" s="339" t="str">
        <f>IFERROR(VLOOKUP(ROWS($Q$3:Q863),$M$3:$N$992,2,0),"")</f>
        <v>Opravy a údržba ostat.dopr.prostředků a zařízení j.n.kromě kolej.vozidel</v>
      </c>
      <c r="R863">
        <f>IF(ISNUMBER(SEARCH('1Př1'!$A$33,N863)),MAX($M$2:M862)+1,0)</f>
        <v>861</v>
      </c>
      <c r="S863" s="336" t="s">
        <v>3136</v>
      </c>
      <c r="T863" t="str">
        <f>IFERROR(VLOOKUP(ROWS($T$3:T863),$R$3:$S$992,2,0),"")</f>
        <v>Opravy a údržba ostat.dopr.prostředků a zařízení j.n.kromě kolej.vozidel</v>
      </c>
      <c r="U863">
        <f>IF(ISNUMBER(SEARCH('1Př1'!$A$34,N863)),MAX($M$2:M862)+1,0)</f>
        <v>861</v>
      </c>
      <c r="V863" s="336" t="s">
        <v>3136</v>
      </c>
      <c r="W863" t="str">
        <f>IFERROR(VLOOKUP(ROWS($W$3:W863),$U$3:$V$992,2,0),"")</f>
        <v>Opravy a údržba ostat.dopr.prostředků a zařízení j.n.kromě kolej.vozidel</v>
      </c>
      <c r="X863">
        <f>IF(ISNUMBER(SEARCH('1Př1'!$A$35,N863)),MAX($M$2:M862)+1,0)</f>
        <v>861</v>
      </c>
      <c r="Y863" s="336" t="s">
        <v>3136</v>
      </c>
      <c r="Z863" t="str">
        <f>IFERROR(VLOOKUP(ROWS($Z$3:Z863),$X$3:$Y$992,2,0),"")</f>
        <v>Opravy a údržba ostat.dopr.prostředků a zařízení j.n.kromě kolej.vozidel</v>
      </c>
    </row>
    <row r="864" spans="13:26" ht="12.75">
      <c r="M864" s="335">
        <f>IF(ISNUMBER(SEARCH(ZAKL_DATA!$B$29,N864)),MAX($M$2:M863)+1,0)</f>
        <v>862</v>
      </c>
      <c r="N864" s="336" t="s">
        <v>3138</v>
      </c>
      <c r="O864" s="353" t="s">
        <v>1869</v>
      </c>
      <c r="P864" s="338"/>
      <c r="Q864" s="339" t="str">
        <f>IFERROR(VLOOKUP(ROWS($Q$3:Q864),$M$3:$N$992,2,0),"")</f>
        <v>Výroba a rozvod tepla a klimatizovaného vzduchu,výroba ledu</v>
      </c>
      <c r="R864">
        <f>IF(ISNUMBER(SEARCH('1Př1'!$A$33,N864)),MAX($M$2:M863)+1,0)</f>
        <v>862</v>
      </c>
      <c r="S864" s="336" t="s">
        <v>3138</v>
      </c>
      <c r="T864" t="str">
        <f>IFERROR(VLOOKUP(ROWS($T$3:T864),$R$3:$S$992,2,0),"")</f>
        <v>Výroba a rozvod tepla a klimatizovaného vzduchu,výroba ledu</v>
      </c>
      <c r="U864">
        <f>IF(ISNUMBER(SEARCH('1Př1'!$A$34,N864)),MAX($M$2:M863)+1,0)</f>
        <v>862</v>
      </c>
      <c r="V864" s="336" t="s">
        <v>3138</v>
      </c>
      <c r="W864" t="str">
        <f>IFERROR(VLOOKUP(ROWS($W$3:W864),$U$3:$V$992,2,0),"")</f>
        <v>Výroba a rozvod tepla a klimatizovaného vzduchu,výroba ledu</v>
      </c>
      <c r="X864">
        <f>IF(ISNUMBER(SEARCH('1Př1'!$A$35,N864)),MAX($M$2:M863)+1,0)</f>
        <v>862</v>
      </c>
      <c r="Y864" s="336" t="s">
        <v>3138</v>
      </c>
      <c r="Z864" t="str">
        <f>IFERROR(VLOOKUP(ROWS($Z$3:Z864),$X$3:$Y$992,2,0),"")</f>
        <v>Výroba a rozvod tepla a klimatizovaného vzduchu,výroba ledu</v>
      </c>
    </row>
    <row r="865" spans="13:26" ht="12.75">
      <c r="M865" s="335">
        <f>IF(ISNUMBER(SEARCH(ZAKL_DATA!$B$29,N865)),MAX($M$2:M864)+1,0)</f>
        <v>863</v>
      </c>
      <c r="N865" s="336" t="s">
        <v>3139</v>
      </c>
      <c r="O865" s="353" t="s">
        <v>3140</v>
      </c>
      <c r="P865" s="338"/>
      <c r="Q865" s="339" t="str">
        <f>IFERROR(VLOOKUP(ROWS($Q$3:Q865),$M$3:$N$992,2,0),"")</f>
        <v>Výroba tepla</v>
      </c>
      <c r="R865">
        <f>IF(ISNUMBER(SEARCH('1Př1'!$A$33,N865)),MAX($M$2:M864)+1,0)</f>
        <v>863</v>
      </c>
      <c r="S865" s="336" t="s">
        <v>3139</v>
      </c>
      <c r="T865" t="str">
        <f>IFERROR(VLOOKUP(ROWS($T$3:T865),$R$3:$S$992,2,0),"")</f>
        <v>Výroba tepla</v>
      </c>
      <c r="U865">
        <f>IF(ISNUMBER(SEARCH('1Př1'!$A$34,N865)),MAX($M$2:M864)+1,0)</f>
        <v>863</v>
      </c>
      <c r="V865" s="336" t="s">
        <v>3139</v>
      </c>
      <c r="W865" t="str">
        <f>IFERROR(VLOOKUP(ROWS($W$3:W865),$U$3:$V$992,2,0),"")</f>
        <v>Výroba tepla</v>
      </c>
      <c r="X865">
        <f>IF(ISNUMBER(SEARCH('1Př1'!$A$35,N865)),MAX($M$2:M864)+1,0)</f>
        <v>863</v>
      </c>
      <c r="Y865" s="336" t="s">
        <v>3139</v>
      </c>
      <c r="Z865" t="str">
        <f>IFERROR(VLOOKUP(ROWS($Z$3:Z865),$X$3:$Y$992,2,0),"")</f>
        <v>Výroba tepla</v>
      </c>
    </row>
    <row r="866" spans="13:26" ht="12.75">
      <c r="M866" s="335">
        <f>IF(ISNUMBER(SEARCH(ZAKL_DATA!$B$29,N866)),MAX($M$2:M865)+1,0)</f>
        <v>864</v>
      </c>
      <c r="N866" s="336" t="s">
        <v>3141</v>
      </c>
      <c r="O866" s="353" t="s">
        <v>3142</v>
      </c>
      <c r="P866" s="338"/>
      <c r="Q866" s="339" t="str">
        <f>IFERROR(VLOOKUP(ROWS($Q$3:Q866),$M$3:$N$992,2,0),"")</f>
        <v>Rozvod tepla</v>
      </c>
      <c r="R866">
        <f>IF(ISNUMBER(SEARCH('1Př1'!$A$33,N866)),MAX($M$2:M865)+1,0)</f>
        <v>864</v>
      </c>
      <c r="S866" s="336" t="s">
        <v>3141</v>
      </c>
      <c r="T866" t="str">
        <f>IFERROR(VLOOKUP(ROWS($T$3:T866),$R$3:$S$992,2,0),"")</f>
        <v>Rozvod tepla</v>
      </c>
      <c r="U866">
        <f>IF(ISNUMBER(SEARCH('1Př1'!$A$34,N866)),MAX($M$2:M865)+1,0)</f>
        <v>864</v>
      </c>
      <c r="V866" s="336" t="s">
        <v>3141</v>
      </c>
      <c r="W866" t="str">
        <f>IFERROR(VLOOKUP(ROWS($W$3:W866),$U$3:$V$992,2,0),"")</f>
        <v>Rozvod tepla</v>
      </c>
      <c r="X866">
        <f>IF(ISNUMBER(SEARCH('1Př1'!$A$35,N866)),MAX($M$2:M865)+1,0)</f>
        <v>864</v>
      </c>
      <c r="Y866" s="336" t="s">
        <v>3141</v>
      </c>
      <c r="Z866" t="str">
        <f>IFERROR(VLOOKUP(ROWS($Z$3:Z866),$X$3:$Y$992,2,0),"")</f>
        <v>Rozvod tepla</v>
      </c>
    </row>
    <row r="867" spans="13:26" ht="12.75">
      <c r="M867" s="335">
        <f>IF(ISNUMBER(SEARCH(ZAKL_DATA!$B$29,N867)),MAX($M$2:M866)+1,0)</f>
        <v>865</v>
      </c>
      <c r="N867" s="336" t="s">
        <v>3143</v>
      </c>
      <c r="O867" s="353" t="s">
        <v>3144</v>
      </c>
      <c r="P867" s="338"/>
      <c r="Q867" s="339" t="str">
        <f>IFERROR(VLOOKUP(ROWS($Q$3:Q867),$M$3:$N$992,2,0),"")</f>
        <v>Výroba klimatizovaného vzduchu</v>
      </c>
      <c r="R867">
        <f>IF(ISNUMBER(SEARCH('1Př1'!$A$33,N867)),MAX($M$2:M866)+1,0)</f>
        <v>865</v>
      </c>
      <c r="S867" s="336" t="s">
        <v>3143</v>
      </c>
      <c r="T867" t="str">
        <f>IFERROR(VLOOKUP(ROWS($T$3:T867),$R$3:$S$992,2,0),"")</f>
        <v>Výroba klimatizovaného vzduchu</v>
      </c>
      <c r="U867">
        <f>IF(ISNUMBER(SEARCH('1Př1'!$A$34,N867)),MAX($M$2:M866)+1,0)</f>
        <v>865</v>
      </c>
      <c r="V867" s="336" t="s">
        <v>3143</v>
      </c>
      <c r="W867" t="str">
        <f>IFERROR(VLOOKUP(ROWS($W$3:W867),$U$3:$V$992,2,0),"")</f>
        <v>Výroba klimatizovaného vzduchu</v>
      </c>
      <c r="X867">
        <f>IF(ISNUMBER(SEARCH('1Př1'!$A$35,N867)),MAX($M$2:M866)+1,0)</f>
        <v>865</v>
      </c>
      <c r="Y867" s="336" t="s">
        <v>3143</v>
      </c>
      <c r="Z867" t="str">
        <f>IFERROR(VLOOKUP(ROWS($Z$3:Z867),$X$3:$Y$992,2,0),"")</f>
        <v>Výroba klimatizovaného vzduchu</v>
      </c>
    </row>
    <row r="868" spans="13:26" ht="12.75">
      <c r="M868" s="335">
        <f>IF(ISNUMBER(SEARCH(ZAKL_DATA!$B$29,N868)),MAX($M$2:M867)+1,0)</f>
        <v>866</v>
      </c>
      <c r="N868" s="336" t="s">
        <v>3145</v>
      </c>
      <c r="O868" s="353" t="s">
        <v>3146</v>
      </c>
      <c r="P868" s="338"/>
      <c r="Q868" s="339" t="str">
        <f>IFERROR(VLOOKUP(ROWS($Q$3:Q868),$M$3:$N$992,2,0),"")</f>
        <v>Rozvod klimatizovaného vzduchu</v>
      </c>
      <c r="R868">
        <f>IF(ISNUMBER(SEARCH('1Př1'!$A$33,N868)),MAX($M$2:M867)+1,0)</f>
        <v>866</v>
      </c>
      <c r="S868" s="336" t="s">
        <v>3145</v>
      </c>
      <c r="T868" t="str">
        <f>IFERROR(VLOOKUP(ROWS($T$3:T868),$R$3:$S$992,2,0),"")</f>
        <v>Rozvod klimatizovaného vzduchu</v>
      </c>
      <c r="U868">
        <f>IF(ISNUMBER(SEARCH('1Př1'!$A$34,N868)),MAX($M$2:M867)+1,0)</f>
        <v>866</v>
      </c>
      <c r="V868" s="336" t="s">
        <v>3145</v>
      </c>
      <c r="W868" t="str">
        <f>IFERROR(VLOOKUP(ROWS($W$3:W868),$U$3:$V$992,2,0),"")</f>
        <v>Rozvod klimatizovaného vzduchu</v>
      </c>
      <c r="X868">
        <f>IF(ISNUMBER(SEARCH('1Př1'!$A$35,N868)),MAX($M$2:M867)+1,0)</f>
        <v>866</v>
      </c>
      <c r="Y868" s="336" t="s">
        <v>3145</v>
      </c>
      <c r="Z868" t="str">
        <f>IFERROR(VLOOKUP(ROWS($Z$3:Z868),$X$3:$Y$992,2,0),"")</f>
        <v>Rozvod klimatizovaného vzduchu</v>
      </c>
    </row>
    <row r="869" spans="13:26" ht="12.75">
      <c r="M869" s="335">
        <f>IF(ISNUMBER(SEARCH(ZAKL_DATA!$B$29,N869)),MAX($M$2:M868)+1,0)</f>
        <v>867</v>
      </c>
      <c r="N869" s="336" t="s">
        <v>3147</v>
      </c>
      <c r="O869" s="353" t="s">
        <v>3148</v>
      </c>
      <c r="P869" s="338"/>
      <c r="Q869" s="339" t="str">
        <f>IFERROR(VLOOKUP(ROWS($Q$3:Q869),$M$3:$N$992,2,0),"")</f>
        <v>Výroba chladicí vody</v>
      </c>
      <c r="R869">
        <f>IF(ISNUMBER(SEARCH('1Př1'!$A$33,N869)),MAX($M$2:M868)+1,0)</f>
        <v>867</v>
      </c>
      <c r="S869" s="336" t="s">
        <v>3147</v>
      </c>
      <c r="T869" t="str">
        <f>IFERROR(VLOOKUP(ROWS($T$3:T869),$R$3:$S$992,2,0),"")</f>
        <v>Výroba chladicí vody</v>
      </c>
      <c r="U869">
        <f>IF(ISNUMBER(SEARCH('1Př1'!$A$34,N869)),MAX($M$2:M868)+1,0)</f>
        <v>867</v>
      </c>
      <c r="V869" s="336" t="s">
        <v>3147</v>
      </c>
      <c r="W869" t="str">
        <f>IFERROR(VLOOKUP(ROWS($W$3:W869),$U$3:$V$992,2,0),"")</f>
        <v>Výroba chladicí vody</v>
      </c>
      <c r="X869">
        <f>IF(ISNUMBER(SEARCH('1Př1'!$A$35,N869)),MAX($M$2:M868)+1,0)</f>
        <v>867</v>
      </c>
      <c r="Y869" s="336" t="s">
        <v>3147</v>
      </c>
      <c r="Z869" t="str">
        <f>IFERROR(VLOOKUP(ROWS($Z$3:Z869),$X$3:$Y$992,2,0),"")</f>
        <v>Výroba chladicí vody</v>
      </c>
    </row>
    <row r="870" spans="13:26" ht="12.75">
      <c r="M870" s="335">
        <f>IF(ISNUMBER(SEARCH(ZAKL_DATA!$B$29,N870)),MAX($M$2:M869)+1,0)</f>
        <v>868</v>
      </c>
      <c r="N870" s="336" t="s">
        <v>3149</v>
      </c>
      <c r="O870" s="353" t="s">
        <v>3150</v>
      </c>
      <c r="P870" s="338"/>
      <c r="Q870" s="339" t="str">
        <f>IFERROR(VLOOKUP(ROWS($Q$3:Q870),$M$3:$N$992,2,0),"")</f>
        <v>Rozvod chladicí vody</v>
      </c>
      <c r="R870">
        <f>IF(ISNUMBER(SEARCH('1Př1'!$A$33,N870)),MAX($M$2:M869)+1,0)</f>
        <v>868</v>
      </c>
      <c r="S870" s="336" t="s">
        <v>3149</v>
      </c>
      <c r="T870" t="str">
        <f>IFERROR(VLOOKUP(ROWS($T$3:T870),$R$3:$S$992,2,0),"")</f>
        <v>Rozvod chladicí vody</v>
      </c>
      <c r="U870">
        <f>IF(ISNUMBER(SEARCH('1Př1'!$A$34,N870)),MAX($M$2:M869)+1,0)</f>
        <v>868</v>
      </c>
      <c r="V870" s="336" t="s">
        <v>3149</v>
      </c>
      <c r="W870" t="str">
        <f>IFERROR(VLOOKUP(ROWS($W$3:W870),$U$3:$V$992,2,0),"")</f>
        <v>Rozvod chladicí vody</v>
      </c>
      <c r="X870">
        <f>IF(ISNUMBER(SEARCH('1Př1'!$A$35,N870)),MAX($M$2:M869)+1,0)</f>
        <v>868</v>
      </c>
      <c r="Y870" s="336" t="s">
        <v>3149</v>
      </c>
      <c r="Z870" t="str">
        <f>IFERROR(VLOOKUP(ROWS($Z$3:Z870),$X$3:$Y$992,2,0),"")</f>
        <v>Rozvod chladicí vody</v>
      </c>
    </row>
    <row r="871" spans="13:26" ht="12.75">
      <c r="M871" s="335">
        <f>IF(ISNUMBER(SEARCH(ZAKL_DATA!$B$29,N871)),MAX($M$2:M870)+1,0)</f>
        <v>869</v>
      </c>
      <c r="N871" s="336" t="s">
        <v>3151</v>
      </c>
      <c r="O871" s="353" t="s">
        <v>3152</v>
      </c>
      <c r="P871" s="338"/>
      <c r="Q871" s="339" t="str">
        <f>IFERROR(VLOOKUP(ROWS($Q$3:Q871),$M$3:$N$992,2,0),"")</f>
        <v>Výroba ledu</v>
      </c>
      <c r="R871">
        <f>IF(ISNUMBER(SEARCH('1Př1'!$A$33,N871)),MAX($M$2:M870)+1,0)</f>
        <v>869</v>
      </c>
      <c r="S871" s="336" t="s">
        <v>3151</v>
      </c>
      <c r="T871" t="str">
        <f>IFERROR(VLOOKUP(ROWS($T$3:T871),$R$3:$S$992,2,0),"")</f>
        <v>Výroba ledu</v>
      </c>
      <c r="U871">
        <f>IF(ISNUMBER(SEARCH('1Př1'!$A$34,N871)),MAX($M$2:M870)+1,0)</f>
        <v>869</v>
      </c>
      <c r="V871" s="336" t="s">
        <v>3151</v>
      </c>
      <c r="W871" t="str">
        <f>IFERROR(VLOOKUP(ROWS($W$3:W871),$U$3:$V$992,2,0),"")</f>
        <v>Výroba ledu</v>
      </c>
      <c r="X871">
        <f>IF(ISNUMBER(SEARCH('1Př1'!$A$35,N871)),MAX($M$2:M870)+1,0)</f>
        <v>869</v>
      </c>
      <c r="Y871" s="336" t="s">
        <v>3151</v>
      </c>
      <c r="Z871" t="str">
        <f>IFERROR(VLOOKUP(ROWS($Z$3:Z871),$X$3:$Y$992,2,0),"")</f>
        <v>Výroba ledu</v>
      </c>
    </row>
    <row r="872" spans="13:26" ht="12.75">
      <c r="M872" s="335">
        <f>IF(ISNUMBER(SEARCH(ZAKL_DATA!$B$29,N872)),MAX($M$2:M871)+1,0)</f>
        <v>870</v>
      </c>
      <c r="N872" s="336" t="s">
        <v>3153</v>
      </c>
      <c r="O872" s="353" t="s">
        <v>3154</v>
      </c>
      <c r="P872" s="338"/>
      <c r="Q872" s="339" t="str">
        <f>IFERROR(VLOOKUP(ROWS($Q$3:Q872),$M$3:$N$992,2,0),"")</f>
        <v>Výstavba nebytových budov</v>
      </c>
      <c r="R872">
        <f>IF(ISNUMBER(SEARCH('1Př1'!$A$33,N872)),MAX($M$2:M871)+1,0)</f>
        <v>870</v>
      </c>
      <c r="S872" s="336" t="s">
        <v>3153</v>
      </c>
      <c r="T872" t="str">
        <f>IFERROR(VLOOKUP(ROWS($T$3:T872),$R$3:$S$992,2,0),"")</f>
        <v>Výstavba nebytových budov</v>
      </c>
      <c r="U872">
        <f>IF(ISNUMBER(SEARCH('1Př1'!$A$34,N872)),MAX($M$2:M871)+1,0)</f>
        <v>870</v>
      </c>
      <c r="V872" s="336" t="s">
        <v>3153</v>
      </c>
      <c r="W872" t="str">
        <f>IFERROR(VLOOKUP(ROWS($W$3:W872),$U$3:$V$992,2,0),"")</f>
        <v>Výstavba nebytových budov</v>
      </c>
      <c r="X872">
        <f>IF(ISNUMBER(SEARCH('1Př1'!$A$35,N872)),MAX($M$2:M871)+1,0)</f>
        <v>870</v>
      </c>
      <c r="Y872" s="336" t="s">
        <v>3153</v>
      </c>
      <c r="Z872" t="str">
        <f>IFERROR(VLOOKUP(ROWS($Z$3:Z872),$X$3:$Y$992,2,0),"")</f>
        <v>Výstavba nebytových budov</v>
      </c>
    </row>
    <row r="873" spans="13:26" ht="12.75">
      <c r="M873" s="335">
        <f>IF(ISNUMBER(SEARCH(ZAKL_DATA!$B$29,N873)),MAX($M$2:M872)+1,0)</f>
        <v>871</v>
      </c>
      <c r="N873" s="336" t="s">
        <v>3155</v>
      </c>
      <c r="O873" s="353" t="s">
        <v>3156</v>
      </c>
      <c r="P873" s="338"/>
      <c r="Q873" s="339" t="str">
        <f>IFERROR(VLOOKUP(ROWS($Q$3:Q873),$M$3:$N$992,2,0),"")</f>
        <v>Výstavba inženýrských sítí pro kapaliny</v>
      </c>
      <c r="R873">
        <f>IF(ISNUMBER(SEARCH('1Př1'!$A$33,N873)),MAX($M$2:M872)+1,0)</f>
        <v>871</v>
      </c>
      <c r="S873" s="336" t="s">
        <v>3155</v>
      </c>
      <c r="T873" t="str">
        <f>IFERROR(VLOOKUP(ROWS($T$3:T873),$R$3:$S$992,2,0),"")</f>
        <v>Výstavba inženýrských sítí pro kapaliny</v>
      </c>
      <c r="U873">
        <f>IF(ISNUMBER(SEARCH('1Př1'!$A$34,N873)),MAX($M$2:M872)+1,0)</f>
        <v>871</v>
      </c>
      <c r="V873" s="336" t="s">
        <v>3155</v>
      </c>
      <c r="W873" t="str">
        <f>IFERROR(VLOOKUP(ROWS($W$3:W873),$U$3:$V$992,2,0),"")</f>
        <v>Výstavba inženýrských sítí pro kapaliny</v>
      </c>
      <c r="X873">
        <f>IF(ISNUMBER(SEARCH('1Př1'!$A$35,N873)),MAX($M$2:M872)+1,0)</f>
        <v>871</v>
      </c>
      <c r="Y873" s="336" t="s">
        <v>3155</v>
      </c>
      <c r="Z873" t="str">
        <f>IFERROR(VLOOKUP(ROWS($Z$3:Z873),$X$3:$Y$992,2,0),"")</f>
        <v>Výstavba inženýrských sítí pro kapaliny</v>
      </c>
    </row>
    <row r="874" spans="13:26" ht="12.75">
      <c r="M874" s="335">
        <f>IF(ISNUMBER(SEARCH(ZAKL_DATA!$B$29,N874)),MAX($M$2:M873)+1,0)</f>
        <v>872</v>
      </c>
      <c r="N874" s="336" t="s">
        <v>3157</v>
      </c>
      <c r="O874" s="353" t="s">
        <v>3158</v>
      </c>
      <c r="P874" s="338"/>
      <c r="Q874" s="339" t="str">
        <f>IFERROR(VLOOKUP(ROWS($Q$3:Q874),$M$3:$N$992,2,0),"")</f>
        <v>Výstavba inženýrských sítí pro plyny</v>
      </c>
      <c r="R874">
        <f>IF(ISNUMBER(SEARCH('1Př1'!$A$33,N874)),MAX($M$2:M873)+1,0)</f>
        <v>872</v>
      </c>
      <c r="S874" s="336" t="s">
        <v>3157</v>
      </c>
      <c r="T874" t="str">
        <f>IFERROR(VLOOKUP(ROWS($T$3:T874),$R$3:$S$992,2,0),"")</f>
        <v>Výstavba inženýrských sítí pro plyny</v>
      </c>
      <c r="U874">
        <f>IF(ISNUMBER(SEARCH('1Př1'!$A$34,N874)),MAX($M$2:M873)+1,0)</f>
        <v>872</v>
      </c>
      <c r="V874" s="336" t="s">
        <v>3157</v>
      </c>
      <c r="W874" t="str">
        <f>IFERROR(VLOOKUP(ROWS($W$3:W874),$U$3:$V$992,2,0),"")</f>
        <v>Výstavba inženýrských sítí pro plyny</v>
      </c>
      <c r="X874">
        <f>IF(ISNUMBER(SEARCH('1Př1'!$A$35,N874)),MAX($M$2:M873)+1,0)</f>
        <v>872</v>
      </c>
      <c r="Y874" s="336" t="s">
        <v>3157</v>
      </c>
      <c r="Z874" t="str">
        <f>IFERROR(VLOOKUP(ROWS($Z$3:Z874),$X$3:$Y$992,2,0),"")</f>
        <v>Výstavba inženýrských sítí pro plyny</v>
      </c>
    </row>
    <row r="875" spans="13:26" ht="12.75">
      <c r="M875" s="335">
        <f>IF(ISNUMBER(SEARCH(ZAKL_DATA!$B$29,N875)),MAX($M$2:M874)+1,0)</f>
        <v>873</v>
      </c>
      <c r="N875" s="336" t="s">
        <v>3159</v>
      </c>
      <c r="O875" s="353" t="s">
        <v>3160</v>
      </c>
      <c r="P875" s="338"/>
      <c r="Q875" s="339" t="str">
        <f>IFERROR(VLOOKUP(ROWS($Q$3:Q875),$M$3:$N$992,2,0),"")</f>
        <v>Sklenářské práce</v>
      </c>
      <c r="R875">
        <f>IF(ISNUMBER(SEARCH('1Př1'!$A$33,N875)),MAX($M$2:M874)+1,0)</f>
        <v>873</v>
      </c>
      <c r="S875" s="336" t="s">
        <v>3159</v>
      </c>
      <c r="T875" t="str">
        <f>IFERROR(VLOOKUP(ROWS($T$3:T875),$R$3:$S$992,2,0),"")</f>
        <v>Sklenářské práce</v>
      </c>
      <c r="U875">
        <f>IF(ISNUMBER(SEARCH('1Př1'!$A$34,N875)),MAX($M$2:M874)+1,0)</f>
        <v>873</v>
      </c>
      <c r="V875" s="336" t="s">
        <v>3159</v>
      </c>
      <c r="W875" t="str">
        <f>IFERROR(VLOOKUP(ROWS($W$3:W875),$U$3:$V$992,2,0),"")</f>
        <v>Sklenářské práce</v>
      </c>
      <c r="X875">
        <f>IF(ISNUMBER(SEARCH('1Př1'!$A$35,N875)),MAX($M$2:M874)+1,0)</f>
        <v>873</v>
      </c>
      <c r="Y875" s="336" t="s">
        <v>3159</v>
      </c>
      <c r="Z875" t="str">
        <f>IFERROR(VLOOKUP(ROWS($Z$3:Z875),$X$3:$Y$992,2,0),"")</f>
        <v>Sklenářské práce</v>
      </c>
    </row>
    <row r="876" spans="13:26" ht="12.75">
      <c r="M876" s="335">
        <f>IF(ISNUMBER(SEARCH(ZAKL_DATA!$B$29,N876)),MAX($M$2:M875)+1,0)</f>
        <v>874</v>
      </c>
      <c r="N876" s="336" t="s">
        <v>3161</v>
      </c>
      <c r="O876" s="353" t="s">
        <v>3162</v>
      </c>
      <c r="P876" s="338"/>
      <c r="Q876" s="339" t="str">
        <f>IFERROR(VLOOKUP(ROWS($Q$3:Q876),$M$3:$N$992,2,0),"")</f>
        <v>Malířské a natěračské práce</v>
      </c>
      <c r="R876">
        <f>IF(ISNUMBER(SEARCH('1Př1'!$A$33,N876)),MAX($M$2:M875)+1,0)</f>
        <v>874</v>
      </c>
      <c r="S876" s="336" t="s">
        <v>3161</v>
      </c>
      <c r="T876" t="str">
        <f>IFERROR(VLOOKUP(ROWS($T$3:T876),$R$3:$S$992,2,0),"")</f>
        <v>Malířské a natěračské práce</v>
      </c>
      <c r="U876">
        <f>IF(ISNUMBER(SEARCH('1Př1'!$A$34,N876)),MAX($M$2:M875)+1,0)</f>
        <v>874</v>
      </c>
      <c r="V876" s="336" t="s">
        <v>3161</v>
      </c>
      <c r="W876" t="str">
        <f>IFERROR(VLOOKUP(ROWS($W$3:W876),$U$3:$V$992,2,0),"")</f>
        <v>Malířské a natěračské práce</v>
      </c>
      <c r="X876">
        <f>IF(ISNUMBER(SEARCH('1Př1'!$A$35,N876)),MAX($M$2:M875)+1,0)</f>
        <v>874</v>
      </c>
      <c r="Y876" s="336" t="s">
        <v>3161</v>
      </c>
      <c r="Z876" t="str">
        <f>IFERROR(VLOOKUP(ROWS($Z$3:Z876),$X$3:$Y$992,2,0),"")</f>
        <v>Malířské a natěračské práce</v>
      </c>
    </row>
    <row r="877" spans="13:26" ht="12.75">
      <c r="M877" s="335">
        <f>IF(ISNUMBER(SEARCH(ZAKL_DATA!$B$29,N877)),MAX($M$2:M876)+1,0)</f>
        <v>875</v>
      </c>
      <c r="N877" s="336" t="s">
        <v>3163</v>
      </c>
      <c r="O877" s="353" t="s">
        <v>3164</v>
      </c>
      <c r="P877" s="338"/>
      <c r="Q877" s="339" t="str">
        <f>IFERROR(VLOOKUP(ROWS($Q$3:Q877),$M$3:$N$992,2,0),"")</f>
        <v>Montáž a demontáž lešení a bednění</v>
      </c>
      <c r="R877">
        <f>IF(ISNUMBER(SEARCH('1Př1'!$A$33,N877)),MAX($M$2:M876)+1,0)</f>
        <v>875</v>
      </c>
      <c r="S877" s="336" t="s">
        <v>3163</v>
      </c>
      <c r="T877" t="str">
        <f>IFERROR(VLOOKUP(ROWS($T$3:T877),$R$3:$S$992,2,0),"")</f>
        <v>Montáž a demontáž lešení a bednění</v>
      </c>
      <c r="U877">
        <f>IF(ISNUMBER(SEARCH('1Př1'!$A$34,N877)),MAX($M$2:M876)+1,0)</f>
        <v>875</v>
      </c>
      <c r="V877" s="336" t="s">
        <v>3163</v>
      </c>
      <c r="W877" t="str">
        <f>IFERROR(VLOOKUP(ROWS($W$3:W877),$U$3:$V$992,2,0),"")</f>
        <v>Montáž a demontáž lešení a bednění</v>
      </c>
      <c r="X877">
        <f>IF(ISNUMBER(SEARCH('1Př1'!$A$35,N877)),MAX($M$2:M876)+1,0)</f>
        <v>875</v>
      </c>
      <c r="Y877" s="336" t="s">
        <v>3163</v>
      </c>
      <c r="Z877" t="str">
        <f>IFERROR(VLOOKUP(ROWS($Z$3:Z877),$X$3:$Y$992,2,0),"")</f>
        <v>Montáž a demontáž lešení a bednění</v>
      </c>
    </row>
    <row r="878" spans="13:26" ht="12.75">
      <c r="M878" s="335">
        <f>IF(ISNUMBER(SEARCH(ZAKL_DATA!$B$29,N878)),MAX($M$2:M877)+1,0)</f>
        <v>876</v>
      </c>
      <c r="N878" s="336" t="s">
        <v>3165</v>
      </c>
      <c r="O878" s="353" t="s">
        <v>3166</v>
      </c>
      <c r="P878" s="338"/>
      <c r="Q878" s="339" t="str">
        <f>IFERROR(VLOOKUP(ROWS($Q$3:Q878),$M$3:$N$992,2,0),"")</f>
        <v>Jiné specializované stavební činnosti j. n.</v>
      </c>
      <c r="R878">
        <f>IF(ISNUMBER(SEARCH('1Př1'!$A$33,N878)),MAX($M$2:M877)+1,0)</f>
        <v>876</v>
      </c>
      <c r="S878" s="336" t="s">
        <v>3165</v>
      </c>
      <c r="T878" t="str">
        <f>IFERROR(VLOOKUP(ROWS($T$3:T878),$R$3:$S$992,2,0),"")</f>
        <v>Jiné specializované stavební činnosti j. n.</v>
      </c>
      <c r="U878">
        <f>IF(ISNUMBER(SEARCH('1Př1'!$A$34,N878)),MAX($M$2:M877)+1,0)</f>
        <v>876</v>
      </c>
      <c r="V878" s="336" t="s">
        <v>3165</v>
      </c>
      <c r="W878" t="str">
        <f>IFERROR(VLOOKUP(ROWS($W$3:W878),$U$3:$V$992,2,0),"")</f>
        <v>Jiné specializované stavební činnosti j. n.</v>
      </c>
      <c r="X878">
        <f>IF(ISNUMBER(SEARCH('1Př1'!$A$35,N878)),MAX($M$2:M877)+1,0)</f>
        <v>876</v>
      </c>
      <c r="Y878" s="336" t="s">
        <v>3165</v>
      </c>
      <c r="Z878" t="str">
        <f>IFERROR(VLOOKUP(ROWS($Z$3:Z878),$X$3:$Y$992,2,0),"")</f>
        <v>Jiné specializované stavební činnosti j. n.</v>
      </c>
    </row>
    <row r="879" spans="13:26" ht="12.75">
      <c r="M879" s="335">
        <f>IF(ISNUMBER(SEARCH(ZAKL_DATA!$B$29,N879)),MAX($M$2:M878)+1,0)</f>
        <v>877</v>
      </c>
      <c r="N879" s="336" t="s">
        <v>3167</v>
      </c>
      <c r="O879" s="353" t="s">
        <v>3168</v>
      </c>
      <c r="P879" s="338"/>
      <c r="Q879" s="339" t="str">
        <f>IFERROR(VLOOKUP(ROWS($Q$3:Q879),$M$3:$N$992,2,0),"")</f>
        <v>Zprostředkování velkoobchodu a velkoobchod v zastoupení s papír.výrobky</v>
      </c>
      <c r="R879">
        <f>IF(ISNUMBER(SEARCH('1Př1'!$A$33,N879)),MAX($M$2:M878)+1,0)</f>
        <v>877</v>
      </c>
      <c r="S879" s="336" t="s">
        <v>3167</v>
      </c>
      <c r="T879" t="str">
        <f>IFERROR(VLOOKUP(ROWS($T$3:T879),$R$3:$S$992,2,0),"")</f>
        <v>Zprostředkování velkoobchodu a velkoobchod v zastoupení s papír.výrobky</v>
      </c>
      <c r="U879">
        <f>IF(ISNUMBER(SEARCH('1Př1'!$A$34,N879)),MAX($M$2:M878)+1,0)</f>
        <v>877</v>
      </c>
      <c r="V879" s="336" t="s">
        <v>3167</v>
      </c>
      <c r="W879" t="str">
        <f>IFERROR(VLOOKUP(ROWS($W$3:W879),$U$3:$V$992,2,0),"")</f>
        <v>Zprostředkování velkoobchodu a velkoobchod v zastoupení s papír.výrobky</v>
      </c>
      <c r="X879">
        <f>IF(ISNUMBER(SEARCH('1Př1'!$A$35,N879)),MAX($M$2:M878)+1,0)</f>
        <v>877</v>
      </c>
      <c r="Y879" s="336" t="s">
        <v>3167</v>
      </c>
      <c r="Z879" t="str">
        <f>IFERROR(VLOOKUP(ROWS($Z$3:Z879),$X$3:$Y$992,2,0),"")</f>
        <v>Zprostředkování velkoobchodu a velkoobchod v zastoupení s papír.výrobky</v>
      </c>
    </row>
    <row r="880" spans="13:26" ht="12.75">
      <c r="M880" s="335">
        <f>IF(ISNUMBER(SEARCH(ZAKL_DATA!$B$29,N880)),MAX($M$2:M879)+1,0)</f>
        <v>878</v>
      </c>
      <c r="N880" s="336" t="s">
        <v>3169</v>
      </c>
      <c r="O880" s="353" t="s">
        <v>3170</v>
      </c>
      <c r="P880" s="338"/>
      <c r="Q880" s="339" t="str">
        <f>IFERROR(VLOOKUP(ROWS($Q$3:Q880),$M$3:$N$992,2,0),"")</f>
        <v>Zprostř.specializ.velkoobchodu a velkoobchod v zast.s ost.výrobky j.n.</v>
      </c>
      <c r="R880">
        <f>IF(ISNUMBER(SEARCH('1Př1'!$A$33,N880)),MAX($M$2:M879)+1,0)</f>
        <v>878</v>
      </c>
      <c r="S880" s="336" t="s">
        <v>3169</v>
      </c>
      <c r="T880" t="str">
        <f>IFERROR(VLOOKUP(ROWS($T$3:T880),$R$3:$S$992,2,0),"")</f>
        <v>Zprostř.specializ.velkoobchodu a velkoobchod v zast.s ost.výrobky j.n.</v>
      </c>
      <c r="U880">
        <f>IF(ISNUMBER(SEARCH('1Př1'!$A$34,N880)),MAX($M$2:M879)+1,0)</f>
        <v>878</v>
      </c>
      <c r="V880" s="336" t="s">
        <v>3169</v>
      </c>
      <c r="W880" t="str">
        <f>IFERROR(VLOOKUP(ROWS($W$3:W880),$U$3:$V$992,2,0),"")</f>
        <v>Zprostř.specializ.velkoobchodu a velkoobchod v zast.s ost.výrobky j.n.</v>
      </c>
      <c r="X880">
        <f>IF(ISNUMBER(SEARCH('1Př1'!$A$35,N880)),MAX($M$2:M879)+1,0)</f>
        <v>878</v>
      </c>
      <c r="Y880" s="336" t="s">
        <v>3169</v>
      </c>
      <c r="Z880" t="str">
        <f>IFERROR(VLOOKUP(ROWS($Z$3:Z880),$X$3:$Y$992,2,0),"")</f>
        <v>Zprostř.specializ.velkoobchodu a velkoobchod v zast.s ost.výrobky j.n.</v>
      </c>
    </row>
    <row r="881" spans="13:26" ht="12.75">
      <c r="M881" s="335">
        <f>IF(ISNUMBER(SEARCH(ZAKL_DATA!$B$29,N881)),MAX($M$2:M880)+1,0)</f>
        <v>879</v>
      </c>
      <c r="N881" s="336" t="s">
        <v>3171</v>
      </c>
      <c r="O881" s="353" t="s">
        <v>3172</v>
      </c>
      <c r="P881" s="338"/>
      <c r="Q881" s="339" t="str">
        <f>IFERROR(VLOOKUP(ROWS($Q$3:Q881),$M$3:$N$992,2,0),"")</f>
        <v>Velkoobchod s oděvy</v>
      </c>
      <c r="R881">
        <f>IF(ISNUMBER(SEARCH('1Př1'!$A$33,N881)),MAX($M$2:M880)+1,0)</f>
        <v>879</v>
      </c>
      <c r="S881" s="336" t="s">
        <v>3171</v>
      </c>
      <c r="T881" t="str">
        <f>IFERROR(VLOOKUP(ROWS($T$3:T881),$R$3:$S$992,2,0),"")</f>
        <v>Velkoobchod s oděvy</v>
      </c>
      <c r="U881">
        <f>IF(ISNUMBER(SEARCH('1Př1'!$A$34,N881)),MAX($M$2:M880)+1,0)</f>
        <v>879</v>
      </c>
      <c r="V881" s="336" t="s">
        <v>3171</v>
      </c>
      <c r="W881" t="str">
        <f>IFERROR(VLOOKUP(ROWS($W$3:W881),$U$3:$V$992,2,0),"")</f>
        <v>Velkoobchod s oděvy</v>
      </c>
      <c r="X881">
        <f>IF(ISNUMBER(SEARCH('1Př1'!$A$35,N881)),MAX($M$2:M880)+1,0)</f>
        <v>879</v>
      </c>
      <c r="Y881" s="336" t="s">
        <v>3171</v>
      </c>
      <c r="Z881" t="str">
        <f>IFERROR(VLOOKUP(ROWS($Z$3:Z881),$X$3:$Y$992,2,0),"")</f>
        <v>Velkoobchod s oděvy</v>
      </c>
    </row>
    <row r="882" spans="13:26" ht="12.75">
      <c r="M882" s="335">
        <f>IF(ISNUMBER(SEARCH(ZAKL_DATA!$B$29,N882)),MAX($M$2:M881)+1,0)</f>
        <v>880</v>
      </c>
      <c r="N882" s="336" t="s">
        <v>3173</v>
      </c>
      <c r="O882" s="353" t="s">
        <v>3174</v>
      </c>
      <c r="P882" s="338"/>
      <c r="Q882" s="339" t="str">
        <f>IFERROR(VLOOKUP(ROWS($Q$3:Q882),$M$3:$N$992,2,0),"")</f>
        <v>Velkoobchod s obuví</v>
      </c>
      <c r="R882">
        <f>IF(ISNUMBER(SEARCH('1Př1'!$A$33,N882)),MAX($M$2:M881)+1,0)</f>
        <v>880</v>
      </c>
      <c r="S882" s="336" t="s">
        <v>3173</v>
      </c>
      <c r="T882" t="str">
        <f>IFERROR(VLOOKUP(ROWS($T$3:T882),$R$3:$S$992,2,0),"")</f>
        <v>Velkoobchod s obuví</v>
      </c>
      <c r="U882">
        <f>IF(ISNUMBER(SEARCH('1Př1'!$A$34,N882)),MAX($M$2:M881)+1,0)</f>
        <v>880</v>
      </c>
      <c r="V882" s="336" t="s">
        <v>3173</v>
      </c>
      <c r="W882" t="str">
        <f>IFERROR(VLOOKUP(ROWS($W$3:W882),$U$3:$V$992,2,0),"")</f>
        <v>Velkoobchod s obuví</v>
      </c>
      <c r="X882">
        <f>IF(ISNUMBER(SEARCH('1Př1'!$A$35,N882)),MAX($M$2:M881)+1,0)</f>
        <v>880</v>
      </c>
      <c r="Y882" s="336" t="s">
        <v>3173</v>
      </c>
      <c r="Z882" t="str">
        <f>IFERROR(VLOOKUP(ROWS($Z$3:Z882),$X$3:$Y$992,2,0),"")</f>
        <v>Velkoobchod s obuví</v>
      </c>
    </row>
    <row r="883" spans="13:26" ht="12.75">
      <c r="M883" s="335">
        <f>IF(ISNUMBER(SEARCH(ZAKL_DATA!$B$29,N883)),MAX($M$2:M882)+1,0)</f>
        <v>881</v>
      </c>
      <c r="N883" s="336" t="s">
        <v>3175</v>
      </c>
      <c r="O883" s="353" t="s">
        <v>3176</v>
      </c>
      <c r="P883" s="338"/>
      <c r="Q883" s="339" t="str">
        <f>IFERROR(VLOOKUP(ROWS($Q$3:Q883),$M$3:$N$992,2,0),"")</f>
        <v>Velkoobchod s porcelánovými, keramickými a skleněnými výrobky</v>
      </c>
      <c r="R883">
        <f>IF(ISNUMBER(SEARCH('1Př1'!$A$33,N883)),MAX($M$2:M882)+1,0)</f>
        <v>881</v>
      </c>
      <c r="S883" s="336" t="s">
        <v>3175</v>
      </c>
      <c r="T883" t="str">
        <f>IFERROR(VLOOKUP(ROWS($T$3:T883),$R$3:$S$992,2,0),"")</f>
        <v>Velkoobchod s porcelánovými, keramickými a skleněnými výrobky</v>
      </c>
      <c r="U883">
        <f>IF(ISNUMBER(SEARCH('1Př1'!$A$34,N883)),MAX($M$2:M882)+1,0)</f>
        <v>881</v>
      </c>
      <c r="V883" s="336" t="s">
        <v>3175</v>
      </c>
      <c r="W883" t="str">
        <f>IFERROR(VLOOKUP(ROWS($W$3:W883),$U$3:$V$992,2,0),"")</f>
        <v>Velkoobchod s porcelánovými, keramickými a skleněnými výrobky</v>
      </c>
      <c r="X883">
        <f>IF(ISNUMBER(SEARCH('1Př1'!$A$35,N883)),MAX($M$2:M882)+1,0)</f>
        <v>881</v>
      </c>
      <c r="Y883" s="336" t="s">
        <v>3175</v>
      </c>
      <c r="Z883" t="str">
        <f>IFERROR(VLOOKUP(ROWS($Z$3:Z883),$X$3:$Y$992,2,0),"")</f>
        <v>Velkoobchod s porcelánovými, keramickými a skleněnými výrobky</v>
      </c>
    </row>
    <row r="884" spans="13:26" ht="12.75">
      <c r="M884" s="335">
        <f>IF(ISNUMBER(SEARCH(ZAKL_DATA!$B$29,N884)),MAX($M$2:M883)+1,0)</f>
        <v>882</v>
      </c>
      <c r="N884" s="336" t="s">
        <v>3177</v>
      </c>
      <c r="O884" s="353" t="s">
        <v>3178</v>
      </c>
      <c r="P884" s="338"/>
      <c r="Q884" s="339" t="str">
        <f>IFERROR(VLOOKUP(ROWS($Q$3:Q884),$M$3:$N$992,2,0),"")</f>
        <v>Velkoobchod s pracími a čisticími prostředky</v>
      </c>
      <c r="R884">
        <f>IF(ISNUMBER(SEARCH('1Př1'!$A$33,N884)),MAX($M$2:M883)+1,0)</f>
        <v>882</v>
      </c>
      <c r="S884" s="336" t="s">
        <v>3177</v>
      </c>
      <c r="T884" t="str">
        <f>IFERROR(VLOOKUP(ROWS($T$3:T884),$R$3:$S$992,2,0),"")</f>
        <v>Velkoobchod s pracími a čisticími prostředky</v>
      </c>
      <c r="U884">
        <f>IF(ISNUMBER(SEARCH('1Př1'!$A$34,N884)),MAX($M$2:M883)+1,0)</f>
        <v>882</v>
      </c>
      <c r="V884" s="336" t="s">
        <v>3177</v>
      </c>
      <c r="W884" t="str">
        <f>IFERROR(VLOOKUP(ROWS($W$3:W884),$U$3:$V$992,2,0),"")</f>
        <v>Velkoobchod s pracími a čisticími prostředky</v>
      </c>
      <c r="X884">
        <f>IF(ISNUMBER(SEARCH('1Př1'!$A$35,N884)),MAX($M$2:M883)+1,0)</f>
        <v>882</v>
      </c>
      <c r="Y884" s="336" t="s">
        <v>3177</v>
      </c>
      <c r="Z884" t="str">
        <f>IFERROR(VLOOKUP(ROWS($Z$3:Z884),$X$3:$Y$992,2,0),"")</f>
        <v>Velkoobchod s pracími a čisticími prostředky</v>
      </c>
    </row>
    <row r="885" spans="13:26" ht="12.75">
      <c r="M885" s="335">
        <f>IF(ISNUMBER(SEARCH(ZAKL_DATA!$B$29,N885)),MAX($M$2:M884)+1,0)</f>
        <v>883</v>
      </c>
      <c r="N885" s="336" t="s">
        <v>3179</v>
      </c>
      <c r="O885" s="353" t="s">
        <v>3180</v>
      </c>
      <c r="P885" s="338"/>
      <c r="Q885" s="339" t="str">
        <f>IFERROR(VLOOKUP(ROWS($Q$3:Q885),$M$3:$N$992,2,0),"")</f>
        <v>Velkoobchod s pevnými palivy a příbuznými výrobky</v>
      </c>
      <c r="R885">
        <f>IF(ISNUMBER(SEARCH('1Př1'!$A$33,N885)),MAX($M$2:M884)+1,0)</f>
        <v>883</v>
      </c>
      <c r="S885" s="336" t="s">
        <v>3179</v>
      </c>
      <c r="T885" t="str">
        <f>IFERROR(VLOOKUP(ROWS($T$3:T885),$R$3:$S$992,2,0),"")</f>
        <v>Velkoobchod s pevnými palivy a příbuznými výrobky</v>
      </c>
      <c r="U885">
        <f>IF(ISNUMBER(SEARCH('1Př1'!$A$34,N885)),MAX($M$2:M884)+1,0)</f>
        <v>883</v>
      </c>
      <c r="V885" s="336" t="s">
        <v>3179</v>
      </c>
      <c r="W885" t="str">
        <f>IFERROR(VLOOKUP(ROWS($W$3:W885),$U$3:$V$992,2,0),"")</f>
        <v>Velkoobchod s pevnými palivy a příbuznými výrobky</v>
      </c>
      <c r="X885">
        <f>IF(ISNUMBER(SEARCH('1Př1'!$A$35,N885)),MAX($M$2:M884)+1,0)</f>
        <v>883</v>
      </c>
      <c r="Y885" s="336" t="s">
        <v>3179</v>
      </c>
      <c r="Z885" t="str">
        <f>IFERROR(VLOOKUP(ROWS($Z$3:Z885),$X$3:$Y$992,2,0),"")</f>
        <v>Velkoobchod s pevnými palivy a příbuznými výrobky</v>
      </c>
    </row>
    <row r="886" spans="13:26" ht="12.75">
      <c r="M886" s="335">
        <f>IF(ISNUMBER(SEARCH(ZAKL_DATA!$B$29,N886)),MAX($M$2:M885)+1,0)</f>
        <v>884</v>
      </c>
      <c r="N886" s="336" t="s">
        <v>3181</v>
      </c>
      <c r="O886" s="353" t="s">
        <v>3182</v>
      </c>
      <c r="P886" s="338"/>
      <c r="Q886" s="339" t="str">
        <f>IFERROR(VLOOKUP(ROWS($Q$3:Q886),$M$3:$N$992,2,0),"")</f>
        <v>Velkoobchod s kapalnými palivy a příbuznými výrobky</v>
      </c>
      <c r="R886">
        <f>IF(ISNUMBER(SEARCH('1Př1'!$A$33,N886)),MAX($M$2:M885)+1,0)</f>
        <v>884</v>
      </c>
      <c r="S886" s="336" t="s">
        <v>3181</v>
      </c>
      <c r="T886" t="str">
        <f>IFERROR(VLOOKUP(ROWS($T$3:T886),$R$3:$S$992,2,0),"")</f>
        <v>Velkoobchod s kapalnými palivy a příbuznými výrobky</v>
      </c>
      <c r="U886">
        <f>IF(ISNUMBER(SEARCH('1Př1'!$A$34,N886)),MAX($M$2:M885)+1,0)</f>
        <v>884</v>
      </c>
      <c r="V886" s="336" t="s">
        <v>3181</v>
      </c>
      <c r="W886" t="str">
        <f>IFERROR(VLOOKUP(ROWS($W$3:W886),$U$3:$V$992,2,0),"")</f>
        <v>Velkoobchod s kapalnými palivy a příbuznými výrobky</v>
      </c>
      <c r="X886">
        <f>IF(ISNUMBER(SEARCH('1Př1'!$A$35,N886)),MAX($M$2:M885)+1,0)</f>
        <v>884</v>
      </c>
      <c r="Y886" s="336" t="s">
        <v>3181</v>
      </c>
      <c r="Z886" t="str">
        <f>IFERROR(VLOOKUP(ROWS($Z$3:Z886),$X$3:$Y$992,2,0),"")</f>
        <v>Velkoobchod s kapalnými palivy a příbuznými výrobky</v>
      </c>
    </row>
    <row r="887" spans="13:26" ht="12.75">
      <c r="M887" s="335">
        <f>IF(ISNUMBER(SEARCH(ZAKL_DATA!$B$29,N887)),MAX($M$2:M886)+1,0)</f>
        <v>885</v>
      </c>
      <c r="N887" s="336" t="s">
        <v>3183</v>
      </c>
      <c r="O887" s="353" t="s">
        <v>3184</v>
      </c>
      <c r="P887" s="338"/>
      <c r="Q887" s="339" t="str">
        <f>IFERROR(VLOOKUP(ROWS($Q$3:Q887),$M$3:$N$992,2,0),"")</f>
        <v>Velkoobchod s plynnými palivy a příbuznými výrobky</v>
      </c>
      <c r="R887">
        <f>IF(ISNUMBER(SEARCH('1Př1'!$A$33,N887)),MAX($M$2:M886)+1,0)</f>
        <v>885</v>
      </c>
      <c r="S887" s="336" t="s">
        <v>3183</v>
      </c>
      <c r="T887" t="str">
        <f>IFERROR(VLOOKUP(ROWS($T$3:T887),$R$3:$S$992,2,0),"")</f>
        <v>Velkoobchod s plynnými palivy a příbuznými výrobky</v>
      </c>
      <c r="U887">
        <f>IF(ISNUMBER(SEARCH('1Př1'!$A$34,N887)),MAX($M$2:M886)+1,0)</f>
        <v>885</v>
      </c>
      <c r="V887" s="336" t="s">
        <v>3183</v>
      </c>
      <c r="W887" t="str">
        <f>IFERROR(VLOOKUP(ROWS($W$3:W887),$U$3:$V$992,2,0),"")</f>
        <v>Velkoobchod s plynnými palivy a příbuznými výrobky</v>
      </c>
      <c r="X887">
        <f>IF(ISNUMBER(SEARCH('1Př1'!$A$35,N887)),MAX($M$2:M886)+1,0)</f>
        <v>885</v>
      </c>
      <c r="Y887" s="336" t="s">
        <v>3183</v>
      </c>
      <c r="Z887" t="str">
        <f>IFERROR(VLOOKUP(ROWS($Z$3:Z887),$X$3:$Y$992,2,0),"")</f>
        <v>Velkoobchod s plynnými palivy a příbuznými výrobky</v>
      </c>
    </row>
    <row r="888" spans="13:26" ht="12.75">
      <c r="M888" s="335">
        <f>IF(ISNUMBER(SEARCH(ZAKL_DATA!$B$29,N888)),MAX($M$2:M887)+1,0)</f>
        <v>886</v>
      </c>
      <c r="N888" s="336" t="s">
        <v>3185</v>
      </c>
      <c r="O888" s="353" t="s">
        <v>3186</v>
      </c>
      <c r="P888" s="338"/>
      <c r="Q888" s="339" t="str">
        <f>IFERROR(VLOOKUP(ROWS($Q$3:Q888),$M$3:$N$992,2,0),"")</f>
        <v>Velkoobchod s papírenskými meziprodukty</v>
      </c>
      <c r="R888">
        <f>IF(ISNUMBER(SEARCH('1Př1'!$A$33,N888)),MAX($M$2:M887)+1,0)</f>
        <v>886</v>
      </c>
      <c r="S888" s="336" t="s">
        <v>3185</v>
      </c>
      <c r="T888" t="str">
        <f>IFERROR(VLOOKUP(ROWS($T$3:T888),$R$3:$S$992,2,0),"")</f>
        <v>Velkoobchod s papírenskými meziprodukty</v>
      </c>
      <c r="U888">
        <f>IF(ISNUMBER(SEARCH('1Př1'!$A$34,N888)),MAX($M$2:M887)+1,0)</f>
        <v>886</v>
      </c>
      <c r="V888" s="336" t="s">
        <v>3185</v>
      </c>
      <c r="W888" t="str">
        <f>IFERROR(VLOOKUP(ROWS($W$3:W888),$U$3:$V$992,2,0),"")</f>
        <v>Velkoobchod s papírenskými meziprodukty</v>
      </c>
      <c r="X888">
        <f>IF(ISNUMBER(SEARCH('1Př1'!$A$35,N888)),MAX($M$2:M887)+1,0)</f>
        <v>886</v>
      </c>
      <c r="Y888" s="336" t="s">
        <v>3185</v>
      </c>
      <c r="Z888" t="str">
        <f>IFERROR(VLOOKUP(ROWS($Z$3:Z888),$X$3:$Y$992,2,0),"")</f>
        <v>Velkoobchod s papírenskými meziprodukty</v>
      </c>
    </row>
    <row r="889" spans="13:26" ht="12.75">
      <c r="M889" s="335">
        <f>IF(ISNUMBER(SEARCH(ZAKL_DATA!$B$29,N889)),MAX($M$2:M888)+1,0)</f>
        <v>887</v>
      </c>
      <c r="N889" s="336" t="s">
        <v>3187</v>
      </c>
      <c r="O889" s="353" t="s">
        <v>3188</v>
      </c>
      <c r="P889" s="338"/>
      <c r="Q889" s="339" t="str">
        <f>IFERROR(VLOOKUP(ROWS($Q$3:Q889),$M$3:$N$992,2,0),"")</f>
        <v>Velkoobchod s ostatními meziprodukty j. n.</v>
      </c>
      <c r="R889">
        <f>IF(ISNUMBER(SEARCH('1Př1'!$A$33,N889)),MAX($M$2:M888)+1,0)</f>
        <v>887</v>
      </c>
      <c r="S889" s="336" t="s">
        <v>3187</v>
      </c>
      <c r="T889" t="str">
        <f>IFERROR(VLOOKUP(ROWS($T$3:T889),$R$3:$S$992,2,0),"")</f>
        <v>Velkoobchod s ostatními meziprodukty j. n.</v>
      </c>
      <c r="U889">
        <f>IF(ISNUMBER(SEARCH('1Př1'!$A$34,N889)),MAX($M$2:M888)+1,0)</f>
        <v>887</v>
      </c>
      <c r="V889" s="336" t="s">
        <v>3187</v>
      </c>
      <c r="W889" t="str">
        <f>IFERROR(VLOOKUP(ROWS($W$3:W889),$U$3:$V$992,2,0),"")</f>
        <v>Velkoobchod s ostatními meziprodukty j. n.</v>
      </c>
      <c r="X889">
        <f>IF(ISNUMBER(SEARCH('1Př1'!$A$35,N889)),MAX($M$2:M888)+1,0)</f>
        <v>887</v>
      </c>
      <c r="Y889" s="336" t="s">
        <v>3187</v>
      </c>
      <c r="Z889" t="str">
        <f>IFERROR(VLOOKUP(ROWS($Z$3:Z889),$X$3:$Y$992,2,0),"")</f>
        <v>Velkoobchod s ostatními meziprodukty j. n.</v>
      </c>
    </row>
    <row r="890" spans="13:26" ht="12.75">
      <c r="M890" s="335">
        <f>IF(ISNUMBER(SEARCH(ZAKL_DATA!$B$29,N890)),MAX($M$2:M889)+1,0)</f>
        <v>888</v>
      </c>
      <c r="N890" s="336" t="s">
        <v>3189</v>
      </c>
      <c r="O890" s="353" t="s">
        <v>3190</v>
      </c>
      <c r="P890" s="338"/>
      <c r="Q890" s="339" t="str">
        <f>IFERROR(VLOOKUP(ROWS($Q$3:Q890),$M$3:$N$992,2,0),"")</f>
        <v>Maloobchod s fotografickým a optickým zařízením a potřebami</v>
      </c>
      <c r="R890">
        <f>IF(ISNUMBER(SEARCH('1Př1'!$A$33,N890)),MAX($M$2:M889)+1,0)</f>
        <v>888</v>
      </c>
      <c r="S890" s="336" t="s">
        <v>3189</v>
      </c>
      <c r="T890" t="str">
        <f>IFERROR(VLOOKUP(ROWS($T$3:T890),$R$3:$S$992,2,0),"")</f>
        <v>Maloobchod s fotografickým a optickým zařízením a potřebami</v>
      </c>
      <c r="U890">
        <f>IF(ISNUMBER(SEARCH('1Př1'!$A$34,N890)),MAX($M$2:M889)+1,0)</f>
        <v>888</v>
      </c>
      <c r="V890" s="336" t="s">
        <v>3189</v>
      </c>
      <c r="W890" t="str">
        <f>IFERROR(VLOOKUP(ROWS($W$3:W890),$U$3:$V$992,2,0),"")</f>
        <v>Maloobchod s fotografickým a optickým zařízením a potřebami</v>
      </c>
      <c r="X890">
        <f>IF(ISNUMBER(SEARCH('1Př1'!$A$35,N890)),MAX($M$2:M889)+1,0)</f>
        <v>888</v>
      </c>
      <c r="Y890" s="336" t="s">
        <v>3189</v>
      </c>
      <c r="Z890" t="str">
        <f>IFERROR(VLOOKUP(ROWS($Z$3:Z890),$X$3:$Y$992,2,0),"")</f>
        <v>Maloobchod s fotografickým a optickým zařízením a potřebami</v>
      </c>
    </row>
    <row r="891" spans="13:26" ht="12.75">
      <c r="M891" s="335">
        <f>IF(ISNUMBER(SEARCH(ZAKL_DATA!$B$29,N891)),MAX($M$2:M890)+1,0)</f>
        <v>889</v>
      </c>
      <c r="N891" s="336" t="s">
        <v>3191</v>
      </c>
      <c r="O891" s="353" t="s">
        <v>3192</v>
      </c>
      <c r="P891" s="338"/>
      <c r="Q891" s="339" t="str">
        <f>IFERROR(VLOOKUP(ROWS($Q$3:Q891),$M$3:$N$992,2,0),"")</f>
        <v>Maloobchod s pevnými palivy</v>
      </c>
      <c r="R891">
        <f>IF(ISNUMBER(SEARCH('1Př1'!$A$33,N891)),MAX($M$2:M890)+1,0)</f>
        <v>889</v>
      </c>
      <c r="S891" s="336" t="s">
        <v>3191</v>
      </c>
      <c r="T891" t="str">
        <f>IFERROR(VLOOKUP(ROWS($T$3:T891),$R$3:$S$992,2,0),"")</f>
        <v>Maloobchod s pevnými palivy</v>
      </c>
      <c r="U891">
        <f>IF(ISNUMBER(SEARCH('1Př1'!$A$34,N891)),MAX($M$2:M890)+1,0)</f>
        <v>889</v>
      </c>
      <c r="V891" s="336" t="s">
        <v>3191</v>
      </c>
      <c r="W891" t="str">
        <f>IFERROR(VLOOKUP(ROWS($W$3:W891),$U$3:$V$992,2,0),"")</f>
        <v>Maloobchod s pevnými palivy</v>
      </c>
      <c r="X891">
        <f>IF(ISNUMBER(SEARCH('1Př1'!$A$35,N891)),MAX($M$2:M890)+1,0)</f>
        <v>889</v>
      </c>
      <c r="Y891" s="336" t="s">
        <v>3191</v>
      </c>
      <c r="Z891" t="str">
        <f>IFERROR(VLOOKUP(ROWS($Z$3:Z891),$X$3:$Y$992,2,0),"")</f>
        <v>Maloobchod s pevnými palivy</v>
      </c>
    </row>
    <row r="892" spans="13:26" ht="12.75">
      <c r="M892" s="335">
        <f>IF(ISNUMBER(SEARCH(ZAKL_DATA!$B$29,N892)),MAX($M$2:M891)+1,0)</f>
        <v>890</v>
      </c>
      <c r="N892" s="336" t="s">
        <v>3193</v>
      </c>
      <c r="O892" s="353" t="s">
        <v>3194</v>
      </c>
      <c r="P892" s="338"/>
      <c r="Q892" s="339" t="str">
        <f>IFERROR(VLOOKUP(ROWS($Q$3:Q892),$M$3:$N$992,2,0),"")</f>
        <v>Maloobchod s kapalnými palivy (kromě pohonných hmot)</v>
      </c>
      <c r="R892">
        <f>IF(ISNUMBER(SEARCH('1Př1'!$A$33,N892)),MAX($M$2:M891)+1,0)</f>
        <v>890</v>
      </c>
      <c r="S892" s="336" t="s">
        <v>3193</v>
      </c>
      <c r="T892" t="str">
        <f>IFERROR(VLOOKUP(ROWS($T$3:T892),$R$3:$S$992,2,0),"")</f>
        <v>Maloobchod s kapalnými palivy (kromě pohonných hmot)</v>
      </c>
      <c r="U892">
        <f>IF(ISNUMBER(SEARCH('1Př1'!$A$34,N892)),MAX($M$2:M891)+1,0)</f>
        <v>890</v>
      </c>
      <c r="V892" s="336" t="s">
        <v>3193</v>
      </c>
      <c r="W892" t="str">
        <f>IFERROR(VLOOKUP(ROWS($W$3:W892),$U$3:$V$992,2,0),"")</f>
        <v>Maloobchod s kapalnými palivy (kromě pohonných hmot)</v>
      </c>
      <c r="X892">
        <f>IF(ISNUMBER(SEARCH('1Př1'!$A$35,N892)),MAX($M$2:M891)+1,0)</f>
        <v>890</v>
      </c>
      <c r="Y892" s="336" t="s">
        <v>3193</v>
      </c>
      <c r="Z892" t="str">
        <f>IFERROR(VLOOKUP(ROWS($Z$3:Z892),$X$3:$Y$992,2,0),"")</f>
        <v>Maloobchod s kapalnými palivy (kromě pohonných hmot)</v>
      </c>
    </row>
    <row r="893" spans="13:26" ht="12.75">
      <c r="M893" s="335">
        <f>IF(ISNUMBER(SEARCH(ZAKL_DATA!$B$29,N893)),MAX($M$2:M892)+1,0)</f>
        <v>891</v>
      </c>
      <c r="N893" s="336" t="s">
        <v>3195</v>
      </c>
      <c r="O893" s="353" t="s">
        <v>3196</v>
      </c>
      <c r="P893" s="338"/>
      <c r="Q893" s="339" t="str">
        <f>IFERROR(VLOOKUP(ROWS($Q$3:Q893),$M$3:$N$992,2,0),"")</f>
        <v>Maloobchod s plynnými palivy (kromě pohonných hmot)</v>
      </c>
      <c r="R893">
        <f>IF(ISNUMBER(SEARCH('1Př1'!$A$33,N893)),MAX($M$2:M892)+1,0)</f>
        <v>891</v>
      </c>
      <c r="S893" s="336" t="s">
        <v>3195</v>
      </c>
      <c r="T893" t="str">
        <f>IFERROR(VLOOKUP(ROWS($T$3:T893),$R$3:$S$992,2,0),"")</f>
        <v>Maloobchod s plynnými palivy (kromě pohonných hmot)</v>
      </c>
      <c r="U893">
        <f>IF(ISNUMBER(SEARCH('1Př1'!$A$34,N893)),MAX($M$2:M892)+1,0)</f>
        <v>891</v>
      </c>
      <c r="V893" s="336" t="s">
        <v>3195</v>
      </c>
      <c r="W893" t="str">
        <f>IFERROR(VLOOKUP(ROWS($W$3:W893),$U$3:$V$992,2,0),"")</f>
        <v>Maloobchod s plynnými palivy (kromě pohonných hmot)</v>
      </c>
      <c r="X893">
        <f>IF(ISNUMBER(SEARCH('1Př1'!$A$35,N893)),MAX($M$2:M892)+1,0)</f>
        <v>891</v>
      </c>
      <c r="Y893" s="336" t="s">
        <v>3195</v>
      </c>
      <c r="Z893" t="str">
        <f>IFERROR(VLOOKUP(ROWS($Z$3:Z893),$X$3:$Y$992,2,0),"")</f>
        <v>Maloobchod s plynnými palivy (kromě pohonných hmot)</v>
      </c>
    </row>
    <row r="894" spans="13:26" ht="12.75">
      <c r="M894" s="335">
        <f>IF(ISNUMBER(SEARCH(ZAKL_DATA!$B$29,N894)),MAX($M$2:M893)+1,0)</f>
        <v>892</v>
      </c>
      <c r="N894" s="336" t="s">
        <v>3197</v>
      </c>
      <c r="O894" s="353" t="s">
        <v>3198</v>
      </c>
      <c r="P894" s="338"/>
      <c r="Q894" s="339" t="str">
        <f>IFERROR(VLOOKUP(ROWS($Q$3:Q894),$M$3:$N$992,2,0),"")</f>
        <v>Ostatní maloobchod s novým zbožím ve specializovaných prodejnách j. n.</v>
      </c>
      <c r="R894">
        <f>IF(ISNUMBER(SEARCH('1Př1'!$A$33,N894)),MAX($M$2:M893)+1,0)</f>
        <v>892</v>
      </c>
      <c r="S894" s="336" t="s">
        <v>3197</v>
      </c>
      <c r="T894" t="str">
        <f>IFERROR(VLOOKUP(ROWS($T$3:T894),$R$3:$S$992,2,0),"")</f>
        <v>Ostatní maloobchod s novým zbožím ve specializovaných prodejnách j. n.</v>
      </c>
      <c r="U894">
        <f>IF(ISNUMBER(SEARCH('1Př1'!$A$34,N894)),MAX($M$2:M893)+1,0)</f>
        <v>892</v>
      </c>
      <c r="V894" s="336" t="s">
        <v>3197</v>
      </c>
      <c r="W894" t="str">
        <f>IFERROR(VLOOKUP(ROWS($W$3:W894),$U$3:$V$992,2,0),"")</f>
        <v>Ostatní maloobchod s novým zbožím ve specializovaných prodejnách j. n.</v>
      </c>
      <c r="X894">
        <f>IF(ISNUMBER(SEARCH('1Př1'!$A$35,N894)),MAX($M$2:M893)+1,0)</f>
        <v>892</v>
      </c>
      <c r="Y894" s="336" t="s">
        <v>3197</v>
      </c>
      <c r="Z894" t="str">
        <f>IFERROR(VLOOKUP(ROWS($Z$3:Z894),$X$3:$Y$992,2,0),"")</f>
        <v>Ostatní maloobchod s novým zbožím ve specializovaných prodejnách j. n.</v>
      </c>
    </row>
    <row r="895" spans="13:26" ht="12.75">
      <c r="M895" s="335">
        <f>IF(ISNUMBER(SEARCH(ZAKL_DATA!$B$29,N895)),MAX($M$2:M894)+1,0)</f>
        <v>893</v>
      </c>
      <c r="N895" s="336" t="s">
        <v>3199</v>
      </c>
      <c r="O895" s="353" t="s">
        <v>3200</v>
      </c>
      <c r="P895" s="338"/>
      <c r="Q895" s="339" t="str">
        <f>IFERROR(VLOOKUP(ROWS($Q$3:Q895),$M$3:$N$992,2,0),"")</f>
        <v>Maloobchod prostřednictvím internetu</v>
      </c>
      <c r="R895">
        <f>IF(ISNUMBER(SEARCH('1Př1'!$A$33,N895)),MAX($M$2:M894)+1,0)</f>
        <v>893</v>
      </c>
      <c r="S895" s="336" t="s">
        <v>3199</v>
      </c>
      <c r="T895" t="str">
        <f>IFERROR(VLOOKUP(ROWS($T$3:T895),$R$3:$S$992,2,0),"")</f>
        <v>Maloobchod prostřednictvím internetu</v>
      </c>
      <c r="U895">
        <f>IF(ISNUMBER(SEARCH('1Př1'!$A$34,N895)),MAX($M$2:M894)+1,0)</f>
        <v>893</v>
      </c>
      <c r="V895" s="336" t="s">
        <v>3199</v>
      </c>
      <c r="W895" t="str">
        <f>IFERROR(VLOOKUP(ROWS($W$3:W895),$U$3:$V$992,2,0),"")</f>
        <v>Maloobchod prostřednictvím internetu</v>
      </c>
      <c r="X895">
        <f>IF(ISNUMBER(SEARCH('1Př1'!$A$35,N895)),MAX($M$2:M894)+1,0)</f>
        <v>893</v>
      </c>
      <c r="Y895" s="336" t="s">
        <v>3199</v>
      </c>
      <c r="Z895" t="str">
        <f>IFERROR(VLOOKUP(ROWS($Z$3:Z895),$X$3:$Y$992,2,0),"")</f>
        <v>Maloobchod prostřednictvím internetu</v>
      </c>
    </row>
    <row r="896" spans="13:26" ht="12.75">
      <c r="M896" s="335">
        <f>IF(ISNUMBER(SEARCH(ZAKL_DATA!$B$29,N896)),MAX($M$2:M895)+1,0)</f>
        <v>894</v>
      </c>
      <c r="N896" s="336" t="s">
        <v>3201</v>
      </c>
      <c r="O896" s="353" t="s">
        <v>3202</v>
      </c>
      <c r="P896" s="338"/>
      <c r="Q896" s="339" t="str">
        <f>IFERROR(VLOOKUP(ROWS($Q$3:Q896),$M$3:$N$992,2,0),"")</f>
        <v>Maloobchod prostřednictvím zásilkové služby(jiný než prostř.internetu)</v>
      </c>
      <c r="R896">
        <f>IF(ISNUMBER(SEARCH('1Př1'!$A$33,N896)),MAX($M$2:M895)+1,0)</f>
        <v>894</v>
      </c>
      <c r="S896" s="336" t="s">
        <v>3201</v>
      </c>
      <c r="T896" t="str">
        <f>IFERROR(VLOOKUP(ROWS($T$3:T896),$R$3:$S$992,2,0),"")</f>
        <v>Maloobchod prostřednictvím zásilkové služby(jiný než prostř.internetu)</v>
      </c>
      <c r="U896">
        <f>IF(ISNUMBER(SEARCH('1Př1'!$A$34,N896)),MAX($M$2:M895)+1,0)</f>
        <v>894</v>
      </c>
      <c r="V896" s="336" t="s">
        <v>3201</v>
      </c>
      <c r="W896" t="str">
        <f>IFERROR(VLOOKUP(ROWS($W$3:W896),$U$3:$V$992,2,0),"")</f>
        <v>Maloobchod prostřednictvím zásilkové služby(jiný než prostř.internetu)</v>
      </c>
      <c r="X896">
        <f>IF(ISNUMBER(SEARCH('1Př1'!$A$35,N896)),MAX($M$2:M895)+1,0)</f>
        <v>894</v>
      </c>
      <c r="Y896" s="336" t="s">
        <v>3201</v>
      </c>
      <c r="Z896" t="str">
        <f>IFERROR(VLOOKUP(ROWS($Z$3:Z896),$X$3:$Y$992,2,0),"")</f>
        <v>Maloobchod prostřednictvím zásilkové služby(jiný než prostř.internetu)</v>
      </c>
    </row>
    <row r="897" spans="13:26" ht="12.75">
      <c r="M897" s="335">
        <f>IF(ISNUMBER(SEARCH(ZAKL_DATA!$B$29,N897)),MAX($M$2:M896)+1,0)</f>
        <v>895</v>
      </c>
      <c r="N897" s="336" t="s">
        <v>3203</v>
      </c>
      <c r="O897" s="353" t="s">
        <v>3204</v>
      </c>
      <c r="P897" s="338"/>
      <c r="Q897" s="339" t="str">
        <f>IFERROR(VLOOKUP(ROWS($Q$3:Q897),$M$3:$N$992,2,0),"")</f>
        <v>Meziměstská pravidelná pozemní osobní doprava</v>
      </c>
      <c r="R897">
        <f>IF(ISNUMBER(SEARCH('1Př1'!$A$33,N897)),MAX($M$2:M896)+1,0)</f>
        <v>895</v>
      </c>
      <c r="S897" s="336" t="s">
        <v>3203</v>
      </c>
      <c r="T897" t="str">
        <f>IFERROR(VLOOKUP(ROWS($T$3:T897),$R$3:$S$992,2,0),"")</f>
        <v>Meziměstská pravidelná pozemní osobní doprava</v>
      </c>
      <c r="U897">
        <f>IF(ISNUMBER(SEARCH('1Př1'!$A$34,N897)),MAX($M$2:M896)+1,0)</f>
        <v>895</v>
      </c>
      <c r="V897" s="336" t="s">
        <v>3203</v>
      </c>
      <c r="W897" t="str">
        <f>IFERROR(VLOOKUP(ROWS($W$3:W897),$U$3:$V$992,2,0),"")</f>
        <v>Meziměstská pravidelná pozemní osobní doprava</v>
      </c>
      <c r="X897">
        <f>IF(ISNUMBER(SEARCH('1Př1'!$A$35,N897)),MAX($M$2:M896)+1,0)</f>
        <v>895</v>
      </c>
      <c r="Y897" s="336" t="s">
        <v>3203</v>
      </c>
      <c r="Z897" t="str">
        <f>IFERROR(VLOOKUP(ROWS($Z$3:Z897),$X$3:$Y$992,2,0),"")</f>
        <v>Meziměstská pravidelná pozemní osobní doprava</v>
      </c>
    </row>
    <row r="898" spans="13:26" ht="12.75">
      <c r="M898" s="335">
        <f>IF(ISNUMBER(SEARCH(ZAKL_DATA!$B$29,N898)),MAX($M$2:M897)+1,0)</f>
        <v>896</v>
      </c>
      <c r="N898" s="336" t="s">
        <v>3205</v>
      </c>
      <c r="O898" s="353" t="s">
        <v>3206</v>
      </c>
      <c r="P898" s="338"/>
      <c r="Q898" s="339" t="str">
        <f>IFERROR(VLOOKUP(ROWS($Q$3:Q898),$M$3:$N$992,2,0),"")</f>
        <v>Osobní doprava lanovkou nebo vlekem</v>
      </c>
      <c r="R898">
        <f>IF(ISNUMBER(SEARCH('1Př1'!$A$33,N898)),MAX($M$2:M897)+1,0)</f>
        <v>896</v>
      </c>
      <c r="S898" s="336" t="s">
        <v>3205</v>
      </c>
      <c r="T898" t="str">
        <f>IFERROR(VLOOKUP(ROWS($T$3:T898),$R$3:$S$992,2,0),"")</f>
        <v>Osobní doprava lanovkou nebo vlekem</v>
      </c>
      <c r="U898">
        <f>IF(ISNUMBER(SEARCH('1Př1'!$A$34,N898)),MAX($M$2:M897)+1,0)</f>
        <v>896</v>
      </c>
      <c r="V898" s="336" t="s">
        <v>3205</v>
      </c>
      <c r="W898" t="str">
        <f>IFERROR(VLOOKUP(ROWS($W$3:W898),$U$3:$V$992,2,0),"")</f>
        <v>Osobní doprava lanovkou nebo vlekem</v>
      </c>
      <c r="X898">
        <f>IF(ISNUMBER(SEARCH('1Př1'!$A$35,N898)),MAX($M$2:M897)+1,0)</f>
        <v>896</v>
      </c>
      <c r="Y898" s="336" t="s">
        <v>3205</v>
      </c>
      <c r="Z898" t="str">
        <f>IFERROR(VLOOKUP(ROWS($Z$3:Z898),$X$3:$Y$992,2,0),"")</f>
        <v>Osobní doprava lanovkou nebo vlekem</v>
      </c>
    </row>
    <row r="899" spans="13:26" ht="12.75">
      <c r="M899" s="335">
        <f>IF(ISNUMBER(SEARCH(ZAKL_DATA!$B$29,N899)),MAX($M$2:M898)+1,0)</f>
        <v>897</v>
      </c>
      <c r="N899" s="336" t="s">
        <v>3207</v>
      </c>
      <c r="O899" s="353" t="s">
        <v>3208</v>
      </c>
      <c r="P899" s="338"/>
      <c r="Q899" s="339" t="str">
        <f>IFERROR(VLOOKUP(ROWS($Q$3:Q899),$M$3:$N$992,2,0),"")</f>
        <v>Nepravidelná pozemní osobní doprava</v>
      </c>
      <c r="R899">
        <f>IF(ISNUMBER(SEARCH('1Př1'!$A$33,N899)),MAX($M$2:M898)+1,0)</f>
        <v>897</v>
      </c>
      <c r="S899" s="336" t="s">
        <v>3207</v>
      </c>
      <c r="T899" t="str">
        <f>IFERROR(VLOOKUP(ROWS($T$3:T899),$R$3:$S$992,2,0),"")</f>
        <v>Nepravidelná pozemní osobní doprava</v>
      </c>
      <c r="U899">
        <f>IF(ISNUMBER(SEARCH('1Př1'!$A$34,N899)),MAX($M$2:M898)+1,0)</f>
        <v>897</v>
      </c>
      <c r="V899" s="336" t="s">
        <v>3207</v>
      </c>
      <c r="W899" t="str">
        <f>IFERROR(VLOOKUP(ROWS($W$3:W899),$U$3:$V$992,2,0),"")</f>
        <v>Nepravidelná pozemní osobní doprava</v>
      </c>
      <c r="X899">
        <f>IF(ISNUMBER(SEARCH('1Př1'!$A$35,N899)),MAX($M$2:M898)+1,0)</f>
        <v>897</v>
      </c>
      <c r="Y899" s="336" t="s">
        <v>3207</v>
      </c>
      <c r="Z899" t="str">
        <f>IFERROR(VLOOKUP(ROWS($Z$3:Z899),$X$3:$Y$992,2,0),"")</f>
        <v>Nepravidelná pozemní osobní doprava</v>
      </c>
    </row>
    <row r="900" spans="13:26" ht="12.75">
      <c r="M900" s="335">
        <f>IF(ISNUMBER(SEARCH(ZAKL_DATA!$B$29,N900)),MAX($M$2:M899)+1,0)</f>
        <v>898</v>
      </c>
      <c r="N900" s="336" t="s">
        <v>3209</v>
      </c>
      <c r="O900" s="353" t="s">
        <v>3210</v>
      </c>
      <c r="P900" s="338"/>
      <c r="Q900" s="339" t="str">
        <f>IFERROR(VLOOKUP(ROWS($Q$3:Q900),$M$3:$N$992,2,0),"")</f>
        <v>Jiná pozemní osobní doprava j. n.</v>
      </c>
      <c r="R900">
        <f>IF(ISNUMBER(SEARCH('1Př1'!$A$33,N900)),MAX($M$2:M899)+1,0)</f>
        <v>898</v>
      </c>
      <c r="S900" s="336" t="s">
        <v>3209</v>
      </c>
      <c r="T900" t="str">
        <f>IFERROR(VLOOKUP(ROWS($T$3:T900),$R$3:$S$992,2,0),"")</f>
        <v>Jiná pozemní osobní doprava j. n.</v>
      </c>
      <c r="U900">
        <f>IF(ISNUMBER(SEARCH('1Př1'!$A$34,N900)),MAX($M$2:M899)+1,0)</f>
        <v>898</v>
      </c>
      <c r="V900" s="336" t="s">
        <v>3209</v>
      </c>
      <c r="W900" t="str">
        <f>IFERROR(VLOOKUP(ROWS($W$3:W900),$U$3:$V$992,2,0),"")</f>
        <v>Jiná pozemní osobní doprava j. n.</v>
      </c>
      <c r="X900">
        <f>IF(ISNUMBER(SEARCH('1Př1'!$A$35,N900)),MAX($M$2:M899)+1,0)</f>
        <v>898</v>
      </c>
      <c r="Y900" s="336" t="s">
        <v>3209</v>
      </c>
      <c r="Z900" t="str">
        <f>IFERROR(VLOOKUP(ROWS($Z$3:Z900),$X$3:$Y$992,2,0),"")</f>
        <v>Jiná pozemní osobní doprava j. n.</v>
      </c>
    </row>
    <row r="901" spans="13:26" ht="12.75">
      <c r="M901" s="335">
        <f>IF(ISNUMBER(SEARCH(ZAKL_DATA!$B$29,N901)),MAX($M$2:M900)+1,0)</f>
        <v>899</v>
      </c>
      <c r="N901" s="336" t="s">
        <v>3211</v>
      </c>
      <c r="O901" s="353" t="s">
        <v>3212</v>
      </c>
      <c r="P901" s="338"/>
      <c r="Q901" s="339" t="str">
        <f>IFERROR(VLOOKUP(ROWS($Q$3:Q901),$M$3:$N$992,2,0),"")</f>
        <v>Potrubní doprava ropovodem</v>
      </c>
      <c r="R901">
        <f>IF(ISNUMBER(SEARCH('1Př1'!$A$33,N901)),MAX($M$2:M900)+1,0)</f>
        <v>899</v>
      </c>
      <c r="S901" s="336" t="s">
        <v>3211</v>
      </c>
      <c r="T901" t="str">
        <f>IFERROR(VLOOKUP(ROWS($T$3:T901),$R$3:$S$992,2,0),"")</f>
        <v>Potrubní doprava ropovodem</v>
      </c>
      <c r="U901">
        <f>IF(ISNUMBER(SEARCH('1Př1'!$A$34,N901)),MAX($M$2:M900)+1,0)</f>
        <v>899</v>
      </c>
      <c r="V901" s="336" t="s">
        <v>3211</v>
      </c>
      <c r="W901" t="str">
        <f>IFERROR(VLOOKUP(ROWS($W$3:W901),$U$3:$V$992,2,0),"")</f>
        <v>Potrubní doprava ropovodem</v>
      </c>
      <c r="X901">
        <f>IF(ISNUMBER(SEARCH('1Př1'!$A$35,N901)),MAX($M$2:M900)+1,0)</f>
        <v>899</v>
      </c>
      <c r="Y901" s="336" t="s">
        <v>3211</v>
      </c>
      <c r="Z901" t="str">
        <f>IFERROR(VLOOKUP(ROWS($Z$3:Z901),$X$3:$Y$992,2,0),"")</f>
        <v>Potrubní doprava ropovodem</v>
      </c>
    </row>
    <row r="902" spans="13:26" ht="12.75">
      <c r="M902" s="335">
        <f>IF(ISNUMBER(SEARCH(ZAKL_DATA!$B$29,N902)),MAX($M$2:M901)+1,0)</f>
        <v>900</v>
      </c>
      <c r="N902" s="336" t="s">
        <v>3213</v>
      </c>
      <c r="O902" s="353" t="s">
        <v>3214</v>
      </c>
      <c r="P902" s="338"/>
      <c r="Q902" s="339" t="str">
        <f>IFERROR(VLOOKUP(ROWS($Q$3:Q902),$M$3:$N$992,2,0),"")</f>
        <v>Potrubní doprava plynovodem</v>
      </c>
      <c r="R902">
        <f>IF(ISNUMBER(SEARCH('1Př1'!$A$33,N902)),MAX($M$2:M901)+1,0)</f>
        <v>900</v>
      </c>
      <c r="S902" s="336" t="s">
        <v>3213</v>
      </c>
      <c r="T902" t="str">
        <f>IFERROR(VLOOKUP(ROWS($T$3:T902),$R$3:$S$992,2,0),"")</f>
        <v>Potrubní doprava plynovodem</v>
      </c>
      <c r="U902">
        <f>IF(ISNUMBER(SEARCH('1Př1'!$A$34,N902)),MAX($M$2:M901)+1,0)</f>
        <v>900</v>
      </c>
      <c r="V902" s="336" t="s">
        <v>3213</v>
      </c>
      <c r="W902" t="str">
        <f>IFERROR(VLOOKUP(ROWS($W$3:W902),$U$3:$V$992,2,0),"")</f>
        <v>Potrubní doprava plynovodem</v>
      </c>
      <c r="X902">
        <f>IF(ISNUMBER(SEARCH('1Př1'!$A$35,N902)),MAX($M$2:M901)+1,0)</f>
        <v>900</v>
      </c>
      <c r="Y902" s="336" t="s">
        <v>3213</v>
      </c>
      <c r="Z902" t="str">
        <f>IFERROR(VLOOKUP(ROWS($Z$3:Z902),$X$3:$Y$992,2,0),"")</f>
        <v>Potrubní doprava plynovodem</v>
      </c>
    </row>
    <row r="903" spans="13:26" ht="12.75">
      <c r="M903" s="335">
        <f>IF(ISNUMBER(SEARCH(ZAKL_DATA!$B$29,N903)),MAX($M$2:M902)+1,0)</f>
        <v>901</v>
      </c>
      <c r="N903" s="336" t="s">
        <v>3215</v>
      </c>
      <c r="O903" s="353" t="s">
        <v>3216</v>
      </c>
      <c r="P903" s="338"/>
      <c r="Q903" s="339" t="str">
        <f>IFERROR(VLOOKUP(ROWS($Q$3:Q903),$M$3:$N$992,2,0),"")</f>
        <v>Potrubní doprava ostatní</v>
      </c>
      <c r="R903">
        <f>IF(ISNUMBER(SEARCH('1Př1'!$A$33,N903)),MAX($M$2:M902)+1,0)</f>
        <v>901</v>
      </c>
      <c r="S903" s="336" t="s">
        <v>3215</v>
      </c>
      <c r="T903" t="str">
        <f>IFERROR(VLOOKUP(ROWS($T$3:T903),$R$3:$S$992,2,0),"")</f>
        <v>Potrubní doprava ostatní</v>
      </c>
      <c r="U903">
        <f>IF(ISNUMBER(SEARCH('1Př1'!$A$34,N903)),MAX($M$2:M902)+1,0)</f>
        <v>901</v>
      </c>
      <c r="V903" s="336" t="s">
        <v>3215</v>
      </c>
      <c r="W903" t="str">
        <f>IFERROR(VLOOKUP(ROWS($W$3:W903),$U$3:$V$992,2,0),"")</f>
        <v>Potrubní doprava ostatní</v>
      </c>
      <c r="X903">
        <f>IF(ISNUMBER(SEARCH('1Př1'!$A$35,N903)),MAX($M$2:M902)+1,0)</f>
        <v>901</v>
      </c>
      <c r="Y903" s="336" t="s">
        <v>3215</v>
      </c>
      <c r="Z903" t="str">
        <f>IFERROR(VLOOKUP(ROWS($Z$3:Z903),$X$3:$Y$992,2,0),"")</f>
        <v>Potrubní doprava ostatní</v>
      </c>
    </row>
    <row r="904" spans="13:26" ht="12.75">
      <c r="M904" s="335">
        <f>IF(ISNUMBER(SEARCH(ZAKL_DATA!$B$29,N904)),MAX($M$2:M903)+1,0)</f>
        <v>902</v>
      </c>
      <c r="N904" s="336" t="s">
        <v>3217</v>
      </c>
      <c r="O904" s="353" t="s">
        <v>3218</v>
      </c>
      <c r="P904" s="338"/>
      <c r="Q904" s="339" t="str">
        <f>IFERROR(VLOOKUP(ROWS($Q$3:Q904),$M$3:$N$992,2,0),"")</f>
        <v>Vnitrostátní pravidelná letecká osobní doprava</v>
      </c>
      <c r="R904">
        <f>IF(ISNUMBER(SEARCH('1Př1'!$A$33,N904)),MAX($M$2:M903)+1,0)</f>
        <v>902</v>
      </c>
      <c r="S904" s="336" t="s">
        <v>3217</v>
      </c>
      <c r="T904" t="str">
        <f>IFERROR(VLOOKUP(ROWS($T$3:T904),$R$3:$S$992,2,0),"")</f>
        <v>Vnitrostátní pravidelná letecká osobní doprava</v>
      </c>
      <c r="U904">
        <f>IF(ISNUMBER(SEARCH('1Př1'!$A$34,N904)),MAX($M$2:M903)+1,0)</f>
        <v>902</v>
      </c>
      <c r="V904" s="336" t="s">
        <v>3217</v>
      </c>
      <c r="W904" t="str">
        <f>IFERROR(VLOOKUP(ROWS($W$3:W904),$U$3:$V$992,2,0),"")</f>
        <v>Vnitrostátní pravidelná letecká osobní doprava</v>
      </c>
      <c r="X904">
        <f>IF(ISNUMBER(SEARCH('1Př1'!$A$35,N904)),MAX($M$2:M903)+1,0)</f>
        <v>902</v>
      </c>
      <c r="Y904" s="336" t="s">
        <v>3217</v>
      </c>
      <c r="Z904" t="str">
        <f>IFERROR(VLOOKUP(ROWS($Z$3:Z904),$X$3:$Y$992,2,0),"")</f>
        <v>Vnitrostátní pravidelná letecká osobní doprava</v>
      </c>
    </row>
    <row r="905" spans="13:26" ht="12.75">
      <c r="M905" s="335">
        <f>IF(ISNUMBER(SEARCH(ZAKL_DATA!$B$29,N905)),MAX($M$2:M904)+1,0)</f>
        <v>903</v>
      </c>
      <c r="N905" s="336" t="s">
        <v>3219</v>
      </c>
      <c r="O905" s="353" t="s">
        <v>3220</v>
      </c>
      <c r="P905" s="338"/>
      <c r="Q905" s="339" t="str">
        <f>IFERROR(VLOOKUP(ROWS($Q$3:Q905),$M$3:$N$992,2,0),"")</f>
        <v>Vnitrostátní nepravidelná letecká osobní doprava</v>
      </c>
      <c r="R905">
        <f>IF(ISNUMBER(SEARCH('1Př1'!$A$33,N905)),MAX($M$2:M904)+1,0)</f>
        <v>903</v>
      </c>
      <c r="S905" s="336" t="s">
        <v>3219</v>
      </c>
      <c r="T905" t="str">
        <f>IFERROR(VLOOKUP(ROWS($T$3:T905),$R$3:$S$992,2,0),"")</f>
        <v>Vnitrostátní nepravidelná letecká osobní doprava</v>
      </c>
      <c r="U905">
        <f>IF(ISNUMBER(SEARCH('1Př1'!$A$34,N905)),MAX($M$2:M904)+1,0)</f>
        <v>903</v>
      </c>
      <c r="V905" s="336" t="s">
        <v>3219</v>
      </c>
      <c r="W905" t="str">
        <f>IFERROR(VLOOKUP(ROWS($W$3:W905),$U$3:$V$992,2,0),"")</f>
        <v>Vnitrostátní nepravidelná letecká osobní doprava</v>
      </c>
      <c r="X905">
        <f>IF(ISNUMBER(SEARCH('1Př1'!$A$35,N905)),MAX($M$2:M904)+1,0)</f>
        <v>903</v>
      </c>
      <c r="Y905" s="336" t="s">
        <v>3219</v>
      </c>
      <c r="Z905" t="str">
        <f>IFERROR(VLOOKUP(ROWS($Z$3:Z905),$X$3:$Y$992,2,0),"")</f>
        <v>Vnitrostátní nepravidelná letecká osobní doprava</v>
      </c>
    </row>
    <row r="906" spans="13:26" ht="12.75">
      <c r="M906" s="335">
        <f>IF(ISNUMBER(SEARCH(ZAKL_DATA!$B$29,N906)),MAX($M$2:M905)+1,0)</f>
        <v>904</v>
      </c>
      <c r="N906" s="336" t="s">
        <v>3221</v>
      </c>
      <c r="O906" s="353" t="s">
        <v>3222</v>
      </c>
      <c r="P906" s="338"/>
      <c r="Q906" s="339" t="str">
        <f>IFERROR(VLOOKUP(ROWS($Q$3:Q906),$M$3:$N$992,2,0),"")</f>
        <v>Mezinárodní pravidelná letecká osobní doprava</v>
      </c>
      <c r="R906">
        <f>IF(ISNUMBER(SEARCH('1Př1'!$A$33,N906)),MAX($M$2:M905)+1,0)</f>
        <v>904</v>
      </c>
      <c r="S906" s="336" t="s">
        <v>3221</v>
      </c>
      <c r="T906" t="str">
        <f>IFERROR(VLOOKUP(ROWS($T$3:T906),$R$3:$S$992,2,0),"")</f>
        <v>Mezinárodní pravidelná letecká osobní doprava</v>
      </c>
      <c r="U906">
        <f>IF(ISNUMBER(SEARCH('1Př1'!$A$34,N906)),MAX($M$2:M905)+1,0)</f>
        <v>904</v>
      </c>
      <c r="V906" s="336" t="s">
        <v>3221</v>
      </c>
      <c r="W906" t="str">
        <f>IFERROR(VLOOKUP(ROWS($W$3:W906),$U$3:$V$992,2,0),"")</f>
        <v>Mezinárodní pravidelná letecká osobní doprava</v>
      </c>
      <c r="X906">
        <f>IF(ISNUMBER(SEARCH('1Př1'!$A$35,N906)),MAX($M$2:M905)+1,0)</f>
        <v>904</v>
      </c>
      <c r="Y906" s="336" t="s">
        <v>3221</v>
      </c>
      <c r="Z906" t="str">
        <f>IFERROR(VLOOKUP(ROWS($Z$3:Z906),$X$3:$Y$992,2,0),"")</f>
        <v>Mezinárodní pravidelná letecká osobní doprava</v>
      </c>
    </row>
    <row r="907" spans="13:26" ht="12.75">
      <c r="M907" s="335">
        <f>IF(ISNUMBER(SEARCH(ZAKL_DATA!$B$29,N907)),MAX($M$2:M906)+1,0)</f>
        <v>905</v>
      </c>
      <c r="N907" s="336" t="s">
        <v>3223</v>
      </c>
      <c r="O907" s="353" t="s">
        <v>3224</v>
      </c>
      <c r="P907" s="338"/>
      <c r="Q907" s="339" t="str">
        <f>IFERROR(VLOOKUP(ROWS($Q$3:Q907),$M$3:$N$992,2,0),"")</f>
        <v>Mezinárodní nepravidelná letecká osobní doprava</v>
      </c>
      <c r="R907">
        <f>IF(ISNUMBER(SEARCH('1Př1'!$A$33,N907)),MAX($M$2:M906)+1,0)</f>
        <v>905</v>
      </c>
      <c r="S907" s="336" t="s">
        <v>3223</v>
      </c>
      <c r="T907" t="str">
        <f>IFERROR(VLOOKUP(ROWS($T$3:T907),$R$3:$S$992,2,0),"")</f>
        <v>Mezinárodní nepravidelná letecká osobní doprava</v>
      </c>
      <c r="U907">
        <f>IF(ISNUMBER(SEARCH('1Př1'!$A$34,N907)),MAX($M$2:M906)+1,0)</f>
        <v>905</v>
      </c>
      <c r="V907" s="336" t="s">
        <v>3223</v>
      </c>
      <c r="W907" t="str">
        <f>IFERROR(VLOOKUP(ROWS($W$3:W907),$U$3:$V$992,2,0),"")</f>
        <v>Mezinárodní nepravidelná letecká osobní doprava</v>
      </c>
      <c r="X907">
        <f>IF(ISNUMBER(SEARCH('1Př1'!$A$35,N907)),MAX($M$2:M906)+1,0)</f>
        <v>905</v>
      </c>
      <c r="Y907" s="336" t="s">
        <v>3223</v>
      </c>
      <c r="Z907" t="str">
        <f>IFERROR(VLOOKUP(ROWS($Z$3:Z907),$X$3:$Y$992,2,0),"")</f>
        <v>Mezinárodní nepravidelná letecká osobní doprava</v>
      </c>
    </row>
    <row r="908" spans="13:26" ht="12.75">
      <c r="M908" s="335">
        <f>IF(ISNUMBER(SEARCH(ZAKL_DATA!$B$29,N908)),MAX($M$2:M907)+1,0)</f>
        <v>906</v>
      </c>
      <c r="N908" s="336" t="s">
        <v>3225</v>
      </c>
      <c r="O908" s="353" t="s">
        <v>3226</v>
      </c>
      <c r="P908" s="338"/>
      <c r="Q908" s="339" t="str">
        <f>IFERROR(VLOOKUP(ROWS($Q$3:Q908),$M$3:$N$992,2,0),"")</f>
        <v>Ostatní letecká osobní doprava</v>
      </c>
      <c r="R908">
        <f>IF(ISNUMBER(SEARCH('1Př1'!$A$33,N908)),MAX($M$2:M907)+1,0)</f>
        <v>906</v>
      </c>
      <c r="S908" s="336" t="s">
        <v>3225</v>
      </c>
      <c r="T908" t="str">
        <f>IFERROR(VLOOKUP(ROWS($T$3:T908),$R$3:$S$992,2,0),"")</f>
        <v>Ostatní letecká osobní doprava</v>
      </c>
      <c r="U908">
        <f>IF(ISNUMBER(SEARCH('1Př1'!$A$34,N908)),MAX($M$2:M907)+1,0)</f>
        <v>906</v>
      </c>
      <c r="V908" s="336" t="s">
        <v>3225</v>
      </c>
      <c r="W908" t="str">
        <f>IFERROR(VLOOKUP(ROWS($W$3:W908),$U$3:$V$992,2,0),"")</f>
        <v>Ostatní letecká osobní doprava</v>
      </c>
      <c r="X908">
        <f>IF(ISNUMBER(SEARCH('1Př1'!$A$35,N908)),MAX($M$2:M907)+1,0)</f>
        <v>906</v>
      </c>
      <c r="Y908" s="336" t="s">
        <v>3225</v>
      </c>
      <c r="Z908" t="str">
        <f>IFERROR(VLOOKUP(ROWS($Z$3:Z908),$X$3:$Y$992,2,0),"")</f>
        <v>Ostatní letecká osobní doprava</v>
      </c>
    </row>
    <row r="909" spans="13:26" ht="12.75">
      <c r="M909" s="335">
        <f>IF(ISNUMBER(SEARCH(ZAKL_DATA!$B$29,N909)),MAX($M$2:M908)+1,0)</f>
        <v>907</v>
      </c>
      <c r="N909" s="336" t="s">
        <v>3227</v>
      </c>
      <c r="O909" s="353" t="s">
        <v>3228</v>
      </c>
      <c r="P909" s="338"/>
      <c r="Q909" s="339" t="str">
        <f>IFERROR(VLOOKUP(ROWS($Q$3:Q909),$M$3:$N$992,2,0),"")</f>
        <v>Hotely</v>
      </c>
      <c r="R909">
        <f>IF(ISNUMBER(SEARCH('1Př1'!$A$33,N909)),MAX($M$2:M908)+1,0)</f>
        <v>907</v>
      </c>
      <c r="S909" s="336" t="s">
        <v>3227</v>
      </c>
      <c r="T909" t="str">
        <f>IFERROR(VLOOKUP(ROWS($T$3:T909),$R$3:$S$992,2,0),"")</f>
        <v>Hotely</v>
      </c>
      <c r="U909">
        <f>IF(ISNUMBER(SEARCH('1Př1'!$A$34,N909)),MAX($M$2:M908)+1,0)</f>
        <v>907</v>
      </c>
      <c r="V909" s="336" t="s">
        <v>3227</v>
      </c>
      <c r="W909" t="str">
        <f>IFERROR(VLOOKUP(ROWS($W$3:W909),$U$3:$V$992,2,0),"")</f>
        <v>Hotely</v>
      </c>
      <c r="X909">
        <f>IF(ISNUMBER(SEARCH('1Př1'!$A$35,N909)),MAX($M$2:M908)+1,0)</f>
        <v>907</v>
      </c>
      <c r="Y909" s="336" t="s">
        <v>3227</v>
      </c>
      <c r="Z909" t="str">
        <f>IFERROR(VLOOKUP(ROWS($Z$3:Z909),$X$3:$Y$992,2,0),"")</f>
        <v>Hotely</v>
      </c>
    </row>
    <row r="910" spans="13:26" ht="12.75">
      <c r="M910" s="335">
        <f>IF(ISNUMBER(SEARCH(ZAKL_DATA!$B$29,N910)),MAX($M$2:M909)+1,0)</f>
        <v>908</v>
      </c>
      <c r="N910" s="336" t="s">
        <v>3229</v>
      </c>
      <c r="O910" s="353" t="s">
        <v>3230</v>
      </c>
      <c r="P910" s="338"/>
      <c r="Q910" s="339" t="str">
        <f>IFERROR(VLOOKUP(ROWS($Q$3:Q910),$M$3:$N$992,2,0),"")</f>
        <v>Motely, botely</v>
      </c>
      <c r="R910">
        <f>IF(ISNUMBER(SEARCH('1Př1'!$A$33,N910)),MAX($M$2:M909)+1,0)</f>
        <v>908</v>
      </c>
      <c r="S910" s="336" t="s">
        <v>3229</v>
      </c>
      <c r="T910" t="str">
        <f>IFERROR(VLOOKUP(ROWS($T$3:T910),$R$3:$S$992,2,0),"")</f>
        <v>Motely, botely</v>
      </c>
      <c r="U910">
        <f>IF(ISNUMBER(SEARCH('1Př1'!$A$34,N910)),MAX($M$2:M909)+1,0)</f>
        <v>908</v>
      </c>
      <c r="V910" s="336" t="s">
        <v>3229</v>
      </c>
      <c r="W910" t="str">
        <f>IFERROR(VLOOKUP(ROWS($W$3:W910),$U$3:$V$992,2,0),"")</f>
        <v>Motely, botely</v>
      </c>
      <c r="X910">
        <f>IF(ISNUMBER(SEARCH('1Př1'!$A$35,N910)),MAX($M$2:M909)+1,0)</f>
        <v>908</v>
      </c>
      <c r="Y910" s="336" t="s">
        <v>3229</v>
      </c>
      <c r="Z910" t="str">
        <f>IFERROR(VLOOKUP(ROWS($Z$3:Z910),$X$3:$Y$992,2,0),"")</f>
        <v>Motely, botely</v>
      </c>
    </row>
    <row r="911" spans="13:26" ht="12.75">
      <c r="M911" s="335">
        <f>IF(ISNUMBER(SEARCH(ZAKL_DATA!$B$29,N911)),MAX($M$2:M910)+1,0)</f>
        <v>909</v>
      </c>
      <c r="N911" s="336" t="s">
        <v>3231</v>
      </c>
      <c r="O911" s="353" t="s">
        <v>3232</v>
      </c>
      <c r="P911" s="338"/>
      <c r="Q911" s="339" t="str">
        <f>IFERROR(VLOOKUP(ROWS($Q$3:Q911),$M$3:$N$992,2,0),"")</f>
        <v>Ostatní podobná ubytovací zařízení</v>
      </c>
      <c r="R911">
        <f>IF(ISNUMBER(SEARCH('1Př1'!$A$33,N911)),MAX($M$2:M910)+1,0)</f>
        <v>909</v>
      </c>
      <c r="S911" s="336" t="s">
        <v>3231</v>
      </c>
      <c r="T911" t="str">
        <f>IFERROR(VLOOKUP(ROWS($T$3:T911),$R$3:$S$992,2,0),"")</f>
        <v>Ostatní podobná ubytovací zařízení</v>
      </c>
      <c r="U911">
        <f>IF(ISNUMBER(SEARCH('1Př1'!$A$34,N911)),MAX($M$2:M910)+1,0)</f>
        <v>909</v>
      </c>
      <c r="V911" s="336" t="s">
        <v>3231</v>
      </c>
      <c r="W911" t="str">
        <f>IFERROR(VLOOKUP(ROWS($W$3:W911),$U$3:$V$992,2,0),"")</f>
        <v>Ostatní podobná ubytovací zařízení</v>
      </c>
      <c r="X911">
        <f>IF(ISNUMBER(SEARCH('1Př1'!$A$35,N911)),MAX($M$2:M910)+1,0)</f>
        <v>909</v>
      </c>
      <c r="Y911" s="336" t="s">
        <v>3231</v>
      </c>
      <c r="Z911" t="str">
        <f>IFERROR(VLOOKUP(ROWS($Z$3:Z911),$X$3:$Y$992,2,0),"")</f>
        <v>Ostatní podobná ubytovací zařízení</v>
      </c>
    </row>
    <row r="912" spans="13:26" ht="12.75">
      <c r="M912" s="335">
        <f>IF(ISNUMBER(SEARCH(ZAKL_DATA!$B$29,N912)),MAX($M$2:M911)+1,0)</f>
        <v>910</v>
      </c>
      <c r="N912" s="336" t="s">
        <v>3233</v>
      </c>
      <c r="O912" s="353" t="s">
        <v>3234</v>
      </c>
      <c r="P912" s="338"/>
      <c r="Q912" s="339" t="str">
        <f>IFERROR(VLOOKUP(ROWS($Q$3:Q912),$M$3:$N$992,2,0),"")</f>
        <v>Ubytování v zařízených pronájmech</v>
      </c>
      <c r="R912">
        <f>IF(ISNUMBER(SEARCH('1Př1'!$A$33,N912)),MAX($M$2:M911)+1,0)</f>
        <v>910</v>
      </c>
      <c r="S912" s="336" t="s">
        <v>3233</v>
      </c>
      <c r="T912" t="str">
        <f>IFERROR(VLOOKUP(ROWS($T$3:T912),$R$3:$S$992,2,0),"")</f>
        <v>Ubytování v zařízených pronájmech</v>
      </c>
      <c r="U912">
        <f>IF(ISNUMBER(SEARCH('1Př1'!$A$34,N912)),MAX($M$2:M911)+1,0)</f>
        <v>910</v>
      </c>
      <c r="V912" s="336" t="s">
        <v>3233</v>
      </c>
      <c r="W912" t="str">
        <f>IFERROR(VLOOKUP(ROWS($W$3:W912),$U$3:$V$992,2,0),"")</f>
        <v>Ubytování v zařízených pronájmech</v>
      </c>
      <c r="X912">
        <f>IF(ISNUMBER(SEARCH('1Př1'!$A$35,N912)),MAX($M$2:M911)+1,0)</f>
        <v>910</v>
      </c>
      <c r="Y912" s="336" t="s">
        <v>3233</v>
      </c>
      <c r="Z912" t="str">
        <f>IFERROR(VLOOKUP(ROWS($Z$3:Z912),$X$3:$Y$992,2,0),"")</f>
        <v>Ubytování v zařízených pronájmech</v>
      </c>
    </row>
    <row r="913" spans="13:26" ht="12.75">
      <c r="M913" s="335">
        <f>IF(ISNUMBER(SEARCH(ZAKL_DATA!$B$29,N913)),MAX($M$2:M912)+1,0)</f>
        <v>911</v>
      </c>
      <c r="N913" s="336" t="s">
        <v>3235</v>
      </c>
      <c r="O913" s="353" t="s">
        <v>3236</v>
      </c>
      <c r="P913" s="338"/>
      <c r="Q913" s="339" t="str">
        <f>IFERROR(VLOOKUP(ROWS($Q$3:Q913),$M$3:$N$992,2,0),"")</f>
        <v>Ubytování ve vysokoškolských kolejích, domovech mládeže</v>
      </c>
      <c r="R913">
        <f>IF(ISNUMBER(SEARCH('1Př1'!$A$33,N913)),MAX($M$2:M912)+1,0)</f>
        <v>911</v>
      </c>
      <c r="S913" s="336" t="s">
        <v>3235</v>
      </c>
      <c r="T913" t="str">
        <f>IFERROR(VLOOKUP(ROWS($T$3:T913),$R$3:$S$992,2,0),"")</f>
        <v>Ubytování ve vysokoškolských kolejích, domovech mládeže</v>
      </c>
      <c r="U913">
        <f>IF(ISNUMBER(SEARCH('1Př1'!$A$34,N913)),MAX($M$2:M912)+1,0)</f>
        <v>911</v>
      </c>
      <c r="V913" s="336" t="s">
        <v>3235</v>
      </c>
      <c r="W913" t="str">
        <f>IFERROR(VLOOKUP(ROWS($W$3:W913),$U$3:$V$992,2,0),"")</f>
        <v>Ubytování ve vysokoškolských kolejích, domovech mládeže</v>
      </c>
      <c r="X913">
        <f>IF(ISNUMBER(SEARCH('1Př1'!$A$35,N913)),MAX($M$2:M912)+1,0)</f>
        <v>911</v>
      </c>
      <c r="Y913" s="336" t="s">
        <v>3235</v>
      </c>
      <c r="Z913" t="str">
        <f>IFERROR(VLOOKUP(ROWS($Z$3:Z913),$X$3:$Y$992,2,0),"")</f>
        <v>Ubytování ve vysokoškolských kolejích, domovech mládeže</v>
      </c>
    </row>
    <row r="914" spans="13:26" ht="12.75">
      <c r="M914" s="335">
        <f>IF(ISNUMBER(SEARCH(ZAKL_DATA!$B$29,N914)),MAX($M$2:M913)+1,0)</f>
        <v>912</v>
      </c>
      <c r="N914" s="336" t="s">
        <v>3237</v>
      </c>
      <c r="O914" s="353" t="s">
        <v>3238</v>
      </c>
      <c r="P914" s="338"/>
      <c r="Q914" s="339" t="str">
        <f>IFERROR(VLOOKUP(ROWS($Q$3:Q914),$M$3:$N$992,2,0),"")</f>
        <v>Ostatní ubytování j. n.</v>
      </c>
      <c r="R914">
        <f>IF(ISNUMBER(SEARCH('1Př1'!$A$33,N914)),MAX($M$2:M913)+1,0)</f>
        <v>912</v>
      </c>
      <c r="S914" s="336" t="s">
        <v>3237</v>
      </c>
      <c r="T914" t="str">
        <f>IFERROR(VLOOKUP(ROWS($T$3:T914),$R$3:$S$992,2,0),"")</f>
        <v>Ostatní ubytování j. n.</v>
      </c>
      <c r="U914">
        <f>IF(ISNUMBER(SEARCH('1Př1'!$A$34,N914)),MAX($M$2:M913)+1,0)</f>
        <v>912</v>
      </c>
      <c r="V914" s="336" t="s">
        <v>3237</v>
      </c>
      <c r="W914" t="str">
        <f>IFERROR(VLOOKUP(ROWS($W$3:W914),$U$3:$V$992,2,0),"")</f>
        <v>Ostatní ubytování j. n.</v>
      </c>
      <c r="X914">
        <f>IF(ISNUMBER(SEARCH('1Př1'!$A$35,N914)),MAX($M$2:M913)+1,0)</f>
        <v>912</v>
      </c>
      <c r="Y914" s="336" t="s">
        <v>3237</v>
      </c>
      <c r="Z914" t="str">
        <f>IFERROR(VLOOKUP(ROWS($Z$3:Z914),$X$3:$Y$992,2,0),"")</f>
        <v>Ostatní ubytování j. n.</v>
      </c>
    </row>
    <row r="915" spans="13:26" ht="12.75">
      <c r="M915" s="335">
        <f>IF(ISNUMBER(SEARCH(ZAKL_DATA!$B$29,N915)),MAX($M$2:M914)+1,0)</f>
        <v>913</v>
      </c>
      <c r="N915" s="336" t="s">
        <v>3239</v>
      </c>
      <c r="O915" s="353" t="s">
        <v>3240</v>
      </c>
      <c r="P915" s="338"/>
      <c r="Q915" s="339" t="str">
        <f>IFERROR(VLOOKUP(ROWS($Q$3:Q915),$M$3:$N$992,2,0),"")</f>
        <v>Stravování v závodních kuchyních</v>
      </c>
      <c r="R915">
        <f>IF(ISNUMBER(SEARCH('1Př1'!$A$33,N915)),MAX($M$2:M914)+1,0)</f>
        <v>913</v>
      </c>
      <c r="S915" s="336" t="s">
        <v>3239</v>
      </c>
      <c r="T915" t="str">
        <f>IFERROR(VLOOKUP(ROWS($T$3:T915),$R$3:$S$992,2,0),"")</f>
        <v>Stravování v závodních kuchyních</v>
      </c>
      <c r="U915">
        <f>IF(ISNUMBER(SEARCH('1Př1'!$A$34,N915)),MAX($M$2:M914)+1,0)</f>
        <v>913</v>
      </c>
      <c r="V915" s="336" t="s">
        <v>3239</v>
      </c>
      <c r="W915" t="str">
        <f>IFERROR(VLOOKUP(ROWS($W$3:W915),$U$3:$V$992,2,0),"")</f>
        <v>Stravování v závodních kuchyních</v>
      </c>
      <c r="X915">
        <f>IF(ISNUMBER(SEARCH('1Př1'!$A$35,N915)),MAX($M$2:M914)+1,0)</f>
        <v>913</v>
      </c>
      <c r="Y915" s="336" t="s">
        <v>3239</v>
      </c>
      <c r="Z915" t="str">
        <f>IFERROR(VLOOKUP(ROWS($Z$3:Z915),$X$3:$Y$992,2,0),"")</f>
        <v>Stravování v závodních kuchyních</v>
      </c>
    </row>
    <row r="916" spans="13:26" ht="12.75">
      <c r="M916" s="335">
        <f>IF(ISNUMBER(SEARCH(ZAKL_DATA!$B$29,N916)),MAX($M$2:M915)+1,0)</f>
        <v>914</v>
      </c>
      <c r="N916" s="336" t="s">
        <v>3241</v>
      </c>
      <c r="O916" s="353" t="s">
        <v>3242</v>
      </c>
      <c r="P916" s="338"/>
      <c r="Q916" s="339" t="str">
        <f>IFERROR(VLOOKUP(ROWS($Q$3:Q916),$M$3:$N$992,2,0),"")</f>
        <v>Stravování ve školních zařízeních, menzách</v>
      </c>
      <c r="R916">
        <f>IF(ISNUMBER(SEARCH('1Př1'!$A$33,N916)),MAX($M$2:M915)+1,0)</f>
        <v>914</v>
      </c>
      <c r="S916" s="336" t="s">
        <v>3241</v>
      </c>
      <c r="T916" t="str">
        <f>IFERROR(VLOOKUP(ROWS($T$3:T916),$R$3:$S$992,2,0),"")</f>
        <v>Stravování ve školních zařízeních, menzách</v>
      </c>
      <c r="U916">
        <f>IF(ISNUMBER(SEARCH('1Př1'!$A$34,N916)),MAX($M$2:M915)+1,0)</f>
        <v>914</v>
      </c>
      <c r="V916" s="336" t="s">
        <v>3241</v>
      </c>
      <c r="W916" t="str">
        <f>IFERROR(VLOOKUP(ROWS($W$3:W916),$U$3:$V$992,2,0),"")</f>
        <v>Stravování ve školních zařízeních, menzách</v>
      </c>
      <c r="X916">
        <f>IF(ISNUMBER(SEARCH('1Př1'!$A$35,N916)),MAX($M$2:M915)+1,0)</f>
        <v>914</v>
      </c>
      <c r="Y916" s="336" t="s">
        <v>3241</v>
      </c>
      <c r="Z916" t="str">
        <f>IFERROR(VLOOKUP(ROWS($Z$3:Z916),$X$3:$Y$992,2,0),"")</f>
        <v>Stravování ve školních zařízeních, menzách</v>
      </c>
    </row>
    <row r="917" spans="13:26" ht="12.75">
      <c r="M917" s="335">
        <f>IF(ISNUMBER(SEARCH(ZAKL_DATA!$B$29,N917)),MAX($M$2:M916)+1,0)</f>
        <v>915</v>
      </c>
      <c r="N917" s="336" t="s">
        <v>3243</v>
      </c>
      <c r="O917" s="353" t="s">
        <v>3244</v>
      </c>
      <c r="P917" s="338"/>
      <c r="Q917" s="339" t="str">
        <f>IFERROR(VLOOKUP(ROWS($Q$3:Q917),$M$3:$N$992,2,0),"")</f>
        <v>Poskytování jiných stravovacích služeb j. n.</v>
      </c>
      <c r="R917">
        <f>IF(ISNUMBER(SEARCH('1Př1'!$A$33,N917)),MAX($M$2:M916)+1,0)</f>
        <v>915</v>
      </c>
      <c r="S917" s="336" t="s">
        <v>3243</v>
      </c>
      <c r="T917" t="str">
        <f>IFERROR(VLOOKUP(ROWS($T$3:T917),$R$3:$S$992,2,0),"")</f>
        <v>Poskytování jiných stravovacích služeb j. n.</v>
      </c>
      <c r="U917">
        <f>IF(ISNUMBER(SEARCH('1Př1'!$A$34,N917)),MAX($M$2:M916)+1,0)</f>
        <v>915</v>
      </c>
      <c r="V917" s="336" t="s">
        <v>3243</v>
      </c>
      <c r="W917" t="str">
        <f>IFERROR(VLOOKUP(ROWS($W$3:W917),$U$3:$V$992,2,0),"")</f>
        <v>Poskytování jiných stravovacích služeb j. n.</v>
      </c>
      <c r="X917">
        <f>IF(ISNUMBER(SEARCH('1Př1'!$A$35,N917)),MAX($M$2:M916)+1,0)</f>
        <v>915</v>
      </c>
      <c r="Y917" s="336" t="s">
        <v>3243</v>
      </c>
      <c r="Z917" t="str">
        <f>IFERROR(VLOOKUP(ROWS($Z$3:Z917),$X$3:$Y$992,2,0),"")</f>
        <v>Poskytování jiných stravovacích služeb j. n.</v>
      </c>
    </row>
    <row r="918" spans="13:26" ht="12.75">
      <c r="M918" s="335">
        <f>IF(ISNUMBER(SEARCH(ZAKL_DATA!$B$29,N918)),MAX($M$2:M917)+1,0)</f>
        <v>916</v>
      </c>
      <c r="N918" s="336" t="s">
        <v>3245</v>
      </c>
      <c r="O918" s="353" t="s">
        <v>3246</v>
      </c>
      <c r="P918" s="338"/>
      <c r="Q918" s="339" t="str">
        <f>IFERROR(VLOOKUP(ROWS($Q$3:Q918),$M$3:$N$992,2,0),"")</f>
        <v>Poskytování hlasových služeb přes pevnou telekomunikační síť</v>
      </c>
      <c r="R918">
        <f>IF(ISNUMBER(SEARCH('1Př1'!$A$33,N918)),MAX($M$2:M917)+1,0)</f>
        <v>916</v>
      </c>
      <c r="S918" s="336" t="s">
        <v>3245</v>
      </c>
      <c r="T918" t="str">
        <f>IFERROR(VLOOKUP(ROWS($T$3:T918),$R$3:$S$992,2,0),"")</f>
        <v>Poskytování hlasových služeb přes pevnou telekomunikační síť</v>
      </c>
      <c r="U918">
        <f>IF(ISNUMBER(SEARCH('1Př1'!$A$34,N918)),MAX($M$2:M917)+1,0)</f>
        <v>916</v>
      </c>
      <c r="V918" s="336" t="s">
        <v>3245</v>
      </c>
      <c r="W918" t="str">
        <f>IFERROR(VLOOKUP(ROWS($W$3:W918),$U$3:$V$992,2,0),"")</f>
        <v>Poskytování hlasových služeb přes pevnou telekomunikační síť</v>
      </c>
      <c r="X918">
        <f>IF(ISNUMBER(SEARCH('1Př1'!$A$35,N918)),MAX($M$2:M917)+1,0)</f>
        <v>916</v>
      </c>
      <c r="Y918" s="336" t="s">
        <v>3245</v>
      </c>
      <c r="Z918" t="str">
        <f>IFERROR(VLOOKUP(ROWS($Z$3:Z918),$X$3:$Y$992,2,0),"")</f>
        <v>Poskytování hlasových služeb přes pevnou telekomunikační síť</v>
      </c>
    </row>
    <row r="919" spans="13:26" ht="12.75">
      <c r="M919" s="335">
        <f>IF(ISNUMBER(SEARCH(ZAKL_DATA!$B$29,N919)),MAX($M$2:M918)+1,0)</f>
        <v>917</v>
      </c>
      <c r="N919" s="336" t="s">
        <v>3247</v>
      </c>
      <c r="O919" s="353" t="s">
        <v>3248</v>
      </c>
      <c r="P919" s="338"/>
      <c r="Q919" s="339" t="str">
        <f>IFERROR(VLOOKUP(ROWS($Q$3:Q919),$M$3:$N$992,2,0),"")</f>
        <v>Pronájem pevné telekomunikační sítě</v>
      </c>
      <c r="R919">
        <f>IF(ISNUMBER(SEARCH('1Př1'!$A$33,N919)),MAX($M$2:M918)+1,0)</f>
        <v>917</v>
      </c>
      <c r="S919" s="336" t="s">
        <v>3247</v>
      </c>
      <c r="T919" t="str">
        <f>IFERROR(VLOOKUP(ROWS($T$3:T919),$R$3:$S$992,2,0),"")</f>
        <v>Pronájem pevné telekomunikační sítě</v>
      </c>
      <c r="U919">
        <f>IF(ISNUMBER(SEARCH('1Př1'!$A$34,N919)),MAX($M$2:M918)+1,0)</f>
        <v>917</v>
      </c>
      <c r="V919" s="336" t="s">
        <v>3247</v>
      </c>
      <c r="W919" t="str">
        <f>IFERROR(VLOOKUP(ROWS($W$3:W919),$U$3:$V$992,2,0),"")</f>
        <v>Pronájem pevné telekomunikační sítě</v>
      </c>
      <c r="X919">
        <f>IF(ISNUMBER(SEARCH('1Př1'!$A$35,N919)),MAX($M$2:M918)+1,0)</f>
        <v>917</v>
      </c>
      <c r="Y919" s="336" t="s">
        <v>3247</v>
      </c>
      <c r="Z919" t="str">
        <f>IFERROR(VLOOKUP(ROWS($Z$3:Z919),$X$3:$Y$992,2,0),"")</f>
        <v>Pronájem pevné telekomunikační sítě</v>
      </c>
    </row>
    <row r="920" spans="13:26" ht="12.75">
      <c r="M920" s="335">
        <f>IF(ISNUMBER(SEARCH(ZAKL_DATA!$B$29,N920)),MAX($M$2:M919)+1,0)</f>
        <v>918</v>
      </c>
      <c r="N920" s="336" t="s">
        <v>3249</v>
      </c>
      <c r="O920" s="353" t="s">
        <v>3250</v>
      </c>
      <c r="P920" s="338"/>
      <c r="Q920" s="339" t="str">
        <f>IFERROR(VLOOKUP(ROWS($Q$3:Q920),$M$3:$N$992,2,0),"")</f>
        <v>Přenos dat přes pevnou telekomunikační síť</v>
      </c>
      <c r="R920">
        <f>IF(ISNUMBER(SEARCH('1Př1'!$A$33,N920)),MAX($M$2:M919)+1,0)</f>
        <v>918</v>
      </c>
      <c r="S920" s="336" t="s">
        <v>3249</v>
      </c>
      <c r="T920" t="str">
        <f>IFERROR(VLOOKUP(ROWS($T$3:T920),$R$3:$S$992,2,0),"")</f>
        <v>Přenos dat přes pevnou telekomunikační síť</v>
      </c>
      <c r="U920">
        <f>IF(ISNUMBER(SEARCH('1Př1'!$A$34,N920)),MAX($M$2:M919)+1,0)</f>
        <v>918</v>
      </c>
      <c r="V920" s="336" t="s">
        <v>3249</v>
      </c>
      <c r="W920" t="str">
        <f>IFERROR(VLOOKUP(ROWS($W$3:W920),$U$3:$V$992,2,0),"")</f>
        <v>Přenos dat přes pevnou telekomunikační síť</v>
      </c>
      <c r="X920">
        <f>IF(ISNUMBER(SEARCH('1Př1'!$A$35,N920)),MAX($M$2:M919)+1,0)</f>
        <v>918</v>
      </c>
      <c r="Y920" s="336" t="s">
        <v>3249</v>
      </c>
      <c r="Z920" t="str">
        <f>IFERROR(VLOOKUP(ROWS($Z$3:Z920),$X$3:$Y$992,2,0),"")</f>
        <v>Přenos dat přes pevnou telekomunikační síť</v>
      </c>
    </row>
    <row r="921" spans="13:26" ht="12.75">
      <c r="M921" s="335">
        <f>IF(ISNUMBER(SEARCH(ZAKL_DATA!$B$29,N921)),MAX($M$2:M920)+1,0)</f>
        <v>919</v>
      </c>
      <c r="N921" s="336" t="s">
        <v>3251</v>
      </c>
      <c r="O921" s="353" t="s">
        <v>3252</v>
      </c>
      <c r="P921" s="338"/>
      <c r="Q921" s="339" t="str">
        <f>IFERROR(VLOOKUP(ROWS($Q$3:Q921),$M$3:$N$992,2,0),"")</f>
        <v>Poskytování přístupu k internetu přes pevnou telekomunikační síť</v>
      </c>
      <c r="R921">
        <f>IF(ISNUMBER(SEARCH('1Př1'!$A$33,N921)),MAX($M$2:M920)+1,0)</f>
        <v>919</v>
      </c>
      <c r="S921" s="336" t="s">
        <v>3251</v>
      </c>
      <c r="T921" t="str">
        <f>IFERROR(VLOOKUP(ROWS($T$3:T921),$R$3:$S$992,2,0),"")</f>
        <v>Poskytování přístupu k internetu přes pevnou telekomunikační síť</v>
      </c>
      <c r="U921">
        <f>IF(ISNUMBER(SEARCH('1Př1'!$A$34,N921)),MAX($M$2:M920)+1,0)</f>
        <v>919</v>
      </c>
      <c r="V921" s="336" t="s">
        <v>3251</v>
      </c>
      <c r="W921" t="str">
        <f>IFERROR(VLOOKUP(ROWS($W$3:W921),$U$3:$V$992,2,0),"")</f>
        <v>Poskytování přístupu k internetu přes pevnou telekomunikační síť</v>
      </c>
      <c r="X921">
        <f>IF(ISNUMBER(SEARCH('1Př1'!$A$35,N921)),MAX($M$2:M920)+1,0)</f>
        <v>919</v>
      </c>
      <c r="Y921" s="336" t="s">
        <v>3251</v>
      </c>
      <c r="Z921" t="str">
        <f>IFERROR(VLOOKUP(ROWS($Z$3:Z921),$X$3:$Y$992,2,0),"")</f>
        <v>Poskytování přístupu k internetu přes pevnou telekomunikační síť</v>
      </c>
    </row>
    <row r="922" spans="13:26" ht="12.75">
      <c r="M922" s="335">
        <f>IF(ISNUMBER(SEARCH(ZAKL_DATA!$B$29,N922)),MAX($M$2:M921)+1,0)</f>
        <v>920</v>
      </c>
      <c r="N922" s="336" t="s">
        <v>3253</v>
      </c>
      <c r="O922" s="353" t="s">
        <v>3254</v>
      </c>
      <c r="P922" s="338"/>
      <c r="Q922" s="339" t="str">
        <f>IFERROR(VLOOKUP(ROWS($Q$3:Q922),$M$3:$N$992,2,0),"")</f>
        <v>Ostatní činnosti související s pevnou telekomunikační sítí</v>
      </c>
      <c r="R922">
        <f>IF(ISNUMBER(SEARCH('1Př1'!$A$33,N922)),MAX($M$2:M921)+1,0)</f>
        <v>920</v>
      </c>
      <c r="S922" s="336" t="s">
        <v>3253</v>
      </c>
      <c r="T922" t="str">
        <f>IFERROR(VLOOKUP(ROWS($T$3:T922),$R$3:$S$992,2,0),"")</f>
        <v>Ostatní činnosti související s pevnou telekomunikační sítí</v>
      </c>
      <c r="U922">
        <f>IF(ISNUMBER(SEARCH('1Př1'!$A$34,N922)),MAX($M$2:M921)+1,0)</f>
        <v>920</v>
      </c>
      <c r="V922" s="336" t="s">
        <v>3253</v>
      </c>
      <c r="W922" t="str">
        <f>IFERROR(VLOOKUP(ROWS($W$3:W922),$U$3:$V$992,2,0),"")</f>
        <v>Ostatní činnosti související s pevnou telekomunikační sítí</v>
      </c>
      <c r="X922">
        <f>IF(ISNUMBER(SEARCH('1Př1'!$A$35,N922)),MAX($M$2:M921)+1,0)</f>
        <v>920</v>
      </c>
      <c r="Y922" s="336" t="s">
        <v>3253</v>
      </c>
      <c r="Z922" t="str">
        <f>IFERROR(VLOOKUP(ROWS($Z$3:Z922),$X$3:$Y$992,2,0),"")</f>
        <v>Ostatní činnosti související s pevnou telekomunikační sítí</v>
      </c>
    </row>
    <row r="923" spans="13:26" ht="12.75">
      <c r="M923" s="335">
        <f>IF(ISNUMBER(SEARCH(ZAKL_DATA!$B$29,N923)),MAX($M$2:M922)+1,0)</f>
        <v>921</v>
      </c>
      <c r="N923" s="336" t="s">
        <v>3255</v>
      </c>
      <c r="O923" s="353" t="s">
        <v>3256</v>
      </c>
      <c r="P923" s="338"/>
      <c r="Q923" s="339" t="str">
        <f>IFERROR(VLOOKUP(ROWS($Q$3:Q923),$M$3:$N$992,2,0),"")</f>
        <v>Poskytování hlasových služeb přes bezdrátovou telekomunikační síť</v>
      </c>
      <c r="R923">
        <f>IF(ISNUMBER(SEARCH('1Př1'!$A$33,N923)),MAX($M$2:M922)+1,0)</f>
        <v>921</v>
      </c>
      <c r="S923" s="336" t="s">
        <v>3255</v>
      </c>
      <c r="T923" t="str">
        <f>IFERROR(VLOOKUP(ROWS($T$3:T923),$R$3:$S$992,2,0),"")</f>
        <v>Poskytování hlasových služeb přes bezdrátovou telekomunikační síť</v>
      </c>
      <c r="U923">
        <f>IF(ISNUMBER(SEARCH('1Př1'!$A$34,N923)),MAX($M$2:M922)+1,0)</f>
        <v>921</v>
      </c>
      <c r="V923" s="336" t="s">
        <v>3255</v>
      </c>
      <c r="W923" t="str">
        <f>IFERROR(VLOOKUP(ROWS($W$3:W923),$U$3:$V$992,2,0),"")</f>
        <v>Poskytování hlasových služeb přes bezdrátovou telekomunikační síť</v>
      </c>
      <c r="X923">
        <f>IF(ISNUMBER(SEARCH('1Př1'!$A$35,N923)),MAX($M$2:M922)+1,0)</f>
        <v>921</v>
      </c>
      <c r="Y923" s="336" t="s">
        <v>3255</v>
      </c>
      <c r="Z923" t="str">
        <f>IFERROR(VLOOKUP(ROWS($Z$3:Z923),$X$3:$Y$992,2,0),"")</f>
        <v>Poskytování hlasových služeb přes bezdrátovou telekomunikační síť</v>
      </c>
    </row>
    <row r="924" spans="13:26" ht="12.75">
      <c r="M924" s="335">
        <f>IF(ISNUMBER(SEARCH(ZAKL_DATA!$B$29,N924)),MAX($M$2:M923)+1,0)</f>
        <v>922</v>
      </c>
      <c r="N924" s="336" t="s">
        <v>3257</v>
      </c>
      <c r="O924" s="353" t="s">
        <v>3258</v>
      </c>
      <c r="P924" s="338"/>
      <c r="Q924" s="339" t="str">
        <f>IFERROR(VLOOKUP(ROWS($Q$3:Q924),$M$3:$N$992,2,0),"")</f>
        <v>Pronájem bezdrátové telekomunikační sítě</v>
      </c>
      <c r="R924">
        <f>IF(ISNUMBER(SEARCH('1Př1'!$A$33,N924)),MAX($M$2:M923)+1,0)</f>
        <v>922</v>
      </c>
      <c r="S924" s="336" t="s">
        <v>3257</v>
      </c>
      <c r="T924" t="str">
        <f>IFERROR(VLOOKUP(ROWS($T$3:T924),$R$3:$S$992,2,0),"")</f>
        <v>Pronájem bezdrátové telekomunikační sítě</v>
      </c>
      <c r="U924">
        <f>IF(ISNUMBER(SEARCH('1Př1'!$A$34,N924)),MAX($M$2:M923)+1,0)</f>
        <v>922</v>
      </c>
      <c r="V924" s="336" t="s">
        <v>3257</v>
      </c>
      <c r="W924" t="str">
        <f>IFERROR(VLOOKUP(ROWS($W$3:W924),$U$3:$V$992,2,0),"")</f>
        <v>Pronájem bezdrátové telekomunikační sítě</v>
      </c>
      <c r="X924">
        <f>IF(ISNUMBER(SEARCH('1Př1'!$A$35,N924)),MAX($M$2:M923)+1,0)</f>
        <v>922</v>
      </c>
      <c r="Y924" s="336" t="s">
        <v>3257</v>
      </c>
      <c r="Z924" t="str">
        <f>IFERROR(VLOOKUP(ROWS($Z$3:Z924),$X$3:$Y$992,2,0),"")</f>
        <v>Pronájem bezdrátové telekomunikační sítě</v>
      </c>
    </row>
    <row r="925" spans="13:26" ht="12.75">
      <c r="M925" s="335">
        <f>IF(ISNUMBER(SEARCH(ZAKL_DATA!$B$29,N925)),MAX($M$2:M924)+1,0)</f>
        <v>923</v>
      </c>
      <c r="N925" s="336" t="s">
        <v>3259</v>
      </c>
      <c r="O925" s="353" t="s">
        <v>3260</v>
      </c>
      <c r="P925" s="338"/>
      <c r="Q925" s="339" t="str">
        <f>IFERROR(VLOOKUP(ROWS($Q$3:Q925),$M$3:$N$992,2,0),"")</f>
        <v>Přenos dat přes bezdrátovou telekomunikační síť</v>
      </c>
      <c r="R925">
        <f>IF(ISNUMBER(SEARCH('1Př1'!$A$33,N925)),MAX($M$2:M924)+1,0)</f>
        <v>923</v>
      </c>
      <c r="S925" s="336" t="s">
        <v>3259</v>
      </c>
      <c r="T925" t="str">
        <f>IFERROR(VLOOKUP(ROWS($T$3:T925),$R$3:$S$992,2,0),"")</f>
        <v>Přenos dat přes bezdrátovou telekomunikační síť</v>
      </c>
      <c r="U925">
        <f>IF(ISNUMBER(SEARCH('1Př1'!$A$34,N925)),MAX($M$2:M924)+1,0)</f>
        <v>923</v>
      </c>
      <c r="V925" s="336" t="s">
        <v>3259</v>
      </c>
      <c r="W925" t="str">
        <f>IFERROR(VLOOKUP(ROWS($W$3:W925),$U$3:$V$992,2,0),"")</f>
        <v>Přenos dat přes bezdrátovou telekomunikační síť</v>
      </c>
      <c r="X925">
        <f>IF(ISNUMBER(SEARCH('1Př1'!$A$35,N925)),MAX($M$2:M924)+1,0)</f>
        <v>923</v>
      </c>
      <c r="Y925" s="336" t="s">
        <v>3259</v>
      </c>
      <c r="Z925" t="str">
        <f>IFERROR(VLOOKUP(ROWS($Z$3:Z925),$X$3:$Y$992,2,0),"")</f>
        <v>Přenos dat přes bezdrátovou telekomunikační síť</v>
      </c>
    </row>
    <row r="926" spans="13:26" ht="12.75">
      <c r="M926" s="335">
        <f>IF(ISNUMBER(SEARCH(ZAKL_DATA!$B$29,N926)),MAX($M$2:M925)+1,0)</f>
        <v>924</v>
      </c>
      <c r="N926" s="336" t="s">
        <v>3261</v>
      </c>
      <c r="O926" s="353" t="s">
        <v>3262</v>
      </c>
      <c r="P926" s="338"/>
      <c r="Q926" s="339" t="str">
        <f>IFERROR(VLOOKUP(ROWS($Q$3:Q926),$M$3:$N$992,2,0),"")</f>
        <v>Poskytování přístupu k internetu přes bezdrátovou telekomunikační síť</v>
      </c>
      <c r="R926">
        <f>IF(ISNUMBER(SEARCH('1Př1'!$A$33,N926)),MAX($M$2:M925)+1,0)</f>
        <v>924</v>
      </c>
      <c r="S926" s="336" t="s">
        <v>3261</v>
      </c>
      <c r="T926" t="str">
        <f>IFERROR(VLOOKUP(ROWS($T$3:T926),$R$3:$S$992,2,0),"")</f>
        <v>Poskytování přístupu k internetu přes bezdrátovou telekomunikační síť</v>
      </c>
      <c r="U926">
        <f>IF(ISNUMBER(SEARCH('1Př1'!$A$34,N926)),MAX($M$2:M925)+1,0)</f>
        <v>924</v>
      </c>
      <c r="V926" s="336" t="s">
        <v>3261</v>
      </c>
      <c r="W926" t="str">
        <f>IFERROR(VLOOKUP(ROWS($W$3:W926),$U$3:$V$992,2,0),"")</f>
        <v>Poskytování přístupu k internetu přes bezdrátovou telekomunikační síť</v>
      </c>
      <c r="X926">
        <f>IF(ISNUMBER(SEARCH('1Př1'!$A$35,N926)),MAX($M$2:M925)+1,0)</f>
        <v>924</v>
      </c>
      <c r="Y926" s="336" t="s">
        <v>3261</v>
      </c>
      <c r="Z926" t="str">
        <f>IFERROR(VLOOKUP(ROWS($Z$3:Z926),$X$3:$Y$992,2,0),"")</f>
        <v>Poskytování přístupu k internetu přes bezdrátovou telekomunikační síť</v>
      </c>
    </row>
    <row r="927" spans="13:26" ht="12.75">
      <c r="M927" s="335">
        <f>IF(ISNUMBER(SEARCH(ZAKL_DATA!$B$29,N927)),MAX($M$2:M926)+1,0)</f>
        <v>925</v>
      </c>
      <c r="N927" s="336" t="s">
        <v>3263</v>
      </c>
      <c r="O927" s="353" t="s">
        <v>3264</v>
      </c>
      <c r="P927" s="338"/>
      <c r="Q927" s="339" t="str">
        <f>IFERROR(VLOOKUP(ROWS($Q$3:Q927),$M$3:$N$992,2,0),"")</f>
        <v>Ostatní činnosti související s bezdrátovou telekomunikační sítí</v>
      </c>
      <c r="R927">
        <f>IF(ISNUMBER(SEARCH('1Př1'!$A$33,N927)),MAX($M$2:M926)+1,0)</f>
        <v>925</v>
      </c>
      <c r="S927" s="336" t="s">
        <v>3263</v>
      </c>
      <c r="T927" t="str">
        <f>IFERROR(VLOOKUP(ROWS($T$3:T927),$R$3:$S$992,2,0),"")</f>
        <v>Ostatní činnosti související s bezdrátovou telekomunikační sítí</v>
      </c>
      <c r="U927">
        <f>IF(ISNUMBER(SEARCH('1Př1'!$A$34,N927)),MAX($M$2:M926)+1,0)</f>
        <v>925</v>
      </c>
      <c r="V927" s="336" t="s">
        <v>3263</v>
      </c>
      <c r="W927" t="str">
        <f>IFERROR(VLOOKUP(ROWS($W$3:W927),$U$3:$V$992,2,0),"")</f>
        <v>Ostatní činnosti související s bezdrátovou telekomunikační sítí</v>
      </c>
      <c r="X927">
        <f>IF(ISNUMBER(SEARCH('1Př1'!$A$35,N927)),MAX($M$2:M926)+1,0)</f>
        <v>925</v>
      </c>
      <c r="Y927" s="336" t="s">
        <v>3263</v>
      </c>
      <c r="Z927" t="str">
        <f>IFERROR(VLOOKUP(ROWS($Z$3:Z927),$X$3:$Y$992,2,0),"")</f>
        <v>Ostatní činnosti související s bezdrátovou telekomunikační sítí</v>
      </c>
    </row>
    <row r="928" spans="13:26" ht="12.75">
      <c r="M928" s="335">
        <f>IF(ISNUMBER(SEARCH(ZAKL_DATA!$B$29,N928)),MAX($M$2:M927)+1,0)</f>
        <v>926</v>
      </c>
      <c r="N928" s="336" t="s">
        <v>3265</v>
      </c>
      <c r="O928" s="353" t="s">
        <v>3266</v>
      </c>
      <c r="P928" s="338"/>
      <c r="Q928" s="339" t="str">
        <f>IFERROR(VLOOKUP(ROWS($Q$3:Q928),$M$3:$N$992,2,0),"")</f>
        <v>Poskytování úvěrů společnostmi, které nepřijímají vklady</v>
      </c>
      <c r="R928">
        <f>IF(ISNUMBER(SEARCH('1Př1'!$A$33,N928)),MAX($M$2:M927)+1,0)</f>
        <v>926</v>
      </c>
      <c r="S928" s="336" t="s">
        <v>3265</v>
      </c>
      <c r="T928" t="str">
        <f>IFERROR(VLOOKUP(ROWS($T$3:T928),$R$3:$S$992,2,0),"")</f>
        <v>Poskytování úvěrů společnostmi, které nepřijímají vklady</v>
      </c>
      <c r="U928">
        <f>IF(ISNUMBER(SEARCH('1Př1'!$A$34,N928)),MAX($M$2:M927)+1,0)</f>
        <v>926</v>
      </c>
      <c r="V928" s="336" t="s">
        <v>3265</v>
      </c>
      <c r="W928" t="str">
        <f>IFERROR(VLOOKUP(ROWS($W$3:W928),$U$3:$V$992,2,0),"")</f>
        <v>Poskytování úvěrů společnostmi, které nepřijímají vklady</v>
      </c>
      <c r="X928">
        <f>IF(ISNUMBER(SEARCH('1Př1'!$A$35,N928)),MAX($M$2:M927)+1,0)</f>
        <v>926</v>
      </c>
      <c r="Y928" s="336" t="s">
        <v>3265</v>
      </c>
      <c r="Z928" t="str">
        <f>IFERROR(VLOOKUP(ROWS($Z$3:Z928),$X$3:$Y$992,2,0),"")</f>
        <v>Poskytování úvěrů společnostmi, které nepřijímají vklady</v>
      </c>
    </row>
    <row r="929" spans="13:26" ht="12.75">
      <c r="M929" s="335">
        <f>IF(ISNUMBER(SEARCH(ZAKL_DATA!$B$29,N929)),MAX($M$2:M928)+1,0)</f>
        <v>927</v>
      </c>
      <c r="N929" s="336" t="s">
        <v>3267</v>
      </c>
      <c r="O929" s="353" t="s">
        <v>3268</v>
      </c>
      <c r="P929" s="338"/>
      <c r="Q929" s="339" t="str">
        <f>IFERROR(VLOOKUP(ROWS($Q$3:Q929),$M$3:$N$992,2,0),"")</f>
        <v>Poskytování obchodních úvěrů</v>
      </c>
      <c r="R929">
        <f>IF(ISNUMBER(SEARCH('1Př1'!$A$33,N929)),MAX($M$2:M928)+1,0)</f>
        <v>927</v>
      </c>
      <c r="S929" s="336" t="s">
        <v>3267</v>
      </c>
      <c r="T929" t="str">
        <f>IFERROR(VLOOKUP(ROWS($T$3:T929),$R$3:$S$992,2,0),"")</f>
        <v>Poskytování obchodních úvěrů</v>
      </c>
      <c r="U929">
        <f>IF(ISNUMBER(SEARCH('1Př1'!$A$34,N929)),MAX($M$2:M928)+1,0)</f>
        <v>927</v>
      </c>
      <c r="V929" s="336" t="s">
        <v>3267</v>
      </c>
      <c r="W929" t="str">
        <f>IFERROR(VLOOKUP(ROWS($W$3:W929),$U$3:$V$992,2,0),"")</f>
        <v>Poskytování obchodních úvěrů</v>
      </c>
      <c r="X929">
        <f>IF(ISNUMBER(SEARCH('1Př1'!$A$35,N929)),MAX($M$2:M928)+1,0)</f>
        <v>927</v>
      </c>
      <c r="Y929" s="336" t="s">
        <v>3267</v>
      </c>
      <c r="Z929" t="str">
        <f>IFERROR(VLOOKUP(ROWS($Z$3:Z929),$X$3:$Y$992,2,0),"")</f>
        <v>Poskytování obchodních úvěrů</v>
      </c>
    </row>
    <row r="930" spans="13:26" ht="12.75">
      <c r="M930" s="335">
        <f>IF(ISNUMBER(SEARCH(ZAKL_DATA!$B$29,N930)),MAX($M$2:M929)+1,0)</f>
        <v>928</v>
      </c>
      <c r="N930" s="336" t="s">
        <v>3269</v>
      </c>
      <c r="O930" s="353" t="s">
        <v>3270</v>
      </c>
      <c r="P930" s="338"/>
      <c r="Q930" s="339" t="str">
        <f>IFERROR(VLOOKUP(ROWS($Q$3:Q930),$M$3:$N$992,2,0),"")</f>
        <v>Činnosti zastaváren</v>
      </c>
      <c r="R930">
        <f>IF(ISNUMBER(SEARCH('1Př1'!$A$33,N930)),MAX($M$2:M929)+1,0)</f>
        <v>928</v>
      </c>
      <c r="S930" s="336" t="s">
        <v>3269</v>
      </c>
      <c r="T930" t="str">
        <f>IFERROR(VLOOKUP(ROWS($T$3:T930),$R$3:$S$992,2,0),"")</f>
        <v>Činnosti zastaváren</v>
      </c>
      <c r="U930">
        <f>IF(ISNUMBER(SEARCH('1Př1'!$A$34,N930)),MAX($M$2:M929)+1,0)</f>
        <v>928</v>
      </c>
      <c r="V930" s="336" t="s">
        <v>3269</v>
      </c>
      <c r="W930" t="str">
        <f>IFERROR(VLOOKUP(ROWS($W$3:W930),$U$3:$V$992,2,0),"")</f>
        <v>Činnosti zastaváren</v>
      </c>
      <c r="X930">
        <f>IF(ISNUMBER(SEARCH('1Př1'!$A$35,N930)),MAX($M$2:M929)+1,0)</f>
        <v>928</v>
      </c>
      <c r="Y930" s="336" t="s">
        <v>3269</v>
      </c>
      <c r="Z930" t="str">
        <f>IFERROR(VLOOKUP(ROWS($Z$3:Z930),$X$3:$Y$992,2,0),"")</f>
        <v>Činnosti zastaváren</v>
      </c>
    </row>
    <row r="931" spans="13:26" ht="12.75">
      <c r="M931" s="335">
        <f>IF(ISNUMBER(SEARCH(ZAKL_DATA!$B$29,N931)),MAX($M$2:M930)+1,0)</f>
        <v>929</v>
      </c>
      <c r="N931" s="336" t="s">
        <v>3271</v>
      </c>
      <c r="O931" s="353" t="s">
        <v>3272</v>
      </c>
      <c r="P931" s="338"/>
      <c r="Q931" s="339" t="str">
        <f>IFERROR(VLOOKUP(ROWS($Q$3:Q931),$M$3:$N$992,2,0),"")</f>
        <v>Ostatní poskytování úvěrů j. n.</v>
      </c>
      <c r="R931">
        <f>IF(ISNUMBER(SEARCH('1Př1'!$A$33,N931)),MAX($M$2:M930)+1,0)</f>
        <v>929</v>
      </c>
      <c r="S931" s="336" t="s">
        <v>3271</v>
      </c>
      <c r="T931" t="str">
        <f>IFERROR(VLOOKUP(ROWS($T$3:T931),$R$3:$S$992,2,0),"")</f>
        <v>Ostatní poskytování úvěrů j. n.</v>
      </c>
      <c r="U931">
        <f>IF(ISNUMBER(SEARCH('1Př1'!$A$34,N931)),MAX($M$2:M930)+1,0)</f>
        <v>929</v>
      </c>
      <c r="V931" s="336" t="s">
        <v>3271</v>
      </c>
      <c r="W931" t="str">
        <f>IFERROR(VLOOKUP(ROWS($W$3:W931),$U$3:$V$992,2,0),"")</f>
        <v>Ostatní poskytování úvěrů j. n.</v>
      </c>
      <c r="X931">
        <f>IF(ISNUMBER(SEARCH('1Př1'!$A$35,N931)),MAX($M$2:M930)+1,0)</f>
        <v>929</v>
      </c>
      <c r="Y931" s="336" t="s">
        <v>3271</v>
      </c>
      <c r="Z931" t="str">
        <f>IFERROR(VLOOKUP(ROWS($Z$3:Z931),$X$3:$Y$992,2,0),"")</f>
        <v>Ostatní poskytování úvěrů j. n.</v>
      </c>
    </row>
    <row r="932" spans="13:26" ht="12.75">
      <c r="M932" s="335">
        <f>IF(ISNUMBER(SEARCH(ZAKL_DATA!$B$29,N932)),MAX($M$2:M931)+1,0)</f>
        <v>930</v>
      </c>
      <c r="N932" s="336" t="s">
        <v>3273</v>
      </c>
      <c r="O932" s="353" t="s">
        <v>3274</v>
      </c>
      <c r="P932" s="338"/>
      <c r="Q932" s="339" t="str">
        <f>IFERROR(VLOOKUP(ROWS($Q$3:Q932),$M$3:$N$992,2,0),"")</f>
        <v>Faktoringové činnosti</v>
      </c>
      <c r="R932">
        <f>IF(ISNUMBER(SEARCH('1Př1'!$A$33,N932)),MAX($M$2:M931)+1,0)</f>
        <v>930</v>
      </c>
      <c r="S932" s="336" t="s">
        <v>3273</v>
      </c>
      <c r="T932" t="str">
        <f>IFERROR(VLOOKUP(ROWS($T$3:T932),$R$3:$S$992,2,0),"")</f>
        <v>Faktoringové činnosti</v>
      </c>
      <c r="U932">
        <f>IF(ISNUMBER(SEARCH('1Př1'!$A$34,N932)),MAX($M$2:M931)+1,0)</f>
        <v>930</v>
      </c>
      <c r="V932" s="336" t="s">
        <v>3273</v>
      </c>
      <c r="W932" t="str">
        <f>IFERROR(VLOOKUP(ROWS($W$3:W932),$U$3:$V$992,2,0),"")</f>
        <v>Faktoringové činnosti</v>
      </c>
      <c r="X932">
        <f>IF(ISNUMBER(SEARCH('1Př1'!$A$35,N932)),MAX($M$2:M931)+1,0)</f>
        <v>930</v>
      </c>
      <c r="Y932" s="336" t="s">
        <v>3273</v>
      </c>
      <c r="Z932" t="str">
        <f>IFERROR(VLOOKUP(ROWS($Z$3:Z932),$X$3:$Y$992,2,0),"")</f>
        <v>Faktoringové činnosti</v>
      </c>
    </row>
    <row r="933" spans="13:26" ht="12.75">
      <c r="M933" s="335">
        <f>IF(ISNUMBER(SEARCH(ZAKL_DATA!$B$29,N933)),MAX($M$2:M932)+1,0)</f>
        <v>931</v>
      </c>
      <c r="N933" s="336" t="s">
        <v>3275</v>
      </c>
      <c r="O933" s="353" t="s">
        <v>3276</v>
      </c>
      <c r="P933" s="338"/>
      <c r="Q933" s="339" t="str">
        <f>IFERROR(VLOOKUP(ROWS($Q$3:Q933),$M$3:$N$992,2,0),"")</f>
        <v>Obchodování s cennými papíry na vlastní účet</v>
      </c>
      <c r="R933">
        <f>IF(ISNUMBER(SEARCH('1Př1'!$A$33,N933)),MAX($M$2:M932)+1,0)</f>
        <v>931</v>
      </c>
      <c r="S933" s="336" t="s">
        <v>3275</v>
      </c>
      <c r="T933" t="str">
        <f>IFERROR(VLOOKUP(ROWS($T$3:T933),$R$3:$S$992,2,0),"")</f>
        <v>Obchodování s cennými papíry na vlastní účet</v>
      </c>
      <c r="U933">
        <f>IF(ISNUMBER(SEARCH('1Př1'!$A$34,N933)),MAX($M$2:M932)+1,0)</f>
        <v>931</v>
      </c>
      <c r="V933" s="336" t="s">
        <v>3275</v>
      </c>
      <c r="W933" t="str">
        <f>IFERROR(VLOOKUP(ROWS($W$3:W933),$U$3:$V$992,2,0),"")</f>
        <v>Obchodování s cennými papíry na vlastní účet</v>
      </c>
      <c r="X933">
        <f>IF(ISNUMBER(SEARCH('1Př1'!$A$35,N933)),MAX($M$2:M932)+1,0)</f>
        <v>931</v>
      </c>
      <c r="Y933" s="336" t="s">
        <v>3275</v>
      </c>
      <c r="Z933" t="str">
        <f>IFERROR(VLOOKUP(ROWS($Z$3:Z933),$X$3:$Y$992,2,0),"")</f>
        <v>Obchodování s cennými papíry na vlastní účet</v>
      </c>
    </row>
    <row r="934" spans="13:26" ht="12.75">
      <c r="M934" s="335">
        <f>IF(ISNUMBER(SEARCH(ZAKL_DATA!$B$29,N934)),MAX($M$2:M933)+1,0)</f>
        <v>932</v>
      </c>
      <c r="N934" s="336" t="s">
        <v>3277</v>
      </c>
      <c r="O934" s="353" t="s">
        <v>3278</v>
      </c>
      <c r="P934" s="338"/>
      <c r="Q934" s="339" t="str">
        <f>IFERROR(VLOOKUP(ROWS($Q$3:Q934),$M$3:$N$992,2,0),"")</f>
        <v>Jiné finanční zprostředkování j. n.</v>
      </c>
      <c r="R934">
        <f>IF(ISNUMBER(SEARCH('1Př1'!$A$33,N934)),MAX($M$2:M933)+1,0)</f>
        <v>932</v>
      </c>
      <c r="S934" s="336" t="s">
        <v>3277</v>
      </c>
      <c r="T934" t="str">
        <f>IFERROR(VLOOKUP(ROWS($T$3:T934),$R$3:$S$992,2,0),"")</f>
        <v>Jiné finanční zprostředkování j. n.</v>
      </c>
      <c r="U934">
        <f>IF(ISNUMBER(SEARCH('1Př1'!$A$34,N934)),MAX($M$2:M933)+1,0)</f>
        <v>932</v>
      </c>
      <c r="V934" s="336" t="s">
        <v>3277</v>
      </c>
      <c r="W934" t="str">
        <f>IFERROR(VLOOKUP(ROWS($W$3:W934),$U$3:$V$992,2,0),"")</f>
        <v>Jiné finanční zprostředkování j. n.</v>
      </c>
      <c r="X934">
        <f>IF(ISNUMBER(SEARCH('1Př1'!$A$35,N934)),MAX($M$2:M933)+1,0)</f>
        <v>932</v>
      </c>
      <c r="Y934" s="336" t="s">
        <v>3277</v>
      </c>
      <c r="Z934" t="str">
        <f>IFERROR(VLOOKUP(ROWS($Z$3:Z934),$X$3:$Y$992,2,0),"")</f>
        <v>Jiné finanční zprostředkování j. n.</v>
      </c>
    </row>
    <row r="935" spans="13:26" ht="12.75">
      <c r="M935" s="335">
        <f>IF(ISNUMBER(SEARCH(ZAKL_DATA!$B$29,N935)),MAX($M$2:M934)+1,0)</f>
        <v>933</v>
      </c>
      <c r="N935" s="336" t="s">
        <v>3279</v>
      </c>
      <c r="O935" s="353" t="s">
        <v>3280</v>
      </c>
      <c r="P935" s="338"/>
      <c r="Q935" s="339" t="str">
        <f>IFERROR(VLOOKUP(ROWS($Q$3:Q935),$M$3:$N$992,2,0),"")</f>
        <v>Pronájem vlastních nebo pronajatých nemovitostí s bytovými prostory</v>
      </c>
      <c r="R935">
        <f>IF(ISNUMBER(SEARCH('1Př1'!$A$33,N935)),MAX($M$2:M934)+1,0)</f>
        <v>933</v>
      </c>
      <c r="S935" s="336" t="s">
        <v>3279</v>
      </c>
      <c r="T935" t="str">
        <f>IFERROR(VLOOKUP(ROWS($T$3:T935),$R$3:$S$992,2,0),"")</f>
        <v>Pronájem vlastních nebo pronajatých nemovitostí s bytovými prostory</v>
      </c>
      <c r="U935">
        <f>IF(ISNUMBER(SEARCH('1Př1'!$A$34,N935)),MAX($M$2:M934)+1,0)</f>
        <v>933</v>
      </c>
      <c r="V935" s="336" t="s">
        <v>3279</v>
      </c>
      <c r="W935" t="str">
        <f>IFERROR(VLOOKUP(ROWS($W$3:W935),$U$3:$V$992,2,0),"")</f>
        <v>Pronájem vlastních nebo pronajatých nemovitostí s bytovými prostory</v>
      </c>
      <c r="X935">
        <f>IF(ISNUMBER(SEARCH('1Př1'!$A$35,N935)),MAX($M$2:M934)+1,0)</f>
        <v>933</v>
      </c>
      <c r="Y935" s="336" t="s">
        <v>3279</v>
      </c>
      <c r="Z935" t="str">
        <f>IFERROR(VLOOKUP(ROWS($Z$3:Z935),$X$3:$Y$992,2,0),"")</f>
        <v>Pronájem vlastních nebo pronajatých nemovitostí s bytovými prostory</v>
      </c>
    </row>
    <row r="936" spans="13:26" ht="12.75">
      <c r="M936" s="335">
        <f>IF(ISNUMBER(SEARCH(ZAKL_DATA!$B$29,N936)),MAX($M$2:M935)+1,0)</f>
        <v>934</v>
      </c>
      <c r="N936" s="336" t="s">
        <v>3281</v>
      </c>
      <c r="O936" s="353" t="s">
        <v>3282</v>
      </c>
      <c r="P936" s="338"/>
      <c r="Q936" s="339" t="str">
        <f>IFERROR(VLOOKUP(ROWS($Q$3:Q936),$M$3:$N$992,2,0),"")</f>
        <v>Pronájem vlastních nebo pronajatých nemovitostí s nebytovými prostory</v>
      </c>
      <c r="R936">
        <f>IF(ISNUMBER(SEARCH('1Př1'!$A$33,N936)),MAX($M$2:M935)+1,0)</f>
        <v>934</v>
      </c>
      <c r="S936" s="336" t="s">
        <v>3281</v>
      </c>
      <c r="T936" t="str">
        <f>IFERROR(VLOOKUP(ROWS($T$3:T936),$R$3:$S$992,2,0),"")</f>
        <v>Pronájem vlastních nebo pronajatých nemovitostí s nebytovými prostory</v>
      </c>
      <c r="U936">
        <f>IF(ISNUMBER(SEARCH('1Př1'!$A$34,N936)),MAX($M$2:M935)+1,0)</f>
        <v>934</v>
      </c>
      <c r="V936" s="336" t="s">
        <v>3281</v>
      </c>
      <c r="W936" t="str">
        <f>IFERROR(VLOOKUP(ROWS($W$3:W936),$U$3:$V$992,2,0),"")</f>
        <v>Pronájem vlastních nebo pronajatých nemovitostí s nebytovými prostory</v>
      </c>
      <c r="X936">
        <f>IF(ISNUMBER(SEARCH('1Př1'!$A$35,N936)),MAX($M$2:M935)+1,0)</f>
        <v>934</v>
      </c>
      <c r="Y936" s="336" t="s">
        <v>3281</v>
      </c>
      <c r="Z936" t="str">
        <f>IFERROR(VLOOKUP(ROWS($Z$3:Z936),$X$3:$Y$992,2,0),"")</f>
        <v>Pronájem vlastních nebo pronajatých nemovitostí s nebytovými prostory</v>
      </c>
    </row>
    <row r="937" spans="13:26" ht="12.75">
      <c r="M937" s="335">
        <f>IF(ISNUMBER(SEARCH(ZAKL_DATA!$B$29,N937)),MAX($M$2:M936)+1,0)</f>
        <v>935</v>
      </c>
      <c r="N937" s="336" t="s">
        <v>3283</v>
      </c>
      <c r="O937" s="353" t="s">
        <v>3284</v>
      </c>
      <c r="P937" s="338"/>
      <c r="Q937" s="339" t="str">
        <f>IFERROR(VLOOKUP(ROWS($Q$3:Q937),$M$3:$N$992,2,0),"")</f>
        <v>Správa vlastních nebo pronajatých nemovitostí s bytovými prostory</v>
      </c>
      <c r="R937">
        <f>IF(ISNUMBER(SEARCH('1Př1'!$A$33,N937)),MAX($M$2:M936)+1,0)</f>
        <v>935</v>
      </c>
      <c r="S937" s="336" t="s">
        <v>3283</v>
      </c>
      <c r="T937" t="str">
        <f>IFERROR(VLOOKUP(ROWS($T$3:T937),$R$3:$S$992,2,0),"")</f>
        <v>Správa vlastních nebo pronajatých nemovitostí s bytovými prostory</v>
      </c>
      <c r="U937">
        <f>IF(ISNUMBER(SEARCH('1Př1'!$A$34,N937)),MAX($M$2:M936)+1,0)</f>
        <v>935</v>
      </c>
      <c r="V937" s="336" t="s">
        <v>3283</v>
      </c>
      <c r="W937" t="str">
        <f>IFERROR(VLOOKUP(ROWS($W$3:W937),$U$3:$V$992,2,0),"")</f>
        <v>Správa vlastních nebo pronajatých nemovitostí s bytovými prostory</v>
      </c>
      <c r="X937">
        <f>IF(ISNUMBER(SEARCH('1Př1'!$A$35,N937)),MAX($M$2:M936)+1,0)</f>
        <v>935</v>
      </c>
      <c r="Y937" s="336" t="s">
        <v>3283</v>
      </c>
      <c r="Z937" t="str">
        <f>IFERROR(VLOOKUP(ROWS($Z$3:Z937),$X$3:$Y$992,2,0),"")</f>
        <v>Správa vlastních nebo pronajatých nemovitostí s bytovými prostory</v>
      </c>
    </row>
    <row r="938" spans="13:26" ht="12.75">
      <c r="M938" s="335">
        <f>IF(ISNUMBER(SEARCH(ZAKL_DATA!$B$29,N938)),MAX($M$2:M937)+1,0)</f>
        <v>936</v>
      </c>
      <c r="N938" s="336" t="s">
        <v>3285</v>
      </c>
      <c r="O938" s="353" t="s">
        <v>3286</v>
      </c>
      <c r="P938" s="338"/>
      <c r="Q938" s="339" t="str">
        <f>IFERROR(VLOOKUP(ROWS($Q$3:Q938),$M$3:$N$992,2,0),"")</f>
        <v>Správa vlastních nebo pronajatých nemovitostí s nebytovými prostory</v>
      </c>
      <c r="R938">
        <f>IF(ISNUMBER(SEARCH('1Př1'!$A$33,N938)),MAX($M$2:M937)+1,0)</f>
        <v>936</v>
      </c>
      <c r="S938" s="336" t="s">
        <v>3285</v>
      </c>
      <c r="T938" t="str">
        <f>IFERROR(VLOOKUP(ROWS($T$3:T938),$R$3:$S$992,2,0),"")</f>
        <v>Správa vlastních nebo pronajatých nemovitostí s nebytovými prostory</v>
      </c>
      <c r="U938">
        <f>IF(ISNUMBER(SEARCH('1Př1'!$A$34,N938)),MAX($M$2:M937)+1,0)</f>
        <v>936</v>
      </c>
      <c r="V938" s="336" t="s">
        <v>3285</v>
      </c>
      <c r="W938" t="str">
        <f>IFERROR(VLOOKUP(ROWS($W$3:W938),$U$3:$V$992,2,0),"")</f>
        <v>Správa vlastních nebo pronajatých nemovitostí s nebytovými prostory</v>
      </c>
      <c r="X938">
        <f>IF(ISNUMBER(SEARCH('1Př1'!$A$35,N938)),MAX($M$2:M937)+1,0)</f>
        <v>936</v>
      </c>
      <c r="Y938" s="336" t="s">
        <v>3285</v>
      </c>
      <c r="Z938" t="str">
        <f>IFERROR(VLOOKUP(ROWS($Z$3:Z938),$X$3:$Y$992,2,0),"")</f>
        <v>Správa vlastních nebo pronajatých nemovitostí s nebytovými prostory</v>
      </c>
    </row>
    <row r="939" spans="13:26" ht="12.75">
      <c r="M939" s="335">
        <f>IF(ISNUMBER(SEARCH(ZAKL_DATA!$B$29,N939)),MAX($M$2:M938)+1,0)</f>
        <v>937</v>
      </c>
      <c r="N939" s="336" t="s">
        <v>3287</v>
      </c>
      <c r="O939" s="353" t="s">
        <v>3288</v>
      </c>
      <c r="P939" s="338"/>
      <c r="Q939" s="339" t="str">
        <f>IFERROR(VLOOKUP(ROWS($Q$3:Q939),$M$3:$N$992,2,0),"")</f>
        <v>Geologický průzkum</v>
      </c>
      <c r="R939">
        <f>IF(ISNUMBER(SEARCH('1Př1'!$A$33,N939)),MAX($M$2:M938)+1,0)</f>
        <v>937</v>
      </c>
      <c r="S939" s="336" t="s">
        <v>3287</v>
      </c>
      <c r="T939" t="str">
        <f>IFERROR(VLOOKUP(ROWS($T$3:T939),$R$3:$S$992,2,0),"")</f>
        <v>Geologický průzkum</v>
      </c>
      <c r="U939">
        <f>IF(ISNUMBER(SEARCH('1Př1'!$A$34,N939)),MAX($M$2:M938)+1,0)</f>
        <v>937</v>
      </c>
      <c r="V939" s="336" t="s">
        <v>3287</v>
      </c>
      <c r="W939" t="str">
        <f>IFERROR(VLOOKUP(ROWS($W$3:W939),$U$3:$V$992,2,0),"")</f>
        <v>Geologický průzkum</v>
      </c>
      <c r="X939">
        <f>IF(ISNUMBER(SEARCH('1Př1'!$A$35,N939)),MAX($M$2:M938)+1,0)</f>
        <v>937</v>
      </c>
      <c r="Y939" s="336" t="s">
        <v>3287</v>
      </c>
      <c r="Z939" t="str">
        <f>IFERROR(VLOOKUP(ROWS($Z$3:Z939),$X$3:$Y$992,2,0),"")</f>
        <v>Geologický průzkum</v>
      </c>
    </row>
    <row r="940" spans="13:26" ht="12.75">
      <c r="M940" s="335">
        <f>IF(ISNUMBER(SEARCH(ZAKL_DATA!$B$29,N940)),MAX($M$2:M939)+1,0)</f>
        <v>938</v>
      </c>
      <c r="N940" s="336" t="s">
        <v>3289</v>
      </c>
      <c r="O940" s="353" t="s">
        <v>3290</v>
      </c>
      <c r="P940" s="338"/>
      <c r="Q940" s="339" t="str">
        <f>IFERROR(VLOOKUP(ROWS($Q$3:Q940),$M$3:$N$992,2,0),"")</f>
        <v>Zeměměřické a kartografické činnosti</v>
      </c>
      <c r="R940">
        <f>IF(ISNUMBER(SEARCH('1Př1'!$A$33,N940)),MAX($M$2:M939)+1,0)</f>
        <v>938</v>
      </c>
      <c r="S940" s="336" t="s">
        <v>3289</v>
      </c>
      <c r="T940" t="str">
        <f>IFERROR(VLOOKUP(ROWS($T$3:T940),$R$3:$S$992,2,0),"")</f>
        <v>Zeměměřické a kartografické činnosti</v>
      </c>
      <c r="U940">
        <f>IF(ISNUMBER(SEARCH('1Př1'!$A$34,N940)),MAX($M$2:M939)+1,0)</f>
        <v>938</v>
      </c>
      <c r="V940" s="336" t="s">
        <v>3289</v>
      </c>
      <c r="W940" t="str">
        <f>IFERROR(VLOOKUP(ROWS($W$3:W940),$U$3:$V$992,2,0),"")</f>
        <v>Zeměměřické a kartografické činnosti</v>
      </c>
      <c r="X940">
        <f>IF(ISNUMBER(SEARCH('1Př1'!$A$35,N940)),MAX($M$2:M939)+1,0)</f>
        <v>938</v>
      </c>
      <c r="Y940" s="336" t="s">
        <v>3289</v>
      </c>
      <c r="Z940" t="str">
        <f>IFERROR(VLOOKUP(ROWS($Z$3:Z940),$X$3:$Y$992,2,0),"")</f>
        <v>Zeměměřické a kartografické činnosti</v>
      </c>
    </row>
    <row r="941" spans="13:26" ht="12.75">
      <c r="M941" s="335">
        <f>IF(ISNUMBER(SEARCH(ZAKL_DATA!$B$29,N941)),MAX($M$2:M940)+1,0)</f>
        <v>939</v>
      </c>
      <c r="N941" s="336" t="s">
        <v>3291</v>
      </c>
      <c r="O941" s="353" t="s">
        <v>3292</v>
      </c>
      <c r="P941" s="338"/>
      <c r="Q941" s="339" t="str">
        <f>IFERROR(VLOOKUP(ROWS($Q$3:Q941),$M$3:$N$992,2,0),"")</f>
        <v>Hydrometeorologické a meteorologické činnosti</v>
      </c>
      <c r="R941">
        <f>IF(ISNUMBER(SEARCH('1Př1'!$A$33,N941)),MAX($M$2:M940)+1,0)</f>
        <v>939</v>
      </c>
      <c r="S941" s="336" t="s">
        <v>3291</v>
      </c>
      <c r="T941" t="str">
        <f>IFERROR(VLOOKUP(ROWS($T$3:T941),$R$3:$S$992,2,0),"")</f>
        <v>Hydrometeorologické a meteorologické činnosti</v>
      </c>
      <c r="U941">
        <f>IF(ISNUMBER(SEARCH('1Př1'!$A$34,N941)),MAX($M$2:M940)+1,0)</f>
        <v>939</v>
      </c>
      <c r="V941" s="336" t="s">
        <v>3291</v>
      </c>
      <c r="W941" t="str">
        <f>IFERROR(VLOOKUP(ROWS($W$3:W941),$U$3:$V$992,2,0),"")</f>
        <v>Hydrometeorologické a meteorologické činnosti</v>
      </c>
      <c r="X941">
        <f>IF(ISNUMBER(SEARCH('1Př1'!$A$35,N941)),MAX($M$2:M940)+1,0)</f>
        <v>939</v>
      </c>
      <c r="Y941" s="336" t="s">
        <v>3291</v>
      </c>
      <c r="Z941" t="str">
        <f>IFERROR(VLOOKUP(ROWS($Z$3:Z941),$X$3:$Y$992,2,0),"")</f>
        <v>Hydrometeorologické a meteorologické činnosti</v>
      </c>
    </row>
    <row r="942" spans="13:26" ht="12.75">
      <c r="M942" s="335">
        <f>IF(ISNUMBER(SEARCH(ZAKL_DATA!$B$29,N942)),MAX($M$2:M941)+1,0)</f>
        <v>940</v>
      </c>
      <c r="N942" s="336" t="s">
        <v>3293</v>
      </c>
      <c r="O942" s="353" t="s">
        <v>3294</v>
      </c>
      <c r="P942" s="338"/>
      <c r="Q942" s="339" t="str">
        <f>IFERROR(VLOOKUP(ROWS($Q$3:Q942),$M$3:$N$992,2,0),"")</f>
        <v>Ostatní inženýrské činnosti a související technické poradenství j. n.</v>
      </c>
      <c r="R942">
        <f>IF(ISNUMBER(SEARCH('1Př1'!$A$33,N942)),MAX($M$2:M941)+1,0)</f>
        <v>940</v>
      </c>
      <c r="S942" s="336" t="s">
        <v>3293</v>
      </c>
      <c r="T942" t="str">
        <f>IFERROR(VLOOKUP(ROWS($T$3:T942),$R$3:$S$992,2,0),"")</f>
        <v>Ostatní inženýrské činnosti a související technické poradenství j. n.</v>
      </c>
      <c r="U942">
        <f>IF(ISNUMBER(SEARCH('1Př1'!$A$34,N942)),MAX($M$2:M941)+1,0)</f>
        <v>940</v>
      </c>
      <c r="V942" s="336" t="s">
        <v>3293</v>
      </c>
      <c r="W942" t="str">
        <f>IFERROR(VLOOKUP(ROWS($W$3:W942),$U$3:$V$992,2,0),"")</f>
        <v>Ostatní inženýrské činnosti a související technické poradenství j. n.</v>
      </c>
      <c r="X942">
        <f>IF(ISNUMBER(SEARCH('1Př1'!$A$35,N942)),MAX($M$2:M941)+1,0)</f>
        <v>940</v>
      </c>
      <c r="Y942" s="336" t="s">
        <v>3293</v>
      </c>
      <c r="Z942" t="str">
        <f>IFERROR(VLOOKUP(ROWS($Z$3:Z942),$X$3:$Y$992,2,0),"")</f>
        <v>Ostatní inženýrské činnosti a související technické poradenství j. n.</v>
      </c>
    </row>
    <row r="943" spans="13:26" ht="12.75">
      <c r="M943" s="335">
        <f>IF(ISNUMBER(SEARCH(ZAKL_DATA!$B$29,N943)),MAX($M$2:M942)+1,0)</f>
        <v>941</v>
      </c>
      <c r="N943" s="336" t="s">
        <v>3295</v>
      </c>
      <c r="O943" s="353" t="s">
        <v>3296</v>
      </c>
      <c r="P943" s="338"/>
      <c r="Q943" s="339" t="str">
        <f>IFERROR(VLOOKUP(ROWS($Q$3:Q943),$M$3:$N$992,2,0),"")</f>
        <v>Zkoušky a analýzy vyhrazených technických zařízení</v>
      </c>
      <c r="R943">
        <f>IF(ISNUMBER(SEARCH('1Př1'!$A$33,N943)),MAX($M$2:M942)+1,0)</f>
        <v>941</v>
      </c>
      <c r="S943" s="336" t="s">
        <v>3295</v>
      </c>
      <c r="T943" t="str">
        <f>IFERROR(VLOOKUP(ROWS($T$3:T943),$R$3:$S$992,2,0),"")</f>
        <v>Zkoušky a analýzy vyhrazených technických zařízení</v>
      </c>
      <c r="U943">
        <f>IF(ISNUMBER(SEARCH('1Př1'!$A$34,N943)),MAX($M$2:M942)+1,0)</f>
        <v>941</v>
      </c>
      <c r="V943" s="336" t="s">
        <v>3295</v>
      </c>
      <c r="W943" t="str">
        <f>IFERROR(VLOOKUP(ROWS($W$3:W943),$U$3:$V$992,2,0),"")</f>
        <v>Zkoušky a analýzy vyhrazených technických zařízení</v>
      </c>
      <c r="X943">
        <f>IF(ISNUMBER(SEARCH('1Př1'!$A$35,N943)),MAX($M$2:M942)+1,0)</f>
        <v>941</v>
      </c>
      <c r="Y943" s="336" t="s">
        <v>3295</v>
      </c>
      <c r="Z943" t="str">
        <f>IFERROR(VLOOKUP(ROWS($Z$3:Z943),$X$3:$Y$992,2,0),"")</f>
        <v>Zkoušky a analýzy vyhrazených technických zařízení</v>
      </c>
    </row>
    <row r="944" spans="13:26" ht="12.75">
      <c r="M944" s="335">
        <f>IF(ISNUMBER(SEARCH(ZAKL_DATA!$B$29,N944)),MAX($M$2:M943)+1,0)</f>
        <v>942</v>
      </c>
      <c r="N944" s="336" t="s">
        <v>3297</v>
      </c>
      <c r="O944" s="353" t="s">
        <v>3298</v>
      </c>
      <c r="P944" s="338"/>
      <c r="Q944" s="339" t="str">
        <f>IFERROR(VLOOKUP(ROWS($Q$3:Q944),$M$3:$N$992,2,0),"")</f>
        <v>Ostatní technické zkouky a analýzy</v>
      </c>
      <c r="R944">
        <f>IF(ISNUMBER(SEARCH('1Př1'!$A$33,N944)),MAX($M$2:M943)+1,0)</f>
        <v>942</v>
      </c>
      <c r="S944" s="336" t="s">
        <v>3297</v>
      </c>
      <c r="T944" t="str">
        <f>IFERROR(VLOOKUP(ROWS($T$3:T944),$R$3:$S$992,2,0),"")</f>
        <v>Ostatní technické zkouky a analýzy</v>
      </c>
      <c r="U944">
        <f>IF(ISNUMBER(SEARCH('1Př1'!$A$34,N944)),MAX($M$2:M943)+1,0)</f>
        <v>942</v>
      </c>
      <c r="V944" s="336" t="s">
        <v>3297</v>
      </c>
      <c r="W944" t="str">
        <f>IFERROR(VLOOKUP(ROWS($W$3:W944),$U$3:$V$992,2,0),"")</f>
        <v>Ostatní technické zkouky a analýzy</v>
      </c>
      <c r="X944">
        <f>IF(ISNUMBER(SEARCH('1Př1'!$A$35,N944)),MAX($M$2:M943)+1,0)</f>
        <v>942</v>
      </c>
      <c r="Y944" s="336" t="s">
        <v>3297</v>
      </c>
      <c r="Z944" t="str">
        <f>IFERROR(VLOOKUP(ROWS($Z$3:Z944),$X$3:$Y$992,2,0),"")</f>
        <v>Ostatní technické zkouky a analýzy</v>
      </c>
    </row>
    <row r="945" spans="13:26" ht="12.75">
      <c r="M945" s="335">
        <f>IF(ISNUMBER(SEARCH(ZAKL_DATA!$B$29,N945)),MAX($M$2:M944)+1,0)</f>
        <v>943</v>
      </c>
      <c r="N945" s="336" t="s">
        <v>3299</v>
      </c>
      <c r="O945" s="353" t="s">
        <v>2942</v>
      </c>
      <c r="P945" s="338"/>
      <c r="Q945" s="339" t="str">
        <f>IFERROR(VLOOKUP(ROWS($Q$3:Q945),$M$3:$N$992,2,0),"")</f>
        <v>Ostatní výzkum a vývoj v oblasti přírodních a technických věd</v>
      </c>
      <c r="R945">
        <f>IF(ISNUMBER(SEARCH('1Př1'!$A$33,N945)),MAX($M$2:M944)+1,0)</f>
        <v>943</v>
      </c>
      <c r="S945" s="336" t="s">
        <v>3299</v>
      </c>
      <c r="T945" t="str">
        <f>IFERROR(VLOOKUP(ROWS($T$3:T945),$R$3:$S$992,2,0),"")</f>
        <v>Ostatní výzkum a vývoj v oblasti přírodních a technických věd</v>
      </c>
      <c r="U945">
        <f>IF(ISNUMBER(SEARCH('1Př1'!$A$34,N945)),MAX($M$2:M944)+1,0)</f>
        <v>943</v>
      </c>
      <c r="V945" s="336" t="s">
        <v>3299</v>
      </c>
      <c r="W945" t="str">
        <f>IFERROR(VLOOKUP(ROWS($W$3:W945),$U$3:$V$992,2,0),"")</f>
        <v>Ostatní výzkum a vývoj v oblasti přírodních a technických věd</v>
      </c>
      <c r="X945">
        <f>IF(ISNUMBER(SEARCH('1Př1'!$A$35,N945)),MAX($M$2:M944)+1,0)</f>
        <v>943</v>
      </c>
      <c r="Y945" s="336" t="s">
        <v>3299</v>
      </c>
      <c r="Z945" t="str">
        <f>IFERROR(VLOOKUP(ROWS($Z$3:Z945),$X$3:$Y$992,2,0),"")</f>
        <v>Ostatní výzkum a vývoj v oblasti přírodních a technických věd</v>
      </c>
    </row>
    <row r="946" spans="13:26" ht="12.75">
      <c r="M946" s="335">
        <f>IF(ISNUMBER(SEARCH(ZAKL_DATA!$B$29,N946)),MAX($M$2:M945)+1,0)</f>
        <v>944</v>
      </c>
      <c r="N946" s="336" t="s">
        <v>3300</v>
      </c>
      <c r="O946" s="353" t="s">
        <v>3301</v>
      </c>
      <c r="P946" s="338"/>
      <c r="Q946" s="339" t="str">
        <f>IFERROR(VLOOKUP(ROWS($Q$3:Q946),$M$3:$N$992,2,0),"")</f>
        <v>Výzkum a vývoj v oblasti lékařských věd</v>
      </c>
      <c r="R946">
        <f>IF(ISNUMBER(SEARCH('1Př1'!$A$33,N946)),MAX($M$2:M945)+1,0)</f>
        <v>944</v>
      </c>
      <c r="S946" s="336" t="s">
        <v>3300</v>
      </c>
      <c r="T946" t="str">
        <f>IFERROR(VLOOKUP(ROWS($T$3:T946),$R$3:$S$992,2,0),"")</f>
        <v>Výzkum a vývoj v oblasti lékařských věd</v>
      </c>
      <c r="U946">
        <f>IF(ISNUMBER(SEARCH('1Př1'!$A$34,N946)),MAX($M$2:M945)+1,0)</f>
        <v>944</v>
      </c>
      <c r="V946" s="336" t="s">
        <v>3300</v>
      </c>
      <c r="W946" t="str">
        <f>IFERROR(VLOOKUP(ROWS($W$3:W946),$U$3:$V$992,2,0),"")</f>
        <v>Výzkum a vývoj v oblasti lékařských věd</v>
      </c>
      <c r="X946">
        <f>IF(ISNUMBER(SEARCH('1Př1'!$A$35,N946)),MAX($M$2:M945)+1,0)</f>
        <v>944</v>
      </c>
      <c r="Y946" s="336" t="s">
        <v>3300</v>
      </c>
      <c r="Z946" t="str">
        <f>IFERROR(VLOOKUP(ROWS($Z$3:Z946),$X$3:$Y$992,2,0),"")</f>
        <v>Výzkum a vývoj v oblasti lékařských věd</v>
      </c>
    </row>
    <row r="947" spans="13:26" ht="12.75">
      <c r="M947" s="335">
        <f>IF(ISNUMBER(SEARCH(ZAKL_DATA!$B$29,N947)),MAX($M$2:M946)+1,0)</f>
        <v>945</v>
      </c>
      <c r="N947" s="336" t="s">
        <v>3302</v>
      </c>
      <c r="O947" s="353" t="s">
        <v>3303</v>
      </c>
      <c r="P947" s="338"/>
      <c r="Q947" s="339" t="str">
        <f>IFERROR(VLOOKUP(ROWS($Q$3:Q947),$M$3:$N$992,2,0),"")</f>
        <v>Výzkum a vývoj v oblasti technických věd</v>
      </c>
      <c r="R947">
        <f>IF(ISNUMBER(SEARCH('1Př1'!$A$33,N947)),MAX($M$2:M946)+1,0)</f>
        <v>945</v>
      </c>
      <c r="S947" s="336" t="s">
        <v>3302</v>
      </c>
      <c r="T947" t="str">
        <f>IFERROR(VLOOKUP(ROWS($T$3:T947),$R$3:$S$992,2,0),"")</f>
        <v>Výzkum a vývoj v oblasti technických věd</v>
      </c>
      <c r="U947">
        <f>IF(ISNUMBER(SEARCH('1Př1'!$A$34,N947)),MAX($M$2:M946)+1,0)</f>
        <v>945</v>
      </c>
      <c r="V947" s="336" t="s">
        <v>3302</v>
      </c>
      <c r="W947" t="str">
        <f>IFERROR(VLOOKUP(ROWS($W$3:W947),$U$3:$V$992,2,0),"")</f>
        <v>Výzkum a vývoj v oblasti technických věd</v>
      </c>
      <c r="X947">
        <f>IF(ISNUMBER(SEARCH('1Př1'!$A$35,N947)),MAX($M$2:M946)+1,0)</f>
        <v>945</v>
      </c>
      <c r="Y947" s="336" t="s">
        <v>3302</v>
      </c>
      <c r="Z947" t="str">
        <f>IFERROR(VLOOKUP(ROWS($Z$3:Z947),$X$3:$Y$992,2,0),"")</f>
        <v>Výzkum a vývoj v oblasti technických věd</v>
      </c>
    </row>
    <row r="948" spans="13:26" ht="12.75">
      <c r="M948" s="335">
        <f>IF(ISNUMBER(SEARCH(ZAKL_DATA!$B$29,N948)),MAX($M$2:M947)+1,0)</f>
        <v>946</v>
      </c>
      <c r="N948" s="336" t="s">
        <v>3304</v>
      </c>
      <c r="O948" s="353" t="s">
        <v>3305</v>
      </c>
      <c r="P948" s="338"/>
      <c r="Q948" s="339" t="str">
        <f>IFERROR(VLOOKUP(ROWS($Q$3:Q948),$M$3:$N$992,2,0),"")</f>
        <v>Výzkum a vývoj v oblasti jiných přírodních věd</v>
      </c>
      <c r="R948">
        <f>IF(ISNUMBER(SEARCH('1Př1'!$A$33,N948)),MAX($M$2:M947)+1,0)</f>
        <v>946</v>
      </c>
      <c r="S948" s="336" t="s">
        <v>3304</v>
      </c>
      <c r="T948" t="str">
        <f>IFERROR(VLOOKUP(ROWS($T$3:T948),$R$3:$S$992,2,0),"")</f>
        <v>Výzkum a vývoj v oblasti jiných přírodních věd</v>
      </c>
      <c r="U948">
        <f>IF(ISNUMBER(SEARCH('1Př1'!$A$34,N948)),MAX($M$2:M947)+1,0)</f>
        <v>946</v>
      </c>
      <c r="V948" s="336" t="s">
        <v>3304</v>
      </c>
      <c r="W948" t="str">
        <f>IFERROR(VLOOKUP(ROWS($W$3:W948),$U$3:$V$992,2,0),"")</f>
        <v>Výzkum a vývoj v oblasti jiných přírodních věd</v>
      </c>
      <c r="X948">
        <f>IF(ISNUMBER(SEARCH('1Př1'!$A$35,N948)),MAX($M$2:M947)+1,0)</f>
        <v>946</v>
      </c>
      <c r="Y948" s="336" t="s">
        <v>3304</v>
      </c>
      <c r="Z948" t="str">
        <f>IFERROR(VLOOKUP(ROWS($Z$3:Z948),$X$3:$Y$992,2,0),"")</f>
        <v>Výzkum a vývoj v oblasti jiných přírodních věd</v>
      </c>
    </row>
    <row r="949" spans="13:26" ht="12.75">
      <c r="M949" s="335">
        <f>IF(ISNUMBER(SEARCH(ZAKL_DATA!$B$29,N949)),MAX($M$2:M948)+1,0)</f>
        <v>947</v>
      </c>
      <c r="N949" s="336" t="s">
        <v>3306</v>
      </c>
      <c r="O949" s="353" t="s">
        <v>2086</v>
      </c>
      <c r="P949" s="338"/>
      <c r="Q949" s="339" t="str">
        <f>IFERROR(VLOOKUP(ROWS($Q$3:Q949),$M$3:$N$992,2,0),"")</f>
        <v>Ostatní profesní,vědecké a technické činnosti j.n.</v>
      </c>
      <c r="R949">
        <f>IF(ISNUMBER(SEARCH('1Př1'!$A$33,N949)),MAX($M$2:M948)+1,0)</f>
        <v>947</v>
      </c>
      <c r="S949" s="336" t="s">
        <v>3306</v>
      </c>
      <c r="T949" t="str">
        <f>IFERROR(VLOOKUP(ROWS($T$3:T949),$R$3:$S$992,2,0),"")</f>
        <v>Ostatní profesní,vědecké a technické činnosti j.n.</v>
      </c>
      <c r="U949">
        <f>IF(ISNUMBER(SEARCH('1Př1'!$A$34,N949)),MAX($M$2:M948)+1,0)</f>
        <v>947</v>
      </c>
      <c r="V949" s="336" t="s">
        <v>3306</v>
      </c>
      <c r="W949" t="str">
        <f>IFERROR(VLOOKUP(ROWS($W$3:W949),$U$3:$V$992,2,0),"")</f>
        <v>Ostatní profesní,vědecké a technické činnosti j.n.</v>
      </c>
      <c r="X949">
        <f>IF(ISNUMBER(SEARCH('1Př1'!$A$35,N949)),MAX($M$2:M948)+1,0)</f>
        <v>947</v>
      </c>
      <c r="Y949" s="336" t="s">
        <v>3306</v>
      </c>
      <c r="Z949" t="str">
        <f>IFERROR(VLOOKUP(ROWS($Z$3:Z949),$X$3:$Y$992,2,0),"")</f>
        <v>Ostatní profesní,vědecké a technické činnosti j.n.</v>
      </c>
    </row>
    <row r="950" spans="13:26" ht="12.75">
      <c r="M950" s="335">
        <f>IF(ISNUMBER(SEARCH(ZAKL_DATA!$B$29,N950)),MAX($M$2:M949)+1,0)</f>
        <v>948</v>
      </c>
      <c r="N950" s="336" t="s">
        <v>3307</v>
      </c>
      <c r="O950" s="353" t="s">
        <v>3308</v>
      </c>
      <c r="P950" s="338"/>
      <c r="Q950" s="339" t="str">
        <f>IFERROR(VLOOKUP(ROWS($Q$3:Q950),$M$3:$N$992,2,0),"")</f>
        <v>Poradenství v oblasti bezpečnosti a ochrany zdraví při práci</v>
      </c>
      <c r="R950">
        <f>IF(ISNUMBER(SEARCH('1Př1'!$A$33,N950)),MAX($M$2:M949)+1,0)</f>
        <v>948</v>
      </c>
      <c r="S950" s="336" t="s">
        <v>3307</v>
      </c>
      <c r="T950" t="str">
        <f>IFERROR(VLOOKUP(ROWS($T$3:T950),$R$3:$S$992,2,0),"")</f>
        <v>Poradenství v oblasti bezpečnosti a ochrany zdraví při práci</v>
      </c>
      <c r="U950">
        <f>IF(ISNUMBER(SEARCH('1Př1'!$A$34,N950)),MAX($M$2:M949)+1,0)</f>
        <v>948</v>
      </c>
      <c r="V950" s="336" t="s">
        <v>3307</v>
      </c>
      <c r="W950" t="str">
        <f>IFERROR(VLOOKUP(ROWS($W$3:W950),$U$3:$V$992,2,0),"")</f>
        <v>Poradenství v oblasti bezpečnosti a ochrany zdraví při práci</v>
      </c>
      <c r="X950">
        <f>IF(ISNUMBER(SEARCH('1Př1'!$A$35,N950)),MAX($M$2:M949)+1,0)</f>
        <v>948</v>
      </c>
      <c r="Y950" s="336" t="s">
        <v>3307</v>
      </c>
      <c r="Z950" t="str">
        <f>IFERROR(VLOOKUP(ROWS($Z$3:Z950),$X$3:$Y$992,2,0),"")</f>
        <v>Poradenství v oblasti bezpečnosti a ochrany zdraví při práci</v>
      </c>
    </row>
    <row r="951" spans="13:26" ht="12.75">
      <c r="M951" s="335">
        <f>IF(ISNUMBER(SEARCH(ZAKL_DATA!$B$29,N951)),MAX($M$2:M950)+1,0)</f>
        <v>949</v>
      </c>
      <c r="N951" s="336" t="s">
        <v>3309</v>
      </c>
      <c r="O951" s="353" t="s">
        <v>3310</v>
      </c>
      <c r="P951" s="338"/>
      <c r="Q951" s="339" t="str">
        <f>IFERROR(VLOOKUP(ROWS($Q$3:Q951),$M$3:$N$992,2,0),"")</f>
        <v>Poradenství v oblasti požární ochrany</v>
      </c>
      <c r="R951">
        <f>IF(ISNUMBER(SEARCH('1Př1'!$A$33,N951)),MAX($M$2:M950)+1,0)</f>
        <v>949</v>
      </c>
      <c r="S951" s="336" t="s">
        <v>3309</v>
      </c>
      <c r="T951" t="str">
        <f>IFERROR(VLOOKUP(ROWS($T$3:T951),$R$3:$S$992,2,0),"")</f>
        <v>Poradenství v oblasti požární ochrany</v>
      </c>
      <c r="U951">
        <f>IF(ISNUMBER(SEARCH('1Př1'!$A$34,N951)),MAX($M$2:M950)+1,0)</f>
        <v>949</v>
      </c>
      <c r="V951" s="336" t="s">
        <v>3309</v>
      </c>
      <c r="W951" t="str">
        <f>IFERROR(VLOOKUP(ROWS($W$3:W951),$U$3:$V$992,2,0),"")</f>
        <v>Poradenství v oblasti požární ochrany</v>
      </c>
      <c r="X951">
        <f>IF(ISNUMBER(SEARCH('1Př1'!$A$35,N951)),MAX($M$2:M950)+1,0)</f>
        <v>949</v>
      </c>
      <c r="Y951" s="336" t="s">
        <v>3309</v>
      </c>
      <c r="Z951" t="str">
        <f>IFERROR(VLOOKUP(ROWS($Z$3:Z951),$X$3:$Y$992,2,0),"")</f>
        <v>Poradenství v oblasti požární ochrany</v>
      </c>
    </row>
    <row r="952" spans="13:26" ht="12.75">
      <c r="M952" s="335">
        <f>IF(ISNUMBER(SEARCH(ZAKL_DATA!$B$29,N952)),MAX($M$2:M951)+1,0)</f>
        <v>950</v>
      </c>
      <c r="N952" s="336" t="s">
        <v>3311</v>
      </c>
      <c r="O952" s="353" t="s">
        <v>3312</v>
      </c>
      <c r="P952" s="338"/>
      <c r="Q952" s="339" t="str">
        <f>IFERROR(VLOOKUP(ROWS($Q$3:Q952),$M$3:$N$992,2,0),"")</f>
        <v>Jiné profesní, vědecké a technické činnosti j. n.</v>
      </c>
      <c r="R952">
        <f>IF(ISNUMBER(SEARCH('1Př1'!$A$33,N952)),MAX($M$2:M951)+1,0)</f>
        <v>950</v>
      </c>
      <c r="S952" s="336" t="s">
        <v>3311</v>
      </c>
      <c r="T952" t="str">
        <f>IFERROR(VLOOKUP(ROWS($T$3:T952),$R$3:$S$992,2,0),"")</f>
        <v>Jiné profesní, vědecké a technické činnosti j. n.</v>
      </c>
      <c r="U952">
        <f>IF(ISNUMBER(SEARCH('1Př1'!$A$34,N952)),MAX($M$2:M951)+1,0)</f>
        <v>950</v>
      </c>
      <c r="V952" s="336" t="s">
        <v>3311</v>
      </c>
      <c r="W952" t="str">
        <f>IFERROR(VLOOKUP(ROWS($W$3:W952),$U$3:$V$992,2,0),"")</f>
        <v>Jiné profesní, vědecké a technické činnosti j. n.</v>
      </c>
      <c r="X952">
        <f>IF(ISNUMBER(SEARCH('1Př1'!$A$35,N952)),MAX($M$2:M951)+1,0)</f>
        <v>950</v>
      </c>
      <c r="Y952" s="336" t="s">
        <v>3311</v>
      </c>
      <c r="Z952" t="str">
        <f>IFERROR(VLOOKUP(ROWS($Z$3:Z952),$X$3:$Y$992,2,0),"")</f>
        <v>Jiné profesní, vědecké a technické činnosti j. n.</v>
      </c>
    </row>
    <row r="953" spans="13:26" ht="12.75">
      <c r="M953" s="335">
        <f>IF(ISNUMBER(SEARCH(ZAKL_DATA!$B$29,N953)),MAX($M$2:M952)+1,0)</f>
        <v>951</v>
      </c>
      <c r="N953" s="336" t="s">
        <v>3313</v>
      </c>
      <c r="O953" s="353" t="s">
        <v>3314</v>
      </c>
      <c r="P953" s="338"/>
      <c r="Q953" s="339" t="str">
        <f>IFERROR(VLOOKUP(ROWS($Q$3:Q953),$M$3:$N$992,2,0),"")</f>
        <v>Průvodcovské činnosti</v>
      </c>
      <c r="R953">
        <f>IF(ISNUMBER(SEARCH('1Př1'!$A$33,N953)),MAX($M$2:M952)+1,0)</f>
        <v>951</v>
      </c>
      <c r="S953" s="336" t="s">
        <v>3313</v>
      </c>
      <c r="T953" t="str">
        <f>IFERROR(VLOOKUP(ROWS($T$3:T953),$R$3:$S$992,2,0),"")</f>
        <v>Průvodcovské činnosti</v>
      </c>
      <c r="U953">
        <f>IF(ISNUMBER(SEARCH('1Př1'!$A$34,N953)),MAX($M$2:M952)+1,0)</f>
        <v>951</v>
      </c>
      <c r="V953" s="336" t="s">
        <v>3313</v>
      </c>
      <c r="W953" t="str">
        <f>IFERROR(VLOOKUP(ROWS($W$3:W953),$U$3:$V$992,2,0),"")</f>
        <v>Průvodcovské činnosti</v>
      </c>
      <c r="X953">
        <f>IF(ISNUMBER(SEARCH('1Př1'!$A$35,N953)),MAX($M$2:M952)+1,0)</f>
        <v>951</v>
      </c>
      <c r="Y953" s="336" t="s">
        <v>3313</v>
      </c>
      <c r="Z953" t="str">
        <f>IFERROR(VLOOKUP(ROWS($Z$3:Z953),$X$3:$Y$992,2,0),"")</f>
        <v>Průvodcovské činnosti</v>
      </c>
    </row>
    <row r="954" spans="13:26" ht="12.75">
      <c r="M954" s="335">
        <f>IF(ISNUMBER(SEARCH(ZAKL_DATA!$B$29,N954)),MAX($M$2:M953)+1,0)</f>
        <v>952</v>
      </c>
      <c r="N954" s="336" t="s">
        <v>3315</v>
      </c>
      <c r="O954" s="353" t="s">
        <v>3316</v>
      </c>
      <c r="P954" s="338"/>
      <c r="Q954" s="339" t="str">
        <f>IFERROR(VLOOKUP(ROWS($Q$3:Q954),$M$3:$N$992,2,0),"")</f>
        <v>Ostatní rezervační a související činnosti j. n.</v>
      </c>
      <c r="R954">
        <f>IF(ISNUMBER(SEARCH('1Př1'!$A$33,N954)),MAX($M$2:M953)+1,0)</f>
        <v>952</v>
      </c>
      <c r="S954" s="336" t="s">
        <v>3315</v>
      </c>
      <c r="T954" t="str">
        <f>IFERROR(VLOOKUP(ROWS($T$3:T954),$R$3:$S$992,2,0),"")</f>
        <v>Ostatní rezervační a související činnosti j. n.</v>
      </c>
      <c r="U954">
        <f>IF(ISNUMBER(SEARCH('1Př1'!$A$34,N954)),MAX($M$2:M953)+1,0)</f>
        <v>952</v>
      </c>
      <c r="V954" s="336" t="s">
        <v>3315</v>
      </c>
      <c r="W954" t="str">
        <f>IFERROR(VLOOKUP(ROWS($W$3:W954),$U$3:$V$992,2,0),"")</f>
        <v>Ostatní rezervační a související činnosti j. n.</v>
      </c>
      <c r="X954">
        <f>IF(ISNUMBER(SEARCH('1Př1'!$A$35,N954)),MAX($M$2:M953)+1,0)</f>
        <v>952</v>
      </c>
      <c r="Y954" s="336" t="s">
        <v>3315</v>
      </c>
      <c r="Z954" t="str">
        <f>IFERROR(VLOOKUP(ROWS($Z$3:Z954),$X$3:$Y$992,2,0),"")</f>
        <v>Ostatní rezervační a související činnosti j. n.</v>
      </c>
    </row>
    <row r="955" spans="13:26" ht="12.75">
      <c r="M955" s="335">
        <f>IF(ISNUMBER(SEARCH(ZAKL_DATA!$B$29,N955)),MAX($M$2:M954)+1,0)</f>
        <v>953</v>
      </c>
      <c r="N955" s="336" t="s">
        <v>3317</v>
      </c>
      <c r="O955" s="353" t="s">
        <v>3318</v>
      </c>
      <c r="P955" s="338"/>
      <c r="Q955" s="339" t="str">
        <f>IFERROR(VLOOKUP(ROWS($Q$3:Q955),$M$3:$N$992,2,0),"")</f>
        <v>Pomoc cizím zemím při katastrof.nebo v nouz.sit.přímo nebo prostř.mez.org.</v>
      </c>
      <c r="R955">
        <f>IF(ISNUMBER(SEARCH('1Př1'!$A$33,N955)),MAX($M$2:M954)+1,0)</f>
        <v>953</v>
      </c>
      <c r="S955" s="336" t="s">
        <v>3317</v>
      </c>
      <c r="T955" t="str">
        <f>IFERROR(VLOOKUP(ROWS($T$3:T955),$R$3:$S$992,2,0),"")</f>
        <v>Pomoc cizím zemím při katastrof.nebo v nouz.sit.přímo nebo prostř.mez.org.</v>
      </c>
      <c r="U955">
        <f>IF(ISNUMBER(SEARCH('1Př1'!$A$34,N955)),MAX($M$2:M954)+1,0)</f>
        <v>953</v>
      </c>
      <c r="V955" s="336" t="s">
        <v>3317</v>
      </c>
      <c r="W955" t="str">
        <f>IFERROR(VLOOKUP(ROWS($W$3:W955),$U$3:$V$992,2,0),"")</f>
        <v>Pomoc cizím zemím při katastrof.nebo v nouz.sit.přímo nebo prostř.mez.org.</v>
      </c>
      <c r="X955">
        <f>IF(ISNUMBER(SEARCH('1Př1'!$A$35,N955)),MAX($M$2:M954)+1,0)</f>
        <v>953</v>
      </c>
      <c r="Y955" s="336" t="s">
        <v>3317</v>
      </c>
      <c r="Z955" t="str">
        <f>IFERROR(VLOOKUP(ROWS($Z$3:Z955),$X$3:$Y$992,2,0),"")</f>
        <v>Pomoc cizím zemím při katastrof.nebo v nouz.sit.přímo nebo prostř.mez.org.</v>
      </c>
    </row>
    <row r="956" spans="13:26" ht="12.75">
      <c r="M956" s="335">
        <f>IF(ISNUMBER(SEARCH(ZAKL_DATA!$B$29,N956)),MAX($M$2:M955)+1,0)</f>
        <v>954</v>
      </c>
      <c r="N956" s="336" t="s">
        <v>3319</v>
      </c>
      <c r="O956" s="353" t="s">
        <v>3320</v>
      </c>
      <c r="P956" s="338"/>
      <c r="Q956" s="339" t="str">
        <f>IFERROR(VLOOKUP(ROWS($Q$3:Q956),$M$3:$N$992,2,0),"")</f>
        <v>Rozvíjení vzájemného přátelství a porozumění mezi národy</v>
      </c>
      <c r="R956">
        <f>IF(ISNUMBER(SEARCH('1Př1'!$A$33,N956)),MAX($M$2:M955)+1,0)</f>
        <v>954</v>
      </c>
      <c r="S956" s="336" t="s">
        <v>3319</v>
      </c>
      <c r="T956" t="str">
        <f>IFERROR(VLOOKUP(ROWS($T$3:T956),$R$3:$S$992,2,0),"")</f>
        <v>Rozvíjení vzájemného přátelství a porozumění mezi národy</v>
      </c>
      <c r="U956">
        <f>IF(ISNUMBER(SEARCH('1Př1'!$A$34,N956)),MAX($M$2:M955)+1,0)</f>
        <v>954</v>
      </c>
      <c r="V956" s="336" t="s">
        <v>3319</v>
      </c>
      <c r="W956" t="str">
        <f>IFERROR(VLOOKUP(ROWS($W$3:W956),$U$3:$V$992,2,0),"")</f>
        <v>Rozvíjení vzájemného přátelství a porozumění mezi národy</v>
      </c>
      <c r="X956">
        <f>IF(ISNUMBER(SEARCH('1Př1'!$A$35,N956)),MAX($M$2:M955)+1,0)</f>
        <v>954</v>
      </c>
      <c r="Y956" s="336" t="s">
        <v>3319</v>
      </c>
      <c r="Z956" t="str">
        <f>IFERROR(VLOOKUP(ROWS($Z$3:Z956),$X$3:$Y$992,2,0),"")</f>
        <v>Rozvíjení vzájemného přátelství a porozumění mezi národy</v>
      </c>
    </row>
    <row r="957" spans="13:26" ht="12.75">
      <c r="M957" s="335">
        <f>IF(ISNUMBER(SEARCH(ZAKL_DATA!$B$29,N957)),MAX($M$2:M956)+1,0)</f>
        <v>955</v>
      </c>
      <c r="N957" s="336" t="s">
        <v>3321</v>
      </c>
      <c r="O957" s="353" t="s">
        <v>3322</v>
      </c>
      <c r="P957" s="338"/>
      <c r="Q957" s="339" t="str">
        <f>IFERROR(VLOOKUP(ROWS($Q$3:Q957),$M$3:$N$992,2,0),"")</f>
        <v>Ostatní činnosti v oblasti zahraničních věcí</v>
      </c>
      <c r="R957">
        <f>IF(ISNUMBER(SEARCH('1Př1'!$A$33,N957)),MAX($M$2:M956)+1,0)</f>
        <v>955</v>
      </c>
      <c r="S957" s="336" t="s">
        <v>3321</v>
      </c>
      <c r="T957" t="str">
        <f>IFERROR(VLOOKUP(ROWS($T$3:T957),$R$3:$S$992,2,0),"")</f>
        <v>Ostatní činnosti v oblasti zahraničních věcí</v>
      </c>
      <c r="U957">
        <f>IF(ISNUMBER(SEARCH('1Př1'!$A$34,N957)),MAX($M$2:M956)+1,0)</f>
        <v>955</v>
      </c>
      <c r="V957" s="336" t="s">
        <v>3321</v>
      </c>
      <c r="W957" t="str">
        <f>IFERROR(VLOOKUP(ROWS($W$3:W957),$U$3:$V$992,2,0),"")</f>
        <v>Ostatní činnosti v oblasti zahraničních věcí</v>
      </c>
      <c r="X957">
        <f>IF(ISNUMBER(SEARCH('1Př1'!$A$35,N957)),MAX($M$2:M956)+1,0)</f>
        <v>955</v>
      </c>
      <c r="Y957" s="336" t="s">
        <v>3321</v>
      </c>
      <c r="Z957" t="str">
        <f>IFERROR(VLOOKUP(ROWS($Z$3:Z957),$X$3:$Y$992,2,0),"")</f>
        <v>Ostatní činnosti v oblasti zahraničních věcí</v>
      </c>
    </row>
    <row r="958" spans="13:26" ht="12.75">
      <c r="M958" s="335">
        <f>IF(ISNUMBER(SEARCH(ZAKL_DATA!$B$29,N958)),MAX($M$2:M957)+1,0)</f>
        <v>956</v>
      </c>
      <c r="N958" s="336" t="s">
        <v>3323</v>
      </c>
      <c r="O958" s="353" t="s">
        <v>3324</v>
      </c>
      <c r="P958" s="338"/>
      <c r="Q958" s="339" t="str">
        <f>IFERROR(VLOOKUP(ROWS($Q$3:Q958),$M$3:$N$992,2,0),"")</f>
        <v>Základní vzdělávání na druhém stupni základních škol</v>
      </c>
      <c r="R958">
        <f>IF(ISNUMBER(SEARCH('1Př1'!$A$33,N958)),MAX($M$2:M957)+1,0)</f>
        <v>956</v>
      </c>
      <c r="S958" s="336" t="s">
        <v>3323</v>
      </c>
      <c r="T958" t="str">
        <f>IFERROR(VLOOKUP(ROWS($T$3:T958),$R$3:$S$992,2,0),"")</f>
        <v>Základní vzdělávání na druhém stupni základních škol</v>
      </c>
      <c r="U958">
        <f>IF(ISNUMBER(SEARCH('1Př1'!$A$34,N958)),MAX($M$2:M957)+1,0)</f>
        <v>956</v>
      </c>
      <c r="V958" s="336" t="s">
        <v>3323</v>
      </c>
      <c r="W958" t="str">
        <f>IFERROR(VLOOKUP(ROWS($W$3:W958),$U$3:$V$992,2,0),"")</f>
        <v>Základní vzdělávání na druhém stupni základních škol</v>
      </c>
      <c r="X958">
        <f>IF(ISNUMBER(SEARCH('1Př1'!$A$35,N958)),MAX($M$2:M957)+1,0)</f>
        <v>956</v>
      </c>
      <c r="Y958" s="336" t="s">
        <v>3323</v>
      </c>
      <c r="Z958" t="str">
        <f>IFERROR(VLOOKUP(ROWS($Z$3:Z958),$X$3:$Y$992,2,0),"")</f>
        <v>Základní vzdělávání na druhém stupni základních škol</v>
      </c>
    </row>
    <row r="959" spans="13:26" ht="12.75">
      <c r="M959" s="335">
        <f>IF(ISNUMBER(SEARCH(ZAKL_DATA!$B$29,N959)),MAX($M$2:M958)+1,0)</f>
        <v>957</v>
      </c>
      <c r="N959" s="336" t="s">
        <v>3325</v>
      </c>
      <c r="O959" s="353" t="s">
        <v>3326</v>
      </c>
      <c r="P959" s="338"/>
      <c r="Q959" s="339" t="str">
        <f>IFERROR(VLOOKUP(ROWS($Q$3:Q959),$M$3:$N$992,2,0),"")</f>
        <v>Střední všeobecné vzdělávání</v>
      </c>
      <c r="R959">
        <f>IF(ISNUMBER(SEARCH('1Př1'!$A$33,N959)),MAX($M$2:M958)+1,0)</f>
        <v>957</v>
      </c>
      <c r="S959" s="336" t="s">
        <v>3325</v>
      </c>
      <c r="T959" t="str">
        <f>IFERROR(VLOOKUP(ROWS($T$3:T959),$R$3:$S$992,2,0),"")</f>
        <v>Střední všeobecné vzdělávání</v>
      </c>
      <c r="U959">
        <f>IF(ISNUMBER(SEARCH('1Př1'!$A$34,N959)),MAX($M$2:M958)+1,0)</f>
        <v>957</v>
      </c>
      <c r="V959" s="336" t="s">
        <v>3325</v>
      </c>
      <c r="W959" t="str">
        <f>IFERROR(VLOOKUP(ROWS($W$3:W959),$U$3:$V$992,2,0),"")</f>
        <v>Střední všeobecné vzdělávání</v>
      </c>
      <c r="X959">
        <f>IF(ISNUMBER(SEARCH('1Př1'!$A$35,N959)),MAX($M$2:M958)+1,0)</f>
        <v>957</v>
      </c>
      <c r="Y959" s="336" t="s">
        <v>3325</v>
      </c>
      <c r="Z959" t="str">
        <f>IFERROR(VLOOKUP(ROWS($Z$3:Z959),$X$3:$Y$992,2,0),"")</f>
        <v>Střední všeobecné vzdělávání</v>
      </c>
    </row>
    <row r="960" spans="13:26" ht="12.75">
      <c r="M960" s="335">
        <f>IF(ISNUMBER(SEARCH(ZAKL_DATA!$B$29,N960)),MAX($M$2:M959)+1,0)</f>
        <v>958</v>
      </c>
      <c r="N960" s="336" t="s">
        <v>3327</v>
      </c>
      <c r="O960" s="353" t="s">
        <v>3328</v>
      </c>
      <c r="P960" s="338"/>
      <c r="Q960" s="339" t="str">
        <f>IFERROR(VLOOKUP(ROWS($Q$3:Q960),$M$3:$N$992,2,0),"")</f>
        <v>Střední odborné vzdělávání na učilištích</v>
      </c>
      <c r="R960">
        <f>IF(ISNUMBER(SEARCH('1Př1'!$A$33,N960)),MAX($M$2:M959)+1,0)</f>
        <v>958</v>
      </c>
      <c r="S960" s="336" t="s">
        <v>3327</v>
      </c>
      <c r="T960" t="str">
        <f>IFERROR(VLOOKUP(ROWS($T$3:T960),$R$3:$S$992,2,0),"")</f>
        <v>Střední odborné vzdělávání na učilištích</v>
      </c>
      <c r="U960">
        <f>IF(ISNUMBER(SEARCH('1Př1'!$A$34,N960)),MAX($M$2:M959)+1,0)</f>
        <v>958</v>
      </c>
      <c r="V960" s="336" t="s">
        <v>3327</v>
      </c>
      <c r="W960" t="str">
        <f>IFERROR(VLOOKUP(ROWS($W$3:W960),$U$3:$V$992,2,0),"")</f>
        <v>Střední odborné vzdělávání na učilištích</v>
      </c>
      <c r="X960">
        <f>IF(ISNUMBER(SEARCH('1Př1'!$A$35,N960)),MAX($M$2:M959)+1,0)</f>
        <v>958</v>
      </c>
      <c r="Y960" s="336" t="s">
        <v>3327</v>
      </c>
      <c r="Z960" t="str">
        <f>IFERROR(VLOOKUP(ROWS($Z$3:Z960),$X$3:$Y$992,2,0),"")</f>
        <v>Střední odborné vzdělávání na učilištích</v>
      </c>
    </row>
    <row r="961" spans="13:26" ht="12.75">
      <c r="M961" s="335">
        <f>IF(ISNUMBER(SEARCH(ZAKL_DATA!$B$29,N961)),MAX($M$2:M960)+1,0)</f>
        <v>959</v>
      </c>
      <c r="N961" s="336" t="s">
        <v>3329</v>
      </c>
      <c r="O961" s="353" t="s">
        <v>3330</v>
      </c>
      <c r="P961" s="338"/>
      <c r="Q961" s="339" t="str">
        <f>IFERROR(VLOOKUP(ROWS($Q$3:Q961),$M$3:$N$992,2,0),"")</f>
        <v>Střední odborné vzdělávání na středních odborných školách</v>
      </c>
      <c r="R961">
        <f>IF(ISNUMBER(SEARCH('1Př1'!$A$33,N961)),MAX($M$2:M960)+1,0)</f>
        <v>959</v>
      </c>
      <c r="S961" s="336" t="s">
        <v>3329</v>
      </c>
      <c r="T961" t="str">
        <f>IFERROR(VLOOKUP(ROWS($T$3:T961),$R$3:$S$992,2,0),"")</f>
        <v>Střední odborné vzdělávání na středních odborných školách</v>
      </c>
      <c r="U961">
        <f>IF(ISNUMBER(SEARCH('1Př1'!$A$34,N961)),MAX($M$2:M960)+1,0)</f>
        <v>959</v>
      </c>
      <c r="V961" s="336" t="s">
        <v>3329</v>
      </c>
      <c r="W961" t="str">
        <f>IFERROR(VLOOKUP(ROWS($W$3:W961),$U$3:$V$992,2,0),"")</f>
        <v>Střední odborné vzdělávání na středních odborných školách</v>
      </c>
      <c r="X961">
        <f>IF(ISNUMBER(SEARCH('1Př1'!$A$35,N961)),MAX($M$2:M960)+1,0)</f>
        <v>959</v>
      </c>
      <c r="Y961" s="336" t="s">
        <v>3329</v>
      </c>
      <c r="Z961" t="str">
        <f>IFERROR(VLOOKUP(ROWS($Z$3:Z961),$X$3:$Y$992,2,0),"")</f>
        <v>Střední odborné vzdělávání na středních odborných školách</v>
      </c>
    </row>
    <row r="962" spans="13:26" ht="12.75">
      <c r="M962" s="335">
        <f>IF(ISNUMBER(SEARCH(ZAKL_DATA!$B$29,N962)),MAX($M$2:M961)+1,0)</f>
        <v>960</v>
      </c>
      <c r="N962" s="336" t="s">
        <v>3331</v>
      </c>
      <c r="O962" s="353" t="s">
        <v>3332</v>
      </c>
      <c r="P962" s="338"/>
      <c r="Q962" s="339" t="str">
        <f>IFERROR(VLOOKUP(ROWS($Q$3:Q962),$M$3:$N$992,2,0),"")</f>
        <v>Činnosti autoškol</v>
      </c>
      <c r="R962">
        <f>IF(ISNUMBER(SEARCH('1Př1'!$A$33,N962)),MAX($M$2:M961)+1,0)</f>
        <v>960</v>
      </c>
      <c r="S962" s="336" t="s">
        <v>3331</v>
      </c>
      <c r="T962" t="str">
        <f>IFERROR(VLOOKUP(ROWS($T$3:T962),$R$3:$S$992,2,0),"")</f>
        <v>Činnosti autoškol</v>
      </c>
      <c r="U962">
        <f>IF(ISNUMBER(SEARCH('1Př1'!$A$34,N962)),MAX($M$2:M961)+1,0)</f>
        <v>960</v>
      </c>
      <c r="V962" s="336" t="s">
        <v>3331</v>
      </c>
      <c r="W962" t="str">
        <f>IFERROR(VLOOKUP(ROWS($W$3:W962),$U$3:$V$992,2,0),"")</f>
        <v>Činnosti autoškol</v>
      </c>
      <c r="X962">
        <f>IF(ISNUMBER(SEARCH('1Př1'!$A$35,N962)),MAX($M$2:M961)+1,0)</f>
        <v>960</v>
      </c>
      <c r="Y962" s="336" t="s">
        <v>3331</v>
      </c>
      <c r="Z962" t="str">
        <f>IFERROR(VLOOKUP(ROWS($Z$3:Z962),$X$3:$Y$992,2,0),"")</f>
        <v>Činnosti autoškol</v>
      </c>
    </row>
    <row r="963" spans="13:26" ht="12.75">
      <c r="M963" s="335">
        <f>IF(ISNUMBER(SEARCH(ZAKL_DATA!$B$29,N963)),MAX($M$2:M962)+1,0)</f>
        <v>961</v>
      </c>
      <c r="N963" s="336" t="s">
        <v>3333</v>
      </c>
      <c r="O963" s="353" t="s">
        <v>3334</v>
      </c>
      <c r="P963" s="338"/>
      <c r="Q963" s="339" t="str">
        <f>IFERROR(VLOOKUP(ROWS($Q$3:Q963),$M$3:$N$992,2,0),"")</f>
        <v>Činnosti leteckých škol</v>
      </c>
      <c r="R963">
        <f>IF(ISNUMBER(SEARCH('1Př1'!$A$33,N963)),MAX($M$2:M962)+1,0)</f>
        <v>961</v>
      </c>
      <c r="S963" s="336" t="s">
        <v>3333</v>
      </c>
      <c r="T963" t="str">
        <f>IFERROR(VLOOKUP(ROWS($T$3:T963),$R$3:$S$992,2,0),"")</f>
        <v>Činnosti leteckých škol</v>
      </c>
      <c r="U963">
        <f>IF(ISNUMBER(SEARCH('1Př1'!$A$34,N963)),MAX($M$2:M962)+1,0)</f>
        <v>961</v>
      </c>
      <c r="V963" s="336" t="s">
        <v>3333</v>
      </c>
      <c r="W963" t="str">
        <f>IFERROR(VLOOKUP(ROWS($W$3:W963),$U$3:$V$992,2,0),"")</f>
        <v>Činnosti leteckých škol</v>
      </c>
      <c r="X963">
        <f>IF(ISNUMBER(SEARCH('1Př1'!$A$35,N963)),MAX($M$2:M962)+1,0)</f>
        <v>961</v>
      </c>
      <c r="Y963" s="336" t="s">
        <v>3333</v>
      </c>
      <c r="Z963" t="str">
        <f>IFERROR(VLOOKUP(ROWS($Z$3:Z963),$X$3:$Y$992,2,0),"")</f>
        <v>Činnosti leteckých škol</v>
      </c>
    </row>
    <row r="964" spans="13:26" ht="12.75">
      <c r="M964" s="335">
        <f>IF(ISNUMBER(SEARCH(ZAKL_DATA!$B$29,N964)),MAX($M$2:M963)+1,0)</f>
        <v>962</v>
      </c>
      <c r="N964" s="336" t="s">
        <v>3335</v>
      </c>
      <c r="O964" s="353" t="s">
        <v>3336</v>
      </c>
      <c r="P964" s="338"/>
      <c r="Q964" s="339" t="str">
        <f>IFERROR(VLOOKUP(ROWS($Q$3:Q964),$M$3:$N$992,2,0),"")</f>
        <v>Činnosti ostatních škol řízení</v>
      </c>
      <c r="R964">
        <f>IF(ISNUMBER(SEARCH('1Př1'!$A$33,N964)),MAX($M$2:M963)+1,0)</f>
        <v>962</v>
      </c>
      <c r="S964" s="336" t="s">
        <v>3335</v>
      </c>
      <c r="T964" t="str">
        <f>IFERROR(VLOOKUP(ROWS($T$3:T964),$R$3:$S$992,2,0),"")</f>
        <v>Činnosti ostatních škol řízení</v>
      </c>
      <c r="U964">
        <f>IF(ISNUMBER(SEARCH('1Př1'!$A$34,N964)),MAX($M$2:M963)+1,0)</f>
        <v>962</v>
      </c>
      <c r="V964" s="336" t="s">
        <v>3335</v>
      </c>
      <c r="W964" t="str">
        <f>IFERROR(VLOOKUP(ROWS($W$3:W964),$U$3:$V$992,2,0),"")</f>
        <v>Činnosti ostatních škol řízení</v>
      </c>
      <c r="X964">
        <f>IF(ISNUMBER(SEARCH('1Př1'!$A$35,N964)),MAX($M$2:M963)+1,0)</f>
        <v>962</v>
      </c>
      <c r="Y964" s="336" t="s">
        <v>3335</v>
      </c>
      <c r="Z964" t="str">
        <f>IFERROR(VLOOKUP(ROWS($Z$3:Z964),$X$3:$Y$992,2,0),"")</f>
        <v>Činnosti ostatních škol řízení</v>
      </c>
    </row>
    <row r="965" spans="13:26" ht="12.75">
      <c r="M965" s="335">
        <f>IF(ISNUMBER(SEARCH(ZAKL_DATA!$B$29,N965)),MAX($M$2:M964)+1,0)</f>
        <v>963</v>
      </c>
      <c r="N965" s="336" t="s">
        <v>3337</v>
      </c>
      <c r="O965" s="353" t="s">
        <v>3338</v>
      </c>
      <c r="P965" s="338"/>
      <c r="Q965" s="339" t="str">
        <f>IFERROR(VLOOKUP(ROWS($Q$3:Q965),$M$3:$N$992,2,0),"")</f>
        <v>Vzdělávání v jazykových školách</v>
      </c>
      <c r="R965">
        <f>IF(ISNUMBER(SEARCH('1Př1'!$A$33,N965)),MAX($M$2:M964)+1,0)</f>
        <v>963</v>
      </c>
      <c r="S965" s="336" t="s">
        <v>3337</v>
      </c>
      <c r="T965" t="str">
        <f>IFERROR(VLOOKUP(ROWS($T$3:T965),$R$3:$S$992,2,0),"")</f>
        <v>Vzdělávání v jazykových školách</v>
      </c>
      <c r="U965">
        <f>IF(ISNUMBER(SEARCH('1Př1'!$A$34,N965)),MAX($M$2:M964)+1,0)</f>
        <v>963</v>
      </c>
      <c r="V965" s="336" t="s">
        <v>3337</v>
      </c>
      <c r="W965" t="str">
        <f>IFERROR(VLOOKUP(ROWS($W$3:W965),$U$3:$V$992,2,0),"")</f>
        <v>Vzdělávání v jazykových školách</v>
      </c>
      <c r="X965">
        <f>IF(ISNUMBER(SEARCH('1Př1'!$A$35,N965)),MAX($M$2:M964)+1,0)</f>
        <v>963</v>
      </c>
      <c r="Y965" s="336" t="s">
        <v>3337</v>
      </c>
      <c r="Z965" t="str">
        <f>IFERROR(VLOOKUP(ROWS($Z$3:Z965),$X$3:$Y$992,2,0),"")</f>
        <v>Vzdělávání v jazykových školách</v>
      </c>
    </row>
    <row r="966" spans="13:26" ht="12.75">
      <c r="M966" s="335">
        <f>IF(ISNUMBER(SEARCH(ZAKL_DATA!$B$29,N966)),MAX($M$2:M965)+1,0)</f>
        <v>964</v>
      </c>
      <c r="N966" s="336" t="s">
        <v>3339</v>
      </c>
      <c r="O966" s="353" t="s">
        <v>3340</v>
      </c>
      <c r="P966" s="338"/>
      <c r="Q966" s="339" t="str">
        <f>IFERROR(VLOOKUP(ROWS($Q$3:Q966),$M$3:$N$992,2,0),"")</f>
        <v>Environmentální vzdělávání</v>
      </c>
      <c r="R966">
        <f>IF(ISNUMBER(SEARCH('1Př1'!$A$33,N966)),MAX($M$2:M965)+1,0)</f>
        <v>964</v>
      </c>
      <c r="S966" s="336" t="s">
        <v>3339</v>
      </c>
      <c r="T966" t="str">
        <f>IFERROR(VLOOKUP(ROWS($T$3:T966),$R$3:$S$992,2,0),"")</f>
        <v>Environmentální vzdělávání</v>
      </c>
      <c r="U966">
        <f>IF(ISNUMBER(SEARCH('1Př1'!$A$34,N966)),MAX($M$2:M965)+1,0)</f>
        <v>964</v>
      </c>
      <c r="V966" s="336" t="s">
        <v>3339</v>
      </c>
      <c r="W966" t="str">
        <f>IFERROR(VLOOKUP(ROWS($W$3:W966),$U$3:$V$992,2,0),"")</f>
        <v>Environmentální vzdělávání</v>
      </c>
      <c r="X966">
        <f>IF(ISNUMBER(SEARCH('1Př1'!$A$35,N966)),MAX($M$2:M965)+1,0)</f>
        <v>964</v>
      </c>
      <c r="Y966" s="336" t="s">
        <v>3339</v>
      </c>
      <c r="Z966" t="str">
        <f>IFERROR(VLOOKUP(ROWS($Z$3:Z966),$X$3:$Y$992,2,0),"")</f>
        <v>Environmentální vzdělávání</v>
      </c>
    </row>
    <row r="967" spans="13:26" ht="12.75">
      <c r="M967" s="335">
        <f>IF(ISNUMBER(SEARCH(ZAKL_DATA!$B$29,N967)),MAX($M$2:M966)+1,0)</f>
        <v>965</v>
      </c>
      <c r="N967" s="336" t="s">
        <v>3341</v>
      </c>
      <c r="O967" s="353" t="s">
        <v>3342</v>
      </c>
      <c r="P967" s="338"/>
      <c r="Q967" s="339" t="str">
        <f>IFERROR(VLOOKUP(ROWS($Q$3:Q967),$M$3:$N$992,2,0),"")</f>
        <v>Inovační vzdělávání</v>
      </c>
      <c r="R967">
        <f>IF(ISNUMBER(SEARCH('1Př1'!$A$33,N967)),MAX($M$2:M966)+1,0)</f>
        <v>965</v>
      </c>
      <c r="S967" s="336" t="s">
        <v>3341</v>
      </c>
      <c r="T967" t="str">
        <f>IFERROR(VLOOKUP(ROWS($T$3:T967),$R$3:$S$992,2,0),"")</f>
        <v>Inovační vzdělávání</v>
      </c>
      <c r="U967">
        <f>IF(ISNUMBER(SEARCH('1Př1'!$A$34,N967)),MAX($M$2:M966)+1,0)</f>
        <v>965</v>
      </c>
      <c r="V967" s="336" t="s">
        <v>3341</v>
      </c>
      <c r="W967" t="str">
        <f>IFERROR(VLOOKUP(ROWS($W$3:W967),$U$3:$V$992,2,0),"")</f>
        <v>Inovační vzdělávání</v>
      </c>
      <c r="X967">
        <f>IF(ISNUMBER(SEARCH('1Př1'!$A$35,N967)),MAX($M$2:M966)+1,0)</f>
        <v>965</v>
      </c>
      <c r="Y967" s="336" t="s">
        <v>3341</v>
      </c>
      <c r="Z967" t="str">
        <f>IFERROR(VLOOKUP(ROWS($Z$3:Z967),$X$3:$Y$992,2,0),"")</f>
        <v>Inovační vzdělávání</v>
      </c>
    </row>
    <row r="968" spans="13:26" ht="12.75">
      <c r="M968" s="335">
        <f>IF(ISNUMBER(SEARCH(ZAKL_DATA!$B$29,N968)),MAX($M$2:M967)+1,0)</f>
        <v>966</v>
      </c>
      <c r="N968" s="336" t="s">
        <v>3343</v>
      </c>
      <c r="O968" s="353" t="s">
        <v>3344</v>
      </c>
      <c r="P968" s="338"/>
      <c r="Q968" s="339" t="str">
        <f>IFERROR(VLOOKUP(ROWS($Q$3:Q968),$M$3:$N$992,2,0),"")</f>
        <v>Jiné vzdělávání j. n.</v>
      </c>
      <c r="R968">
        <f>IF(ISNUMBER(SEARCH('1Př1'!$A$33,N968)),MAX($M$2:M967)+1,0)</f>
        <v>966</v>
      </c>
      <c r="S968" s="336" t="s">
        <v>3343</v>
      </c>
      <c r="T968" t="str">
        <f>IFERROR(VLOOKUP(ROWS($T$3:T968),$R$3:$S$992,2,0),"")</f>
        <v>Jiné vzdělávání j. n.</v>
      </c>
      <c r="U968">
        <f>IF(ISNUMBER(SEARCH('1Př1'!$A$34,N968)),MAX($M$2:M967)+1,0)</f>
        <v>966</v>
      </c>
      <c r="V968" s="336" t="s">
        <v>3343</v>
      </c>
      <c r="W968" t="str">
        <f>IFERROR(VLOOKUP(ROWS($W$3:W968),$U$3:$V$992,2,0),"")</f>
        <v>Jiné vzdělávání j. n.</v>
      </c>
      <c r="X968">
        <f>IF(ISNUMBER(SEARCH('1Př1'!$A$35,N968)),MAX($M$2:M967)+1,0)</f>
        <v>966</v>
      </c>
      <c r="Y968" s="336" t="s">
        <v>3343</v>
      </c>
      <c r="Z968" t="str">
        <f>IFERROR(VLOOKUP(ROWS($Z$3:Z968),$X$3:$Y$992,2,0),"")</f>
        <v>Jiné vzdělávání j. n.</v>
      </c>
    </row>
    <row r="969" spans="13:26" ht="12.75">
      <c r="M969" s="335">
        <f>IF(ISNUMBER(SEARCH(ZAKL_DATA!$B$29,N969)),MAX($M$2:M968)+1,0)</f>
        <v>967</v>
      </c>
      <c r="N969" s="336" t="s">
        <v>3345</v>
      </c>
      <c r="O969" s="353" t="s">
        <v>3346</v>
      </c>
      <c r="P969" s="338"/>
      <c r="Q969" s="339" t="str">
        <f>IFERROR(VLOOKUP(ROWS($Q$3:Q969),$M$3:$N$992,2,0),"")</f>
        <v>Činnosti související s ochranou veřejného zdraví</v>
      </c>
      <c r="R969">
        <f>IF(ISNUMBER(SEARCH('1Př1'!$A$33,N969)),MAX($M$2:M968)+1,0)</f>
        <v>967</v>
      </c>
      <c r="S969" s="336" t="s">
        <v>3345</v>
      </c>
      <c r="T969" t="str">
        <f>IFERROR(VLOOKUP(ROWS($T$3:T969),$R$3:$S$992,2,0),"")</f>
        <v>Činnosti související s ochranou veřejného zdraví</v>
      </c>
      <c r="U969">
        <f>IF(ISNUMBER(SEARCH('1Př1'!$A$34,N969)),MAX($M$2:M968)+1,0)</f>
        <v>967</v>
      </c>
      <c r="V969" s="336" t="s">
        <v>3345</v>
      </c>
      <c r="W969" t="str">
        <f>IFERROR(VLOOKUP(ROWS($W$3:W969),$U$3:$V$992,2,0),"")</f>
        <v>Činnosti související s ochranou veřejného zdraví</v>
      </c>
      <c r="X969">
        <f>IF(ISNUMBER(SEARCH('1Př1'!$A$35,N969)),MAX($M$2:M968)+1,0)</f>
        <v>967</v>
      </c>
      <c r="Y969" s="336" t="s">
        <v>3345</v>
      </c>
      <c r="Z969" t="str">
        <f>IFERROR(VLOOKUP(ROWS($Z$3:Z969),$X$3:$Y$992,2,0),"")</f>
        <v>Činnosti související s ochranou veřejného zdraví</v>
      </c>
    </row>
    <row r="970" spans="13:26" ht="12.75">
      <c r="M970" s="335">
        <f>IF(ISNUMBER(SEARCH(ZAKL_DATA!$B$29,N970)),MAX($M$2:M969)+1,0)</f>
        <v>968</v>
      </c>
      <c r="N970" s="336" t="s">
        <v>3347</v>
      </c>
      <c r="O970" s="353" t="s">
        <v>3348</v>
      </c>
      <c r="P970" s="338"/>
      <c r="Q970" s="339" t="str">
        <f>IFERROR(VLOOKUP(ROWS($Q$3:Q970),$M$3:$N$992,2,0),"")</f>
        <v>Ostatní činnosti související se zdravotní péčí j. n.</v>
      </c>
      <c r="R970">
        <f>IF(ISNUMBER(SEARCH('1Př1'!$A$33,N970)),MAX($M$2:M969)+1,0)</f>
        <v>968</v>
      </c>
      <c r="S970" s="336" t="s">
        <v>3347</v>
      </c>
      <c r="T970" t="str">
        <f>IFERROR(VLOOKUP(ROWS($T$3:T970),$R$3:$S$992,2,0),"")</f>
        <v>Ostatní činnosti související se zdravotní péčí j. n.</v>
      </c>
      <c r="U970">
        <f>IF(ISNUMBER(SEARCH('1Př1'!$A$34,N970)),MAX($M$2:M969)+1,0)</f>
        <v>968</v>
      </c>
      <c r="V970" s="336" t="s">
        <v>3347</v>
      </c>
      <c r="W970" t="str">
        <f>IFERROR(VLOOKUP(ROWS($W$3:W970),$U$3:$V$992,2,0),"")</f>
        <v>Ostatní činnosti související se zdravotní péčí j. n.</v>
      </c>
      <c r="X970">
        <f>IF(ISNUMBER(SEARCH('1Př1'!$A$35,N970)),MAX($M$2:M969)+1,0)</f>
        <v>968</v>
      </c>
      <c r="Y970" s="336" t="s">
        <v>3347</v>
      </c>
      <c r="Z970" t="str">
        <f>IFERROR(VLOOKUP(ROWS($Z$3:Z970),$X$3:$Y$992,2,0),"")</f>
        <v>Ostatní činnosti související se zdravotní péčí j. n.</v>
      </c>
    </row>
    <row r="971" spans="13:26" ht="12.75">
      <c r="M971" s="335">
        <f>IF(ISNUMBER(SEARCH(ZAKL_DATA!$B$29,N971)),MAX($M$2:M970)+1,0)</f>
        <v>969</v>
      </c>
      <c r="N971" s="336" t="s">
        <v>3349</v>
      </c>
      <c r="O971" s="353" t="s">
        <v>3350</v>
      </c>
      <c r="P971" s="338"/>
      <c r="Q971" s="339" t="str">
        <f>IFERROR(VLOOKUP(ROWS($Q$3:Q971),$M$3:$N$992,2,0),"")</f>
        <v>Sociální péče v zařízeních pro osoby s chronickým duševním onemocněním</v>
      </c>
      <c r="R971">
        <f>IF(ISNUMBER(SEARCH('1Př1'!$A$33,N971)),MAX($M$2:M970)+1,0)</f>
        <v>969</v>
      </c>
      <c r="S971" s="336" t="s">
        <v>3349</v>
      </c>
      <c r="T971" t="str">
        <f>IFERROR(VLOOKUP(ROWS($T$3:T971),$R$3:$S$992,2,0),"")</f>
        <v>Sociální péče v zařízeních pro osoby s chronickým duševním onemocněním</v>
      </c>
      <c r="U971">
        <f>IF(ISNUMBER(SEARCH('1Př1'!$A$34,N971)),MAX($M$2:M970)+1,0)</f>
        <v>969</v>
      </c>
      <c r="V971" s="336" t="s">
        <v>3349</v>
      </c>
      <c r="W971" t="str">
        <f>IFERROR(VLOOKUP(ROWS($W$3:W971),$U$3:$V$992,2,0),"")</f>
        <v>Sociální péče v zařízeních pro osoby s chronickým duševním onemocněním</v>
      </c>
      <c r="X971">
        <f>IF(ISNUMBER(SEARCH('1Př1'!$A$35,N971)),MAX($M$2:M970)+1,0)</f>
        <v>969</v>
      </c>
      <c r="Y971" s="336" t="s">
        <v>3349</v>
      </c>
      <c r="Z971" t="str">
        <f>IFERROR(VLOOKUP(ROWS($Z$3:Z971),$X$3:$Y$992,2,0),"")</f>
        <v>Sociální péče v zařízeních pro osoby s chronickým duševním onemocněním</v>
      </c>
    </row>
    <row r="972" spans="13:26" ht="12.75">
      <c r="M972" s="335">
        <f>IF(ISNUMBER(SEARCH(ZAKL_DATA!$B$29,N972)),MAX($M$2:M971)+1,0)</f>
        <v>970</v>
      </c>
      <c r="N972" s="336" t="s">
        <v>3351</v>
      </c>
      <c r="O972" s="353" t="s">
        <v>3352</v>
      </c>
      <c r="P972" s="338"/>
      <c r="Q972" s="339" t="str">
        <f>IFERROR(VLOOKUP(ROWS($Q$3:Q972),$M$3:$N$992,2,0),"")</f>
        <v>Sociální péče v zařízeních pro osoby závislé na návykových látkách</v>
      </c>
      <c r="R972">
        <f>IF(ISNUMBER(SEARCH('1Př1'!$A$33,N972)),MAX($M$2:M971)+1,0)</f>
        <v>970</v>
      </c>
      <c r="S972" s="336" t="s">
        <v>3351</v>
      </c>
      <c r="T972" t="str">
        <f>IFERROR(VLOOKUP(ROWS($T$3:T972),$R$3:$S$992,2,0),"")</f>
        <v>Sociální péče v zařízeních pro osoby závislé na návykových látkách</v>
      </c>
      <c r="U972">
        <f>IF(ISNUMBER(SEARCH('1Př1'!$A$34,N972)),MAX($M$2:M971)+1,0)</f>
        <v>970</v>
      </c>
      <c r="V972" s="336" t="s">
        <v>3351</v>
      </c>
      <c r="W972" t="str">
        <f>IFERROR(VLOOKUP(ROWS($W$3:W972),$U$3:$V$992,2,0),"")</f>
        <v>Sociální péče v zařízeních pro osoby závislé na návykových látkách</v>
      </c>
      <c r="X972">
        <f>IF(ISNUMBER(SEARCH('1Př1'!$A$35,N972)),MAX($M$2:M971)+1,0)</f>
        <v>970</v>
      </c>
      <c r="Y972" s="336" t="s">
        <v>3351</v>
      </c>
      <c r="Z972" t="str">
        <f>IFERROR(VLOOKUP(ROWS($Z$3:Z972),$X$3:$Y$992,2,0),"")</f>
        <v>Sociální péče v zařízeních pro osoby závislé na návykových látkách</v>
      </c>
    </row>
    <row r="973" spans="13:26" ht="12.75">
      <c r="M973" s="335">
        <f>IF(ISNUMBER(SEARCH(ZAKL_DATA!$B$29,N973)),MAX($M$2:M972)+1,0)</f>
        <v>971</v>
      </c>
      <c r="N973" s="336" t="s">
        <v>3353</v>
      </c>
      <c r="O973" s="353" t="s">
        <v>3354</v>
      </c>
      <c r="P973" s="338"/>
      <c r="Q973" s="339" t="str">
        <f>IFERROR(VLOOKUP(ROWS($Q$3:Q973),$M$3:$N$992,2,0),"")</f>
        <v>Sociální péče v domovech pro seniory</v>
      </c>
      <c r="R973">
        <f>IF(ISNUMBER(SEARCH('1Př1'!$A$33,N973)),MAX($M$2:M972)+1,0)</f>
        <v>971</v>
      </c>
      <c r="S973" s="336" t="s">
        <v>3353</v>
      </c>
      <c r="T973" t="str">
        <f>IFERROR(VLOOKUP(ROWS($T$3:T973),$R$3:$S$992,2,0),"")</f>
        <v>Sociální péče v domovech pro seniory</v>
      </c>
      <c r="U973">
        <f>IF(ISNUMBER(SEARCH('1Př1'!$A$34,N973)),MAX($M$2:M972)+1,0)</f>
        <v>971</v>
      </c>
      <c r="V973" s="336" t="s">
        <v>3353</v>
      </c>
      <c r="W973" t="str">
        <f>IFERROR(VLOOKUP(ROWS($W$3:W973),$U$3:$V$992,2,0),"")</f>
        <v>Sociální péče v domovech pro seniory</v>
      </c>
      <c r="X973">
        <f>IF(ISNUMBER(SEARCH('1Př1'!$A$35,N973)),MAX($M$2:M972)+1,0)</f>
        <v>971</v>
      </c>
      <c r="Y973" s="336" t="s">
        <v>3353</v>
      </c>
      <c r="Z973" t="str">
        <f>IFERROR(VLOOKUP(ROWS($Z$3:Z973),$X$3:$Y$992,2,0),"")</f>
        <v>Sociální péče v domovech pro seniory</v>
      </c>
    </row>
    <row r="974" spans="13:26" ht="12.75">
      <c r="M974" s="335">
        <f>IF(ISNUMBER(SEARCH(ZAKL_DATA!$B$29,N974)),MAX($M$2:M973)+1,0)</f>
        <v>972</v>
      </c>
      <c r="N974" s="336" t="s">
        <v>3355</v>
      </c>
      <c r="O974" s="353" t="s">
        <v>3356</v>
      </c>
      <c r="P974" s="338"/>
      <c r="Q974" s="339" t="str">
        <f>IFERROR(VLOOKUP(ROWS($Q$3:Q974),$M$3:$N$992,2,0),"")</f>
        <v>Sociální péče v domovech pro osoby se zdravotním postižením</v>
      </c>
      <c r="R974">
        <f>IF(ISNUMBER(SEARCH('1Př1'!$A$33,N974)),MAX($M$2:M973)+1,0)</f>
        <v>972</v>
      </c>
      <c r="S974" s="336" t="s">
        <v>3355</v>
      </c>
      <c r="T974" t="str">
        <f>IFERROR(VLOOKUP(ROWS($T$3:T974),$R$3:$S$992,2,0),"")</f>
        <v>Sociální péče v domovech pro osoby se zdravotním postižením</v>
      </c>
      <c r="U974">
        <f>IF(ISNUMBER(SEARCH('1Př1'!$A$34,N974)),MAX($M$2:M973)+1,0)</f>
        <v>972</v>
      </c>
      <c r="V974" s="336" t="s">
        <v>3355</v>
      </c>
      <c r="W974" t="str">
        <f>IFERROR(VLOOKUP(ROWS($W$3:W974),$U$3:$V$992,2,0),"")</f>
        <v>Sociální péče v domovech pro osoby se zdravotním postižením</v>
      </c>
      <c r="X974">
        <f>IF(ISNUMBER(SEARCH('1Př1'!$A$35,N974)),MAX($M$2:M973)+1,0)</f>
        <v>972</v>
      </c>
      <c r="Y974" s="336" t="s">
        <v>3355</v>
      </c>
      <c r="Z974" t="str">
        <f>IFERROR(VLOOKUP(ROWS($Z$3:Z974),$X$3:$Y$992,2,0),"")</f>
        <v>Sociální péče v domovech pro osoby se zdravotním postižením</v>
      </c>
    </row>
    <row r="975" spans="13:26" ht="12.75">
      <c r="M975" s="335">
        <f>IF(ISNUMBER(SEARCH(ZAKL_DATA!$B$29,N975)),MAX($M$2:M974)+1,0)</f>
        <v>973</v>
      </c>
      <c r="N975" s="336" t="s">
        <v>3357</v>
      </c>
      <c r="O975" s="353" t="s">
        <v>2163</v>
      </c>
      <c r="P975" s="338"/>
      <c r="Q975" s="339" t="str">
        <f>IFERROR(VLOOKUP(ROWS($Q$3:Q975),$M$3:$N$992,2,0),"")</f>
        <v>Mimoústavní sociální péče o seniory a zdravotně postižené osoby</v>
      </c>
      <c r="R975">
        <f>IF(ISNUMBER(SEARCH('1Př1'!$A$33,N975)),MAX($M$2:M974)+1,0)</f>
        <v>973</v>
      </c>
      <c r="S975" s="336" t="s">
        <v>3357</v>
      </c>
      <c r="T975" t="str">
        <f>IFERROR(VLOOKUP(ROWS($T$3:T975),$R$3:$S$992,2,0),"")</f>
        <v>Mimoústavní sociální péče o seniory a zdravotně postižené osoby</v>
      </c>
      <c r="U975">
        <f>IF(ISNUMBER(SEARCH('1Př1'!$A$34,N975)),MAX($M$2:M974)+1,0)</f>
        <v>973</v>
      </c>
      <c r="V975" s="336" t="s">
        <v>3357</v>
      </c>
      <c r="W975" t="str">
        <f>IFERROR(VLOOKUP(ROWS($W$3:W975),$U$3:$V$992,2,0),"")</f>
        <v>Mimoústavní sociální péče o seniory a zdravotně postižené osoby</v>
      </c>
      <c r="X975">
        <f>IF(ISNUMBER(SEARCH('1Př1'!$A$35,N975)),MAX($M$2:M974)+1,0)</f>
        <v>973</v>
      </c>
      <c r="Y975" s="336" t="s">
        <v>3357</v>
      </c>
      <c r="Z975" t="str">
        <f>IFERROR(VLOOKUP(ROWS($Z$3:Z975),$X$3:$Y$992,2,0),"")</f>
        <v>Mimoústavní sociální péče o seniory a zdravotně postižené osoby</v>
      </c>
    </row>
    <row r="976" spans="13:26" ht="12.75">
      <c r="M976" s="335">
        <f>IF(ISNUMBER(SEARCH(ZAKL_DATA!$B$29,N976)),MAX($M$2:M975)+1,0)</f>
        <v>974</v>
      </c>
      <c r="N976" s="336" t="s">
        <v>3358</v>
      </c>
      <c r="O976" s="353" t="s">
        <v>3359</v>
      </c>
      <c r="P976" s="338"/>
      <c r="Q976" s="339" t="str">
        <f>IFERROR(VLOOKUP(ROWS($Q$3:Q976),$M$3:$N$992,2,0),"")</f>
        <v>Ambulantní nebo terénní sociální služby pro seniory</v>
      </c>
      <c r="R976">
        <f>IF(ISNUMBER(SEARCH('1Př1'!$A$33,N976)),MAX($M$2:M975)+1,0)</f>
        <v>974</v>
      </c>
      <c r="S976" s="336" t="s">
        <v>3358</v>
      </c>
      <c r="T976" t="str">
        <f>IFERROR(VLOOKUP(ROWS($T$3:T976),$R$3:$S$992,2,0),"")</f>
        <v>Ambulantní nebo terénní sociální služby pro seniory</v>
      </c>
      <c r="U976">
        <f>IF(ISNUMBER(SEARCH('1Př1'!$A$34,N976)),MAX($M$2:M975)+1,0)</f>
        <v>974</v>
      </c>
      <c r="V976" s="336" t="s">
        <v>3358</v>
      </c>
      <c r="W976" t="str">
        <f>IFERROR(VLOOKUP(ROWS($W$3:W976),$U$3:$V$992,2,0),"")</f>
        <v>Ambulantní nebo terénní sociální služby pro seniory</v>
      </c>
      <c r="X976">
        <f>IF(ISNUMBER(SEARCH('1Př1'!$A$35,N976)),MAX($M$2:M975)+1,0)</f>
        <v>974</v>
      </c>
      <c r="Y976" s="336" t="s">
        <v>3358</v>
      </c>
      <c r="Z976" t="str">
        <f>IFERROR(VLOOKUP(ROWS($Z$3:Z976),$X$3:$Y$992,2,0),"")</f>
        <v>Ambulantní nebo terénní sociální služby pro seniory</v>
      </c>
    </row>
    <row r="977" spans="13:26" ht="12.75">
      <c r="M977" s="335">
        <f>IF(ISNUMBER(SEARCH(ZAKL_DATA!$B$29,N977)),MAX($M$2:M976)+1,0)</f>
        <v>975</v>
      </c>
      <c r="N977" s="336" t="s">
        <v>3360</v>
      </c>
      <c r="O977" s="353" t="s">
        <v>3361</v>
      </c>
      <c r="P977" s="338"/>
      <c r="Q977" s="339" t="str">
        <f>IFERROR(VLOOKUP(ROWS($Q$3:Q977),$M$3:$N$992,2,0),"")</f>
        <v>Ambulantní nebo terénní sociální služby pro osoby se zdrav.postižením</v>
      </c>
      <c r="R977">
        <f>IF(ISNUMBER(SEARCH('1Př1'!$A$33,N977)),MAX($M$2:M976)+1,0)</f>
        <v>975</v>
      </c>
      <c r="S977" s="336" t="s">
        <v>3360</v>
      </c>
      <c r="T977" t="str">
        <f>IFERROR(VLOOKUP(ROWS($T$3:T977),$R$3:$S$992,2,0),"")</f>
        <v>Ambulantní nebo terénní sociální služby pro osoby se zdrav.postižením</v>
      </c>
      <c r="U977">
        <f>IF(ISNUMBER(SEARCH('1Př1'!$A$34,N977)),MAX($M$2:M976)+1,0)</f>
        <v>975</v>
      </c>
      <c r="V977" s="336" t="s">
        <v>3360</v>
      </c>
      <c r="W977" t="str">
        <f>IFERROR(VLOOKUP(ROWS($W$3:W977),$U$3:$V$992,2,0),"")</f>
        <v>Ambulantní nebo terénní sociální služby pro osoby se zdrav.postižením</v>
      </c>
      <c r="X977">
        <f>IF(ISNUMBER(SEARCH('1Př1'!$A$35,N977)),MAX($M$2:M976)+1,0)</f>
        <v>975</v>
      </c>
      <c r="Y977" s="336" t="s">
        <v>3360</v>
      </c>
      <c r="Z977" t="str">
        <f>IFERROR(VLOOKUP(ROWS($Z$3:Z977),$X$3:$Y$992,2,0),"")</f>
        <v>Ambulantní nebo terénní sociální služby pro osoby se zdrav.postižením</v>
      </c>
    </row>
    <row r="978" spans="13:26" ht="12.75">
      <c r="M978" s="335">
        <f>IF(ISNUMBER(SEARCH(ZAKL_DATA!$B$29,N978)),MAX($M$2:M977)+1,0)</f>
        <v>976</v>
      </c>
      <c r="N978" s="336" t="s">
        <v>3362</v>
      </c>
      <c r="O978" s="353" t="s">
        <v>3363</v>
      </c>
      <c r="P978" s="338"/>
      <c r="Q978" s="339" t="str">
        <f>IFERROR(VLOOKUP(ROWS($Q$3:Q978),$M$3:$N$992,2,0),"")</f>
        <v>Sociální služby pro uprchlíky, oběti katastrof</v>
      </c>
      <c r="R978">
        <f>IF(ISNUMBER(SEARCH('1Př1'!$A$33,N978)),MAX($M$2:M977)+1,0)</f>
        <v>976</v>
      </c>
      <c r="S978" s="336" t="s">
        <v>3362</v>
      </c>
      <c r="T978" t="str">
        <f>IFERROR(VLOOKUP(ROWS($T$3:T978),$R$3:$S$992,2,0),"")</f>
        <v>Sociální služby pro uprchlíky, oběti katastrof</v>
      </c>
      <c r="U978">
        <f>IF(ISNUMBER(SEARCH('1Př1'!$A$34,N978)),MAX($M$2:M977)+1,0)</f>
        <v>976</v>
      </c>
      <c r="V978" s="336" t="s">
        <v>3362</v>
      </c>
      <c r="W978" t="str">
        <f>IFERROR(VLOOKUP(ROWS($W$3:W978),$U$3:$V$992,2,0),"")</f>
        <v>Sociální služby pro uprchlíky, oběti katastrof</v>
      </c>
      <c r="X978">
        <f>IF(ISNUMBER(SEARCH('1Př1'!$A$35,N978)),MAX($M$2:M977)+1,0)</f>
        <v>976</v>
      </c>
      <c r="Y978" s="336" t="s">
        <v>3362</v>
      </c>
      <c r="Z978" t="str">
        <f>IFERROR(VLOOKUP(ROWS($Z$3:Z978),$X$3:$Y$992,2,0),"")</f>
        <v>Sociální služby pro uprchlíky, oběti katastrof</v>
      </c>
    </row>
    <row r="979" spans="13:26" ht="12.75">
      <c r="M979" s="335">
        <f>IF(ISNUMBER(SEARCH(ZAKL_DATA!$B$29,N979)),MAX($M$2:M978)+1,0)</f>
        <v>977</v>
      </c>
      <c r="N979" s="336" t="s">
        <v>3364</v>
      </c>
      <c r="O979" s="353" t="s">
        <v>3365</v>
      </c>
      <c r="P979" s="338"/>
      <c r="Q979" s="339" t="str">
        <f>IFERROR(VLOOKUP(ROWS($Q$3:Q979),$M$3:$N$992,2,0),"")</f>
        <v>Sociální prevence</v>
      </c>
      <c r="R979">
        <f>IF(ISNUMBER(SEARCH('1Př1'!$A$33,N979)),MAX($M$2:M978)+1,0)</f>
        <v>977</v>
      </c>
      <c r="S979" s="336" t="s">
        <v>3364</v>
      </c>
      <c r="T979" t="str">
        <f>IFERROR(VLOOKUP(ROWS($T$3:T979),$R$3:$S$992,2,0),"")</f>
        <v>Sociální prevence</v>
      </c>
      <c r="U979">
        <f>IF(ISNUMBER(SEARCH('1Př1'!$A$34,N979)),MAX($M$2:M978)+1,0)</f>
        <v>977</v>
      </c>
      <c r="V979" s="336" t="s">
        <v>3364</v>
      </c>
      <c r="W979" t="str">
        <f>IFERROR(VLOOKUP(ROWS($W$3:W979),$U$3:$V$992,2,0),"")</f>
        <v>Sociální prevence</v>
      </c>
      <c r="X979">
        <f>IF(ISNUMBER(SEARCH('1Př1'!$A$35,N979)),MAX($M$2:M978)+1,0)</f>
        <v>977</v>
      </c>
      <c r="Y979" s="336" t="s">
        <v>3364</v>
      </c>
      <c r="Z979" t="str">
        <f>IFERROR(VLOOKUP(ROWS($Z$3:Z979),$X$3:$Y$992,2,0),"")</f>
        <v>Sociální prevence</v>
      </c>
    </row>
    <row r="980" spans="13:26" ht="12.75">
      <c r="M980" s="335">
        <f>IF(ISNUMBER(SEARCH(ZAKL_DATA!$B$29,N980)),MAX($M$2:M979)+1,0)</f>
        <v>978</v>
      </c>
      <c r="N980" s="336" t="s">
        <v>3366</v>
      </c>
      <c r="O980" s="353" t="s">
        <v>3367</v>
      </c>
      <c r="P980" s="338"/>
      <c r="Q980" s="339" t="str">
        <f>IFERROR(VLOOKUP(ROWS($Q$3:Q980),$M$3:$N$992,2,0),"")</f>
        <v>Sociální rehabilitace</v>
      </c>
      <c r="R980">
        <f>IF(ISNUMBER(SEARCH('1Př1'!$A$33,N980)),MAX($M$2:M979)+1,0)</f>
        <v>978</v>
      </c>
      <c r="S980" s="336" t="s">
        <v>3366</v>
      </c>
      <c r="T980" t="str">
        <f>IFERROR(VLOOKUP(ROWS($T$3:T980),$R$3:$S$992,2,0),"")</f>
        <v>Sociální rehabilitace</v>
      </c>
      <c r="U980">
        <f>IF(ISNUMBER(SEARCH('1Př1'!$A$34,N980)),MAX($M$2:M979)+1,0)</f>
        <v>978</v>
      </c>
      <c r="V980" s="336" t="s">
        <v>3366</v>
      </c>
      <c r="W980" t="str">
        <f>IFERROR(VLOOKUP(ROWS($W$3:W980),$U$3:$V$992,2,0),"")</f>
        <v>Sociální rehabilitace</v>
      </c>
      <c r="X980">
        <f>IF(ISNUMBER(SEARCH('1Př1'!$A$35,N980)),MAX($M$2:M979)+1,0)</f>
        <v>978</v>
      </c>
      <c r="Y980" s="336" t="s">
        <v>3366</v>
      </c>
      <c r="Z980" t="str">
        <f>IFERROR(VLOOKUP(ROWS($Z$3:Z980),$X$3:$Y$992,2,0),"")</f>
        <v>Sociální rehabilitace</v>
      </c>
    </row>
    <row r="981" spans="13:26" ht="12.75">
      <c r="M981" s="335">
        <f>IF(ISNUMBER(SEARCH(ZAKL_DATA!$B$29,N981)),MAX($M$2:M980)+1,0)</f>
        <v>979</v>
      </c>
      <c r="N981" s="336" t="s">
        <v>3368</v>
      </c>
      <c r="O981" s="353" t="s">
        <v>3369</v>
      </c>
      <c r="P981" s="338"/>
      <c r="Q981" s="339" t="str">
        <f>IFERROR(VLOOKUP(ROWS($Q$3:Q981),$M$3:$N$992,2,0),"")</f>
        <v>Jiné ambulantní nebo terénní sociální služby j. n.</v>
      </c>
      <c r="R981">
        <f>IF(ISNUMBER(SEARCH('1Př1'!$A$33,N981)),MAX($M$2:M980)+1,0)</f>
        <v>979</v>
      </c>
      <c r="S981" s="336" t="s">
        <v>3368</v>
      </c>
      <c r="T981" t="str">
        <f>IFERROR(VLOOKUP(ROWS($T$3:T981),$R$3:$S$992,2,0),"")</f>
        <v>Jiné ambulantní nebo terénní sociální služby j. n.</v>
      </c>
      <c r="U981">
        <f>IF(ISNUMBER(SEARCH('1Př1'!$A$34,N981)),MAX($M$2:M980)+1,0)</f>
        <v>979</v>
      </c>
      <c r="V981" s="336" t="s">
        <v>3368</v>
      </c>
      <c r="W981" t="str">
        <f>IFERROR(VLOOKUP(ROWS($W$3:W981),$U$3:$V$992,2,0),"")</f>
        <v>Jiné ambulantní nebo terénní sociální služby j. n.</v>
      </c>
      <c r="X981">
        <f>IF(ISNUMBER(SEARCH('1Př1'!$A$35,N981)),MAX($M$2:M980)+1,0)</f>
        <v>979</v>
      </c>
      <c r="Y981" s="336" t="s">
        <v>3368</v>
      </c>
      <c r="Z981" t="str">
        <f>IFERROR(VLOOKUP(ROWS($Z$3:Z981),$X$3:$Y$992,2,0),"")</f>
        <v>Jiné ambulantní nebo terénní sociální služby j. n.</v>
      </c>
    </row>
    <row r="982" spans="13:26" ht="12.75">
      <c r="M982" s="335">
        <f>IF(ISNUMBER(SEARCH(ZAKL_DATA!$B$29,N982)),MAX($M$2:M981)+1,0)</f>
        <v>980</v>
      </c>
      <c r="N982" s="336" t="s">
        <v>3370</v>
      </c>
      <c r="O982" s="353" t="s">
        <v>3050</v>
      </c>
      <c r="P982" s="338"/>
      <c r="Q982" s="339" t="str">
        <f>IFERROR(VLOOKUP(ROWS($Q$3:Q982),$M$3:$N$992,2,0),"")</f>
        <v>Činnosti botanických a zoologických zahrad,přírod.rezervací a národ.parků</v>
      </c>
      <c r="R982">
        <f>IF(ISNUMBER(SEARCH('1Př1'!$A$33,N982)),MAX($M$2:M981)+1,0)</f>
        <v>980</v>
      </c>
      <c r="S982" s="336" t="s">
        <v>3370</v>
      </c>
      <c r="T982" t="str">
        <f>IFERROR(VLOOKUP(ROWS($T$3:T982),$R$3:$S$992,2,0),"")</f>
        <v>Činnosti botanických a zoologických zahrad,přírod.rezervací a národ.parků</v>
      </c>
      <c r="U982">
        <f>IF(ISNUMBER(SEARCH('1Př1'!$A$34,N982)),MAX($M$2:M981)+1,0)</f>
        <v>980</v>
      </c>
      <c r="V982" s="336" t="s">
        <v>3370</v>
      </c>
      <c r="W982" t="str">
        <f>IFERROR(VLOOKUP(ROWS($W$3:W982),$U$3:$V$992,2,0),"")</f>
        <v>Činnosti botanických a zoologických zahrad,přírod.rezervací a národ.parků</v>
      </c>
      <c r="X982">
        <f>IF(ISNUMBER(SEARCH('1Př1'!$A$35,N982)),MAX($M$2:M981)+1,0)</f>
        <v>980</v>
      </c>
      <c r="Y982" s="336" t="s">
        <v>3370</v>
      </c>
      <c r="Z982" t="str">
        <f>IFERROR(VLOOKUP(ROWS($Z$3:Z982),$X$3:$Y$992,2,0),"")</f>
        <v>Činnosti botanických a zoologických zahrad,přírod.rezervací a národ.parků</v>
      </c>
    </row>
    <row r="983" spans="13:26" ht="12.75">
      <c r="M983" s="335">
        <f>IF(ISNUMBER(SEARCH(ZAKL_DATA!$B$29,N983)),MAX($M$2:M982)+1,0)</f>
        <v>981</v>
      </c>
      <c r="N983" s="336" t="s">
        <v>3371</v>
      </c>
      <c r="O983" s="353" t="s">
        <v>3372</v>
      </c>
      <c r="P983" s="338"/>
      <c r="Q983" s="339" t="str">
        <f>IFERROR(VLOOKUP(ROWS($Q$3:Q983),$M$3:$N$992,2,0),"")</f>
        <v>Činnosti botanických a zoologických zahrad</v>
      </c>
      <c r="R983">
        <f>IF(ISNUMBER(SEARCH('1Př1'!$A$33,N983)),MAX($M$2:M982)+1,0)</f>
        <v>981</v>
      </c>
      <c r="S983" s="336" t="s">
        <v>3371</v>
      </c>
      <c r="T983" t="str">
        <f>IFERROR(VLOOKUP(ROWS($T$3:T983),$R$3:$S$992,2,0),"")</f>
        <v>Činnosti botanických a zoologických zahrad</v>
      </c>
      <c r="U983">
        <f>IF(ISNUMBER(SEARCH('1Př1'!$A$34,N983)),MAX($M$2:M982)+1,0)</f>
        <v>981</v>
      </c>
      <c r="V983" s="336" t="s">
        <v>3371</v>
      </c>
      <c r="W983" t="str">
        <f>IFERROR(VLOOKUP(ROWS($W$3:W983),$U$3:$V$992,2,0),"")</f>
        <v>Činnosti botanických a zoologických zahrad</v>
      </c>
      <c r="X983">
        <f>IF(ISNUMBER(SEARCH('1Př1'!$A$35,N983)),MAX($M$2:M982)+1,0)</f>
        <v>981</v>
      </c>
      <c r="Y983" s="336" t="s">
        <v>3371</v>
      </c>
      <c r="Z983" t="str">
        <f>IFERROR(VLOOKUP(ROWS($Z$3:Z983),$X$3:$Y$992,2,0),"")</f>
        <v>Činnosti botanických a zoologických zahrad</v>
      </c>
    </row>
    <row r="984" spans="13:26" ht="12.75">
      <c r="M984" s="335">
        <f>IF(ISNUMBER(SEARCH(ZAKL_DATA!$B$29,N984)),MAX($M$2:M983)+1,0)</f>
        <v>982</v>
      </c>
      <c r="N984" s="336" t="s">
        <v>3373</v>
      </c>
      <c r="O984" s="353" t="s">
        <v>3374</v>
      </c>
      <c r="P984" s="338"/>
      <c r="Q984" s="339" t="str">
        <f>IFERROR(VLOOKUP(ROWS($Q$3:Q984),$M$3:$N$992,2,0),"")</f>
        <v>Činnosti přírodních rezervací a národních parků</v>
      </c>
      <c r="R984">
        <f>IF(ISNUMBER(SEARCH('1Př1'!$A$33,N984)),MAX($M$2:M983)+1,0)</f>
        <v>982</v>
      </c>
      <c r="S984" s="336" t="s">
        <v>3373</v>
      </c>
      <c r="T984" t="str">
        <f>IFERROR(VLOOKUP(ROWS($T$3:T984),$R$3:$S$992,2,0),"")</f>
        <v>Činnosti přírodních rezervací a národních parků</v>
      </c>
      <c r="U984">
        <f>IF(ISNUMBER(SEARCH('1Př1'!$A$34,N984)),MAX($M$2:M983)+1,0)</f>
        <v>982</v>
      </c>
      <c r="V984" s="336" t="s">
        <v>3373</v>
      </c>
      <c r="W984" t="str">
        <f>IFERROR(VLOOKUP(ROWS($W$3:W984),$U$3:$V$992,2,0),"")</f>
        <v>Činnosti přírodních rezervací a národních parků</v>
      </c>
      <c r="X984">
        <f>IF(ISNUMBER(SEARCH('1Př1'!$A$35,N984)),MAX($M$2:M983)+1,0)</f>
        <v>982</v>
      </c>
      <c r="Y984" s="336" t="s">
        <v>3373</v>
      </c>
      <c r="Z984" t="str">
        <f>IFERROR(VLOOKUP(ROWS($Z$3:Z984),$X$3:$Y$992,2,0),"")</f>
        <v>Činnosti přírodních rezervací a národních parků</v>
      </c>
    </row>
    <row r="985" spans="13:26" ht="12.75">
      <c r="M985" s="335">
        <f>IF(ISNUMBER(SEARCH(ZAKL_DATA!$B$29,N985)),MAX($M$2:M984)+1,0)</f>
        <v>983</v>
      </c>
      <c r="N985" s="336" t="s">
        <v>3375</v>
      </c>
      <c r="O985" s="353" t="s">
        <v>3376</v>
      </c>
      <c r="P985" s="338"/>
      <c r="Q985" s="339" t="str">
        <f>IFERROR(VLOOKUP(ROWS($Q$3:Q985),$M$3:$N$992,2,0),"")</f>
        <v>Činnosti organizací dětí a mládeže</v>
      </c>
      <c r="R985">
        <f>IF(ISNUMBER(SEARCH('1Př1'!$A$33,N985)),MAX($M$2:M984)+1,0)</f>
        <v>983</v>
      </c>
      <c r="S985" s="336" t="s">
        <v>3375</v>
      </c>
      <c r="T985" t="str">
        <f>IFERROR(VLOOKUP(ROWS($T$3:T985),$R$3:$S$992,2,0),"")</f>
        <v>Činnosti organizací dětí a mládeže</v>
      </c>
      <c r="U985">
        <f>IF(ISNUMBER(SEARCH('1Př1'!$A$34,N985)),MAX($M$2:M984)+1,0)</f>
        <v>983</v>
      </c>
      <c r="V985" s="336" t="s">
        <v>3375</v>
      </c>
      <c r="W985" t="str">
        <f>IFERROR(VLOOKUP(ROWS($W$3:W985),$U$3:$V$992,2,0),"")</f>
        <v>Činnosti organizací dětí a mládeže</v>
      </c>
      <c r="X985">
        <f>IF(ISNUMBER(SEARCH('1Př1'!$A$35,N985)),MAX($M$2:M984)+1,0)</f>
        <v>983</v>
      </c>
      <c r="Y985" s="336" t="s">
        <v>3375</v>
      </c>
      <c r="Z985" t="str">
        <f>IFERROR(VLOOKUP(ROWS($Z$3:Z985),$X$3:$Y$992,2,0),"")</f>
        <v>Činnosti organizací dětí a mládeže</v>
      </c>
    </row>
    <row r="986" spans="13:26" ht="12.75">
      <c r="M986" s="335">
        <f>IF(ISNUMBER(SEARCH(ZAKL_DATA!$B$29,N986)),MAX($M$2:M985)+1,0)</f>
        <v>984</v>
      </c>
      <c r="N986" s="336" t="s">
        <v>3377</v>
      </c>
      <c r="O986" s="353" t="s">
        <v>3378</v>
      </c>
      <c r="P986" s="338"/>
      <c r="Q986" s="339" t="str">
        <f>IFERROR(VLOOKUP(ROWS($Q$3:Q986),$M$3:$N$992,2,0),"")</f>
        <v>Činnosti organizací na podporu kulturní činnosti</v>
      </c>
      <c r="R986">
        <f>IF(ISNUMBER(SEARCH('1Př1'!$A$33,N986)),MAX($M$2:M985)+1,0)</f>
        <v>984</v>
      </c>
      <c r="S986" s="336" t="s">
        <v>3377</v>
      </c>
      <c r="T986" t="str">
        <f>IFERROR(VLOOKUP(ROWS($T$3:T986),$R$3:$S$992,2,0),"")</f>
        <v>Činnosti organizací na podporu kulturní činnosti</v>
      </c>
      <c r="U986">
        <f>IF(ISNUMBER(SEARCH('1Př1'!$A$34,N986)),MAX($M$2:M985)+1,0)</f>
        <v>984</v>
      </c>
      <c r="V986" s="336" t="s">
        <v>3377</v>
      </c>
      <c r="W986" t="str">
        <f>IFERROR(VLOOKUP(ROWS($W$3:W986),$U$3:$V$992,2,0),"")</f>
        <v>Činnosti organizací na podporu kulturní činnosti</v>
      </c>
      <c r="X986">
        <f>IF(ISNUMBER(SEARCH('1Př1'!$A$35,N986)),MAX($M$2:M985)+1,0)</f>
        <v>984</v>
      </c>
      <c r="Y986" s="336" t="s">
        <v>3377</v>
      </c>
      <c r="Z986" t="str">
        <f>IFERROR(VLOOKUP(ROWS($Z$3:Z986),$X$3:$Y$992,2,0),"")</f>
        <v>Činnosti organizací na podporu kulturní činnosti</v>
      </c>
    </row>
    <row r="987" spans="13:26" ht="12.75">
      <c r="M987" s="335">
        <f>IF(ISNUMBER(SEARCH(ZAKL_DATA!$B$29,N987)),MAX($M$2:M986)+1,0)</f>
        <v>985</v>
      </c>
      <c r="N987" s="336" t="s">
        <v>3379</v>
      </c>
      <c r="O987" s="353" t="s">
        <v>3380</v>
      </c>
      <c r="P987" s="338"/>
      <c r="Q987" s="339" t="str">
        <f>IFERROR(VLOOKUP(ROWS($Q$3:Q987),$M$3:$N$992,2,0),"")</f>
        <v>Činnosti organizací na podporu rekreační a zájmové činnosti</v>
      </c>
      <c r="R987">
        <f>IF(ISNUMBER(SEARCH('1Př1'!$A$33,N987)),MAX($M$2:M986)+1,0)</f>
        <v>985</v>
      </c>
      <c r="S987" s="336" t="s">
        <v>3379</v>
      </c>
      <c r="T987" t="str">
        <f>IFERROR(VLOOKUP(ROWS($T$3:T987),$R$3:$S$992,2,0),"")</f>
        <v>Činnosti organizací na podporu rekreační a zájmové činnosti</v>
      </c>
      <c r="U987">
        <f>IF(ISNUMBER(SEARCH('1Př1'!$A$34,N987)),MAX($M$2:M986)+1,0)</f>
        <v>985</v>
      </c>
      <c r="V987" s="336" t="s">
        <v>3379</v>
      </c>
      <c r="W987" t="str">
        <f>IFERROR(VLOOKUP(ROWS($W$3:W987),$U$3:$V$992,2,0),"")</f>
        <v>Činnosti organizací na podporu rekreační a zájmové činnosti</v>
      </c>
      <c r="X987">
        <f>IF(ISNUMBER(SEARCH('1Př1'!$A$35,N987)),MAX($M$2:M986)+1,0)</f>
        <v>985</v>
      </c>
      <c r="Y987" s="336" t="s">
        <v>3379</v>
      </c>
      <c r="Z987" t="str">
        <f>IFERROR(VLOOKUP(ROWS($Z$3:Z987),$X$3:$Y$992,2,0),"")</f>
        <v>Činnosti organizací na podporu rekreační a zájmové činnosti</v>
      </c>
    </row>
    <row r="988" spans="13:26" ht="12.75">
      <c r="M988" s="335">
        <f>IF(ISNUMBER(SEARCH(ZAKL_DATA!$B$29,N988)),MAX($M$2:M987)+1,0)</f>
        <v>986</v>
      </c>
      <c r="N988" s="336" t="s">
        <v>3381</v>
      </c>
      <c r="O988" s="353" t="s">
        <v>3382</v>
      </c>
      <c r="P988" s="338"/>
      <c r="Q988" s="339" t="str">
        <f>IFERROR(VLOOKUP(ROWS($Q$3:Q988),$M$3:$N$992,2,0),"")</f>
        <v>Činnosti spotřebitelských organizací</v>
      </c>
      <c r="R988">
        <f>IF(ISNUMBER(SEARCH('1Př1'!$A$33,N988)),MAX($M$2:M987)+1,0)</f>
        <v>986</v>
      </c>
      <c r="S988" s="336" t="s">
        <v>3381</v>
      </c>
      <c r="T988" t="str">
        <f>IFERROR(VLOOKUP(ROWS($T$3:T988),$R$3:$S$992,2,0),"")</f>
        <v>Činnosti spotřebitelských organizací</v>
      </c>
      <c r="U988">
        <f>IF(ISNUMBER(SEARCH('1Př1'!$A$34,N988)),MAX($M$2:M987)+1,0)</f>
        <v>986</v>
      </c>
      <c r="V988" s="336" t="s">
        <v>3381</v>
      </c>
      <c r="W988" t="str">
        <f>IFERROR(VLOOKUP(ROWS($W$3:W988),$U$3:$V$992,2,0),"")</f>
        <v>Činnosti spotřebitelských organizací</v>
      </c>
      <c r="X988">
        <f>IF(ISNUMBER(SEARCH('1Př1'!$A$35,N988)),MAX($M$2:M987)+1,0)</f>
        <v>986</v>
      </c>
      <c r="Y988" s="336" t="s">
        <v>3381</v>
      </c>
      <c r="Z988" t="str">
        <f>IFERROR(VLOOKUP(ROWS($Z$3:Z988),$X$3:$Y$992,2,0),"")</f>
        <v>Činnosti spotřebitelských organizací</v>
      </c>
    </row>
    <row r="989" spans="13:26" ht="12.75">
      <c r="M989" s="335">
        <f>IF(ISNUMBER(SEARCH(ZAKL_DATA!$B$29,N989)),MAX($M$2:M988)+1,0)</f>
        <v>987</v>
      </c>
      <c r="N989" s="336" t="s">
        <v>3383</v>
      </c>
      <c r="O989" s="353" t="s">
        <v>3384</v>
      </c>
      <c r="P989" s="338"/>
      <c r="Q989" s="339" t="str">
        <f>IFERROR(VLOOKUP(ROWS($Q$3:Q989),$M$3:$N$992,2,0),"")</f>
        <v>Činnosti environmentálních a ekologických hnutí</v>
      </c>
      <c r="R989">
        <f>IF(ISNUMBER(SEARCH('1Př1'!$A$33,N989)),MAX($M$2:M988)+1,0)</f>
        <v>987</v>
      </c>
      <c r="S989" s="336" t="s">
        <v>3383</v>
      </c>
      <c r="T989" t="str">
        <f>IFERROR(VLOOKUP(ROWS($T$3:T989),$R$3:$S$992,2,0),"")</f>
        <v>Činnosti environmentálních a ekologických hnutí</v>
      </c>
      <c r="U989">
        <f>IF(ISNUMBER(SEARCH('1Př1'!$A$34,N989)),MAX($M$2:M988)+1,0)</f>
        <v>987</v>
      </c>
      <c r="V989" s="336" t="s">
        <v>3383</v>
      </c>
      <c r="W989" t="str">
        <f>IFERROR(VLOOKUP(ROWS($W$3:W989),$U$3:$V$992,2,0),"")</f>
        <v>Činnosti environmentálních a ekologických hnutí</v>
      </c>
      <c r="X989">
        <f>IF(ISNUMBER(SEARCH('1Př1'!$A$35,N989)),MAX($M$2:M988)+1,0)</f>
        <v>987</v>
      </c>
      <c r="Y989" s="336" t="s">
        <v>3383</v>
      </c>
      <c r="Z989" t="str">
        <f>IFERROR(VLOOKUP(ROWS($Z$3:Z989),$X$3:$Y$992,2,0),"")</f>
        <v>Činnosti environmentálních a ekologických hnutí</v>
      </c>
    </row>
    <row r="990" spans="13:26" ht="12.75">
      <c r="M990" s="335">
        <f>IF(ISNUMBER(SEARCH(ZAKL_DATA!$B$29,N990)),MAX($M$2:M989)+1,0)</f>
        <v>988</v>
      </c>
      <c r="N990" s="336" t="s">
        <v>3385</v>
      </c>
      <c r="O990" s="353" t="s">
        <v>3386</v>
      </c>
      <c r="P990" s="338"/>
      <c r="Q990" s="339" t="str">
        <f>IFERROR(VLOOKUP(ROWS($Q$3:Q990),$M$3:$N$992,2,0),"")</f>
        <v>Čin.org.na ochranu a zlepšení postavení etnických,menšin.a jiných spec.sk.</v>
      </c>
      <c r="R990">
        <f>IF(ISNUMBER(SEARCH('1Př1'!$A$33,N990)),MAX($M$2:M989)+1,0)</f>
        <v>988</v>
      </c>
      <c r="S990" s="336" t="s">
        <v>3385</v>
      </c>
      <c r="T990" t="str">
        <f>IFERROR(VLOOKUP(ROWS($T$3:T990),$R$3:$S$992,2,0),"")</f>
        <v>Čin.org.na ochranu a zlepšení postavení etnických,menšin.a jiných spec.sk.</v>
      </c>
      <c r="U990">
        <f>IF(ISNUMBER(SEARCH('1Př1'!$A$34,N990)),MAX($M$2:M989)+1,0)</f>
        <v>988</v>
      </c>
      <c r="V990" s="336" t="s">
        <v>3385</v>
      </c>
      <c r="W990" t="str">
        <f>IFERROR(VLOOKUP(ROWS($W$3:W990),$U$3:$V$992,2,0),"")</f>
        <v>Čin.org.na ochranu a zlepšení postavení etnických,menšin.a jiných spec.sk.</v>
      </c>
      <c r="X990">
        <f>IF(ISNUMBER(SEARCH('1Př1'!$A$35,N990)),MAX($M$2:M989)+1,0)</f>
        <v>988</v>
      </c>
      <c r="Y990" s="336" t="s">
        <v>3385</v>
      </c>
      <c r="Z990" t="str">
        <f>IFERROR(VLOOKUP(ROWS($Z$3:Z990),$X$3:$Y$992,2,0),"")</f>
        <v>Čin.org.na ochranu a zlepšení postavení etnických,menšin.a jiných spec.sk.</v>
      </c>
    </row>
    <row r="991" spans="13:26" ht="12.75">
      <c r="M991" s="335">
        <f>IF(ISNUMBER(SEARCH(ZAKL_DATA!$B$29,N991)),MAX($M$2:M990)+1,0)</f>
        <v>989</v>
      </c>
      <c r="N991" s="336" t="s">
        <v>3387</v>
      </c>
      <c r="O991" s="353" t="s">
        <v>3388</v>
      </c>
      <c r="P991" s="338"/>
      <c r="Q991" s="339" t="str">
        <f>IFERROR(VLOOKUP(ROWS($Q$3:Q991),$M$3:$N$992,2,0),"")</f>
        <v>Činnosti občanských iniciativ, protestních hnutí</v>
      </c>
      <c r="R991">
        <f>IF(ISNUMBER(SEARCH('1Př1'!$A$33,N991)),MAX($M$2:M990)+1,0)</f>
        <v>989</v>
      </c>
      <c r="S991" s="336" t="s">
        <v>3387</v>
      </c>
      <c r="T991" t="str">
        <f>IFERROR(VLOOKUP(ROWS($T$3:T991),$R$3:$S$992,2,0),"")</f>
        <v>Činnosti občanských iniciativ, protestních hnutí</v>
      </c>
      <c r="U991">
        <f>IF(ISNUMBER(SEARCH('1Př1'!$A$34,N991)),MAX($M$2:M990)+1,0)</f>
        <v>989</v>
      </c>
      <c r="V991" s="336" t="s">
        <v>3387</v>
      </c>
      <c r="W991" t="str">
        <f>IFERROR(VLOOKUP(ROWS($W$3:W991),$U$3:$V$992,2,0),"")</f>
        <v>Činnosti občanských iniciativ, protestních hnutí</v>
      </c>
      <c r="X991">
        <f>IF(ISNUMBER(SEARCH('1Př1'!$A$35,N991)),MAX($M$2:M990)+1,0)</f>
        <v>989</v>
      </c>
      <c r="Y991" s="336" t="s">
        <v>3387</v>
      </c>
      <c r="Z991" t="str">
        <f>IFERROR(VLOOKUP(ROWS($Z$3:Z991),$X$3:$Y$992,2,0),"")</f>
        <v>Činnosti občanských iniciativ, protestních hnutí</v>
      </c>
    </row>
    <row r="992" spans="13:26" ht="13.5" thickBot="1">
      <c r="M992" s="335">
        <f>IF(ISNUMBER(SEARCH(ZAKL_DATA!$B$29,N992)),MAX($M$2:M991)+1,0)</f>
        <v>990</v>
      </c>
      <c r="N992" s="361" t="s">
        <v>3389</v>
      </c>
      <c r="O992" s="362" t="s">
        <v>3390</v>
      </c>
      <c r="P992" s="338"/>
      <c r="Q992" s="363" t="str">
        <f>IFERROR(VLOOKUP(ROWS($Q$3:Q992),$M$3:$N$992,2,0),"")</f>
        <v>Činnosti ostatních organizací j. n.</v>
      </c>
      <c r="R992">
        <f>IF(ISNUMBER(SEARCH('1Př1'!$A$33,N992)),MAX($M$2:M991)+1,0)</f>
        <v>990</v>
      </c>
      <c r="S992" s="361" t="s">
        <v>3389</v>
      </c>
      <c r="T992" t="str">
        <f>IFERROR(VLOOKUP(ROWS($T$3:T992),$R$3:$S$992,2,0),"")</f>
        <v>Činnosti ostatních organizací j. n.</v>
      </c>
      <c r="U992">
        <f>IF(ISNUMBER(SEARCH('1Př1'!$A$34,N992)),MAX($M$2:M991)+1,0)</f>
        <v>990</v>
      </c>
      <c r="V992" s="361" t="s">
        <v>3389</v>
      </c>
      <c r="W992" t="str">
        <f>IFERROR(VLOOKUP(ROWS($W$3:W992),$U$3:$V$992,2,0),"")</f>
        <v>Činnosti ostatních organizací j. n.</v>
      </c>
      <c r="X992">
        <f>IF(ISNUMBER(SEARCH('1Př1'!$A$35,N992)),MAX($M$2:M991)+1,0)</f>
        <v>990</v>
      </c>
      <c r="Y992" s="361" t="s">
        <v>3389</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1">
      <selection pane="topLeft" activeCell="C31" sqref="C31"/>
    </sheetView>
  </sheetViews>
  <sheetFormatPr defaultColWidth="9.14428571428571" defaultRowHeight="12.75"/>
  <cols>
    <col min="1" max="1" width="37.1428571428571" style="51" customWidth="1"/>
    <col min="2" max="3" width="29.8571428571429" style="51" customWidth="1"/>
    <col min="4" max="16384" width="9.14285714285714" style="51"/>
  </cols>
  <sheetData>
    <row r="1" spans="1:3" ht="12.75">
      <c r="A1" s="958" t="s">
        <v>3494</v>
      </c>
      <c r="B1" s="958"/>
      <c r="C1" s="958"/>
    </row>
    <row r="2" spans="1:5" ht="18">
      <c r="A2" s="964" t="s">
        <v>227</v>
      </c>
      <c r="B2" s="964"/>
      <c r="C2" s="964"/>
      <c r="D2" s="52"/>
      <c r="E2" s="52"/>
    </row>
    <row r="3" spans="1:5" ht="15.75">
      <c r="A3" s="965" t="s">
        <v>3679</v>
      </c>
      <c r="B3" s="965"/>
      <c r="C3" s="965"/>
      <c r="D3" s="52"/>
      <c r="E3" s="52"/>
    </row>
    <row r="4" spans="1:5" ht="12.75">
      <c r="A4" s="966"/>
      <c r="B4" s="966"/>
      <c r="C4" s="966"/>
      <c r="D4" s="52"/>
      <c r="E4" s="52"/>
    </row>
    <row r="5" spans="1:5" ht="16.5" thickBot="1">
      <c r="A5" s="53" t="s">
        <v>10</v>
      </c>
      <c r="B5" s="961" t="str">
        <f>+CONCATENATE(ZAKL_DATA!B5," ",ZAKL_DATA!B4," ",ZAKL_DATA!B7)</f>
        <v xml:space="preserve">  </v>
      </c>
      <c r="C5" s="962"/>
      <c r="D5" s="52"/>
      <c r="E5" s="52"/>
    </row>
    <row r="6" spans="1:5" ht="15.95" customHeight="1" thickBot="1">
      <c r="A6" s="54" t="s">
        <v>11</v>
      </c>
      <c r="B6" s="55" t="s">
        <v>12</v>
      </c>
      <c r="C6" s="56" t="s">
        <v>13</v>
      </c>
      <c r="D6" s="52"/>
      <c r="E6" s="52"/>
    </row>
    <row r="7" spans="1:5" ht="15.95" customHeight="1">
      <c r="A7" s="57" t="s">
        <v>14</v>
      </c>
      <c r="B7" s="154">
        <v>0</v>
      </c>
      <c r="C7" s="155">
        <v>0</v>
      </c>
      <c r="D7" s="52"/>
      <c r="E7" s="52"/>
    </row>
    <row r="8" spans="1:5" ht="15.95" customHeight="1">
      <c r="A8" s="58" t="s">
        <v>108</v>
      </c>
      <c r="B8" s="156">
        <v>0</v>
      </c>
      <c r="C8" s="157">
        <v>0</v>
      </c>
      <c r="D8" s="52"/>
      <c r="E8" s="52"/>
    </row>
    <row r="9" spans="1:5" ht="15.95" customHeight="1">
      <c r="A9" s="58" t="s">
        <v>286</v>
      </c>
      <c r="B9" s="156">
        <v>0</v>
      </c>
      <c r="C9" s="157">
        <v>0</v>
      </c>
      <c r="D9" s="52"/>
      <c r="E9" s="52"/>
    </row>
    <row r="10" spans="1:5" ht="15.95" customHeight="1">
      <c r="A10" s="58" t="s">
        <v>287</v>
      </c>
      <c r="B10" s="156">
        <v>0</v>
      </c>
      <c r="C10" s="157">
        <v>0</v>
      </c>
      <c r="D10" s="52"/>
      <c r="E10" s="52"/>
    </row>
    <row r="11" spans="1:5" ht="15.95" customHeight="1">
      <c r="A11" s="58" t="s">
        <v>109</v>
      </c>
      <c r="B11" s="156">
        <v>0</v>
      </c>
      <c r="C11" s="157">
        <v>0</v>
      </c>
      <c r="D11" s="52"/>
      <c r="E11" s="52"/>
    </row>
    <row r="12" spans="1:5" ht="15.95" customHeight="1">
      <c r="A12" s="58" t="s">
        <v>147</v>
      </c>
      <c r="B12" s="156">
        <v>0</v>
      </c>
      <c r="C12" s="157">
        <v>0</v>
      </c>
      <c r="D12" s="52"/>
      <c r="E12" s="52"/>
    </row>
    <row r="13" spans="1:5" ht="15.95" customHeight="1">
      <c r="A13" s="58" t="s">
        <v>3495</v>
      </c>
      <c r="B13" s="156">
        <v>0</v>
      </c>
      <c r="C13" s="157">
        <v>0</v>
      </c>
      <c r="D13" s="52"/>
      <c r="E13" s="52"/>
    </row>
    <row r="14" spans="1:5" ht="15.95" customHeight="1">
      <c r="A14" s="58" t="s">
        <v>3496</v>
      </c>
      <c r="B14" s="156">
        <v>0</v>
      </c>
      <c r="C14" s="157">
        <v>0</v>
      </c>
      <c r="D14" s="52"/>
      <c r="E14" s="52"/>
    </row>
    <row r="15" spans="1:5" ht="15.95" customHeight="1">
      <c r="A15" s="58" t="s">
        <v>15</v>
      </c>
      <c r="B15" s="156">
        <v>0</v>
      </c>
      <c r="C15" s="157">
        <v>0</v>
      </c>
      <c r="D15" s="52"/>
      <c r="E15" s="52"/>
    </row>
    <row r="16" spans="1:5" ht="15.95" customHeight="1">
      <c r="A16" s="59" t="s">
        <v>16</v>
      </c>
      <c r="B16" s="158">
        <f>SUM(B7:B15)</f>
        <v>0</v>
      </c>
      <c r="C16" s="159">
        <f>SUM(C7:C15)</f>
        <v>0</v>
      </c>
      <c r="D16" s="52"/>
      <c r="E16" s="52"/>
    </row>
    <row r="17" spans="1:5" ht="15.95" customHeight="1" thickBot="1">
      <c r="A17" s="60" t="s">
        <v>17</v>
      </c>
      <c r="B17" s="160">
        <f>SUM(B7:B16)</f>
        <v>0</v>
      </c>
      <c r="C17" s="161">
        <f>SUM(C7:C16)</f>
        <v>0</v>
      </c>
      <c r="D17" s="52"/>
      <c r="E17" s="52"/>
    </row>
    <row r="18" spans="1:5" ht="15.95" customHeight="1" thickBot="1">
      <c r="A18" s="61" t="s">
        <v>18</v>
      </c>
      <c r="B18" s="162"/>
      <c r="C18" s="163"/>
      <c r="D18" s="52"/>
      <c r="E18" s="52"/>
    </row>
    <row r="19" spans="1:5" ht="15.95" customHeight="1">
      <c r="A19" s="57" t="s">
        <v>3497</v>
      </c>
      <c r="B19" s="154">
        <v>0</v>
      </c>
      <c r="C19" s="155">
        <v>0</v>
      </c>
      <c r="D19" s="52"/>
      <c r="E19" s="52"/>
    </row>
    <row r="20" spans="1:5" ht="15.95" customHeight="1">
      <c r="A20" s="58" t="s">
        <v>3498</v>
      </c>
      <c r="B20" s="156">
        <v>0</v>
      </c>
      <c r="C20" s="157">
        <v>0</v>
      </c>
      <c r="D20" s="52"/>
      <c r="E20" s="52"/>
    </row>
    <row r="21" spans="1:5" ht="15.95" customHeight="1">
      <c r="A21" s="58" t="s">
        <v>19</v>
      </c>
      <c r="B21" s="156">
        <v>0</v>
      </c>
      <c r="C21" s="157">
        <v>0</v>
      </c>
      <c r="D21" s="52"/>
      <c r="E21" s="52"/>
    </row>
    <row r="22" spans="1:5" ht="15.95" customHeight="1">
      <c r="A22" s="58" t="s">
        <v>288</v>
      </c>
      <c r="B22" s="156">
        <v>0</v>
      </c>
      <c r="C22" s="157">
        <v>0</v>
      </c>
      <c r="D22" s="52"/>
      <c r="E22" s="52"/>
    </row>
    <row r="23" spans="1:5" ht="15.95" customHeight="1">
      <c r="A23" s="59" t="s">
        <v>20</v>
      </c>
      <c r="B23" s="158">
        <f>SUM(B19:B22)</f>
        <v>0</v>
      </c>
      <c r="C23" s="159">
        <f>SUM(C19:C22)</f>
        <v>0</v>
      </c>
      <c r="D23" s="52"/>
      <c r="E23" s="52"/>
    </row>
    <row r="24" spans="1:5" ht="15.95" customHeight="1">
      <c r="A24" s="59" t="s">
        <v>3499</v>
      </c>
      <c r="B24" s="158">
        <f>B16-B23</f>
        <v>0</v>
      </c>
      <c r="C24" s="159">
        <f>C16-C23</f>
        <v>0</v>
      </c>
      <c r="D24" s="52"/>
      <c r="E24" s="52"/>
    </row>
    <row r="25" spans="1:5" ht="15.95" customHeight="1" thickBot="1">
      <c r="A25" s="60" t="s">
        <v>17</v>
      </c>
      <c r="B25" s="160">
        <f>SUM(B19:B24)</f>
        <v>0</v>
      </c>
      <c r="C25" s="161">
        <f>SUM(C19:C24)</f>
        <v>0</v>
      </c>
      <c r="D25" s="52"/>
      <c r="E25" s="52"/>
    </row>
    <row r="26" spans="1:5" ht="15.95" customHeight="1">
      <c r="A26" s="967"/>
      <c r="B26" s="621"/>
      <c r="C26" s="621"/>
      <c r="D26" s="52"/>
      <c r="E26" s="52"/>
    </row>
    <row r="27" spans="1:5" ht="15.95" customHeight="1" thickBot="1">
      <c r="A27" s="963" t="s">
        <v>21</v>
      </c>
      <c r="B27" s="637"/>
      <c r="C27" s="637"/>
      <c r="D27" s="52"/>
      <c r="E27" s="52"/>
    </row>
    <row r="28" spans="1:3" ht="15.95" customHeight="1" thickBot="1">
      <c r="A28" s="54" t="s">
        <v>150</v>
      </c>
      <c r="B28" s="62"/>
      <c r="C28" s="63" t="s">
        <v>13</v>
      </c>
    </row>
    <row r="29" spans="1:3" ht="15.95" customHeight="1">
      <c r="A29" s="57" t="s">
        <v>22</v>
      </c>
      <c r="B29" s="64"/>
      <c r="C29" s="164">
        <v>0</v>
      </c>
    </row>
    <row r="30" spans="1:3" ht="15.95" customHeight="1">
      <c r="A30" s="58" t="s">
        <v>23</v>
      </c>
      <c r="B30" s="65"/>
      <c r="C30" s="165">
        <v>0</v>
      </c>
    </row>
    <row r="31" spans="1:3" ht="15.95" customHeight="1">
      <c r="A31" s="58" t="s">
        <v>24</v>
      </c>
      <c r="B31" s="65"/>
      <c r="C31" s="165">
        <v>0</v>
      </c>
    </row>
    <row r="32" spans="1:3" ht="15.95" customHeight="1">
      <c r="A32" s="68" t="s">
        <v>3500</v>
      </c>
      <c r="B32" s="65"/>
      <c r="C32" s="165">
        <v>0</v>
      </c>
    </row>
    <row r="33" spans="1:3" ht="15.95" customHeight="1">
      <c r="A33" s="58" t="s">
        <v>25</v>
      </c>
      <c r="B33" s="65"/>
      <c r="C33" s="165">
        <v>0</v>
      </c>
    </row>
    <row r="34" spans="1:3" ht="15.95" customHeight="1">
      <c r="A34" s="70" t="s">
        <v>26</v>
      </c>
      <c r="B34" s="69"/>
      <c r="C34" s="166">
        <f>+C29+C30+C31+C33</f>
        <v>0</v>
      </c>
    </row>
    <row r="35" spans="1:3" ht="15.95" customHeight="1" thickBot="1">
      <c r="A35" s="60" t="s">
        <v>17</v>
      </c>
      <c r="B35" s="66"/>
      <c r="C35" s="167">
        <f>SUM(C29:C33)</f>
        <v>0</v>
      </c>
    </row>
    <row r="36" spans="1:3" ht="15.95" customHeight="1" thickBot="1">
      <c r="A36" s="61" t="s">
        <v>151</v>
      </c>
      <c r="B36" s="67"/>
      <c r="C36" s="168"/>
    </row>
    <row r="37" spans="1:3" ht="15.95" customHeight="1">
      <c r="A37" s="57" t="s">
        <v>27</v>
      </c>
      <c r="B37" s="64"/>
      <c r="C37" s="164">
        <v>0</v>
      </c>
    </row>
    <row r="38" spans="1:3" ht="15.95" customHeight="1">
      <c r="A38" s="58" t="s">
        <v>28</v>
      </c>
      <c r="B38" s="65"/>
      <c r="C38" s="165">
        <v>0</v>
      </c>
    </row>
    <row r="39" spans="1:3" ht="15.95" customHeight="1">
      <c r="A39" s="58" t="s">
        <v>29</v>
      </c>
      <c r="B39" s="65"/>
      <c r="C39" s="165">
        <v>0</v>
      </c>
    </row>
    <row r="40" spans="1:3" ht="15.95" customHeight="1">
      <c r="A40" s="58" t="s">
        <v>303</v>
      </c>
      <c r="B40" s="65"/>
      <c r="C40" s="165">
        <v>0</v>
      </c>
    </row>
    <row r="41" spans="1:3" ht="15.95" customHeight="1">
      <c r="A41" s="58" t="s">
        <v>30</v>
      </c>
      <c r="B41" s="65"/>
      <c r="C41" s="165">
        <v>0</v>
      </c>
    </row>
    <row r="42" spans="1:3" ht="15.95" customHeight="1">
      <c r="A42" s="58" t="s">
        <v>31</v>
      </c>
      <c r="B42" s="65"/>
      <c r="C42" s="165">
        <v>0</v>
      </c>
    </row>
    <row r="43" spans="1:3" ht="15.95" customHeight="1">
      <c r="A43" s="68" t="s">
        <v>3501</v>
      </c>
      <c r="B43" s="65"/>
      <c r="C43" s="165">
        <v>0</v>
      </c>
    </row>
    <row r="44" spans="1:3" ht="15.95" customHeight="1">
      <c r="A44" s="68" t="s">
        <v>3502</v>
      </c>
      <c r="B44" s="65"/>
      <c r="C44" s="165">
        <v>0</v>
      </c>
    </row>
    <row r="45" spans="1:3" ht="15.95" customHeight="1">
      <c r="A45" s="68" t="s">
        <v>3503</v>
      </c>
      <c r="B45" s="65"/>
      <c r="C45" s="165">
        <v>0</v>
      </c>
    </row>
    <row r="46" spans="1:3" ht="15.95" customHeight="1">
      <c r="A46" s="70" t="s">
        <v>32</v>
      </c>
      <c r="B46" s="69"/>
      <c r="C46" s="166">
        <f>+SUM(C37:C42)</f>
        <v>0</v>
      </c>
    </row>
    <row r="47" spans="1:3" ht="15.95" customHeight="1">
      <c r="A47" s="70" t="s">
        <v>120</v>
      </c>
      <c r="B47" s="69"/>
      <c r="C47" s="166">
        <f>+C34-C46</f>
        <v>0</v>
      </c>
    </row>
    <row r="48" spans="1:3" ht="15.95" customHeight="1" thickBot="1">
      <c r="A48" s="60" t="s">
        <v>17</v>
      </c>
      <c r="B48" s="66"/>
      <c r="C48" s="167">
        <f>SUM(C37:C45)</f>
        <v>0</v>
      </c>
    </row>
    <row r="49" spans="1:3" ht="12.75">
      <c r="A49" s="959" t="str">
        <f>+'DAP1'!A46:L46</f>
        <v>Formulář zpracovala ASPEKT HM, daňová, účetní a auditorská kancelář, www.danovapriznani.cz, business.center.cz</v>
      </c>
      <c r="B49" s="960"/>
      <c r="C49" s="960"/>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
  <sheetViews>
    <sheetView workbookViewId="0" topLeftCell="A1">
      <selection pane="topLeft" activeCell="F11" sqref="F11:H11"/>
    </sheetView>
  </sheetViews>
  <sheetFormatPr defaultColWidth="9.14428571428571" defaultRowHeight="12.75"/>
  <cols>
    <col min="1" max="1" width="3.57142857142857" style="1" customWidth="1"/>
    <col min="2" max="2" width="15.7142857142857" style="1" customWidth="1"/>
    <col min="3" max="4" width="8.71428571428571" style="1" customWidth="1"/>
    <col min="5" max="5" width="10.7142857142857" style="1" customWidth="1"/>
    <col min="6" max="6" width="7.71428571428571" style="1" customWidth="1"/>
    <col min="7" max="7" width="8.71428571428571" style="1" customWidth="1"/>
    <col min="8" max="8" width="9.57142857142857" style="1" customWidth="1"/>
    <col min="9" max="11" width="8.71428571428571" style="1" customWidth="1"/>
    <col min="12" max="22" width="9.14285714285714" style="3"/>
    <col min="23" max="23" width="11.4285714285714" style="3" bestFit="1" customWidth="1"/>
    <col min="24" max="50" width="9.14285714285714" style="3"/>
    <col min="51" max="16384" width="9.14285714285714" style="1"/>
  </cols>
  <sheetData>
    <row r="1" spans="1:11" ht="18" customHeight="1" thickBot="1">
      <c r="A1" s="1001" t="s">
        <v>278</v>
      </c>
      <c r="B1" s="1002"/>
      <c r="C1" s="1002"/>
      <c r="D1" s="1002"/>
      <c r="E1" s="1002"/>
      <c r="F1" s="1002"/>
      <c r="G1" s="1003"/>
      <c r="H1" s="269" t="s">
        <v>40</v>
      </c>
      <c r="I1" s="988" t="str">
        <f>'DAP1'!A9</f>
        <v/>
      </c>
      <c r="J1" s="989"/>
      <c r="K1" s="833"/>
    </row>
    <row r="2" spans="1:11" ht="26.25" customHeight="1">
      <c r="A2" s="1000" t="s">
        <v>3680</v>
      </c>
      <c r="B2" s="1000"/>
      <c r="C2" s="1000"/>
      <c r="D2" s="1000"/>
      <c r="E2" s="1000"/>
      <c r="F2" s="1000"/>
      <c r="G2" s="510"/>
      <c r="H2" s="1007"/>
      <c r="I2" s="1007"/>
      <c r="J2" s="1007"/>
      <c r="K2" s="1007"/>
    </row>
    <row r="3" spans="1:11" ht="36" customHeight="1">
      <c r="A3" s="991" t="s">
        <v>164</v>
      </c>
      <c r="B3" s="992"/>
      <c r="C3" s="992"/>
      <c r="D3" s="992"/>
      <c r="E3" s="992"/>
      <c r="F3" s="992"/>
      <c r="G3" s="992"/>
      <c r="H3" s="992"/>
      <c r="I3" s="992"/>
      <c r="J3" s="992"/>
      <c r="K3" s="992"/>
    </row>
    <row r="4" spans="1:11" ht="15.95" customHeight="1">
      <c r="A4" s="1004" t="s">
        <v>3461</v>
      </c>
      <c r="B4" s="510"/>
      <c r="C4" s="510"/>
      <c r="D4" s="510"/>
      <c r="E4" s="510"/>
      <c r="F4" s="510"/>
      <c r="G4" s="510"/>
      <c r="H4" s="510"/>
      <c r="I4" s="510"/>
      <c r="J4" s="510"/>
      <c r="K4" s="510"/>
    </row>
    <row r="5" spans="1:11" ht="15.95" customHeight="1">
      <c r="A5" s="1005" t="s">
        <v>3462</v>
      </c>
      <c r="B5" s="1006"/>
      <c r="C5" s="1006"/>
      <c r="D5" s="1006"/>
      <c r="E5" s="1006"/>
      <c r="F5" s="1006"/>
      <c r="G5" s="1006"/>
      <c r="H5" s="1006"/>
      <c r="I5" s="1006"/>
      <c r="J5" s="1006"/>
      <c r="K5" s="1006"/>
    </row>
    <row r="6" spans="1:11" ht="9.95" customHeight="1">
      <c r="A6" s="968" t="s">
        <v>247</v>
      </c>
      <c r="B6" s="969"/>
      <c r="C6" s="969"/>
      <c r="D6" s="969"/>
      <c r="E6" s="969"/>
      <c r="F6" s="969"/>
      <c r="G6" s="969"/>
      <c r="H6" s="969"/>
      <c r="I6" s="969"/>
      <c r="J6" s="969"/>
      <c r="K6" s="969"/>
    </row>
    <row r="7" spans="1:11" ht="8.1" customHeight="1" thickBot="1">
      <c r="A7" s="968"/>
      <c r="B7" s="969"/>
      <c r="C7" s="969"/>
      <c r="D7" s="969"/>
      <c r="E7" s="969"/>
      <c r="F7" s="969"/>
      <c r="G7" s="969"/>
      <c r="H7" s="969"/>
      <c r="I7" s="969"/>
      <c r="J7" s="969"/>
      <c r="K7" s="969"/>
    </row>
    <row r="8" spans="1:50" s="116" customFormat="1" ht="24" customHeight="1" thickBot="1">
      <c r="A8" s="980" t="s">
        <v>205</v>
      </c>
      <c r="B8" s="990"/>
      <c r="C8" s="101" t="s">
        <v>241</v>
      </c>
      <c r="D8" s="114"/>
      <c r="E8" s="980" t="s">
        <v>228</v>
      </c>
      <c r="F8" s="993"/>
      <c r="G8" s="101"/>
      <c r="H8" s="114"/>
      <c r="I8" s="980" t="s">
        <v>282</v>
      </c>
      <c r="J8" s="981"/>
      <c r="K8" s="101"/>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row>
    <row r="9" spans="1:50" s="116" customFormat="1" ht="7.5" customHeight="1" thickBot="1">
      <c r="A9" s="985"/>
      <c r="B9" s="985"/>
      <c r="C9" s="985"/>
      <c r="D9" s="985"/>
      <c r="E9" s="985"/>
      <c r="F9" s="985"/>
      <c r="G9" s="985"/>
      <c r="H9" s="985"/>
      <c r="I9" s="985"/>
      <c r="J9" s="985"/>
      <c r="K9" s="98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row>
    <row r="10" spans="1:11" ht="12" customHeight="1">
      <c r="A10" s="994"/>
      <c r="B10" s="995"/>
      <c r="C10" s="995"/>
      <c r="D10" s="995"/>
      <c r="E10" s="996"/>
      <c r="F10" s="997" t="s">
        <v>153</v>
      </c>
      <c r="G10" s="998"/>
      <c r="H10" s="999"/>
      <c r="I10" s="1008" t="s">
        <v>161</v>
      </c>
      <c r="J10" s="1009"/>
      <c r="K10" s="723"/>
    </row>
    <row r="11" spans="1:11" ht="18" customHeight="1">
      <c r="A11" s="19">
        <v>101</v>
      </c>
      <c r="B11" s="986" t="s">
        <v>248</v>
      </c>
      <c r="C11" s="986"/>
      <c r="D11" s="986"/>
      <c r="E11" s="987"/>
      <c r="F11" s="736">
        <f>+CEILING(ZAV!C34,1)-ZAV!C32</f>
        <v>0</v>
      </c>
      <c r="G11" s="978"/>
      <c r="H11" s="979"/>
      <c r="I11" s="975"/>
      <c r="J11" s="976"/>
      <c r="K11" s="977"/>
    </row>
    <row r="12" spans="1:11" ht="18" customHeight="1">
      <c r="A12" s="19">
        <v>102</v>
      </c>
      <c r="B12" s="986" t="s">
        <v>249</v>
      </c>
      <c r="C12" s="986"/>
      <c r="D12" s="986"/>
      <c r="E12" s="987"/>
      <c r="F12" s="736">
        <f>+IF(OR(EXACT(K8,"X"),EXACT(K8,"x")),FLOOR(E31*IF(E31&gt;1,'1Př1'!F11,MIN(2000000,'1Př1'!F11)),1),FLOOR(ZAV!C46,1))</f>
        <v>0</v>
      </c>
      <c r="G12" s="978"/>
      <c r="H12" s="979"/>
      <c r="I12" s="975"/>
      <c r="J12" s="976"/>
      <c r="K12" s="977"/>
    </row>
    <row r="13" spans="1:11" ht="18" customHeight="1">
      <c r="A13" s="19">
        <v>103</v>
      </c>
      <c r="B13" s="986" t="s">
        <v>168</v>
      </c>
      <c r="C13" s="986"/>
      <c r="D13" s="986"/>
      <c r="E13" s="987"/>
      <c r="F13" s="972"/>
      <c r="G13" s="973"/>
      <c r="H13" s="974"/>
      <c r="I13" s="975"/>
      <c r="J13" s="976"/>
      <c r="K13" s="977"/>
    </row>
    <row r="14" spans="1:11" ht="24" customHeight="1">
      <c r="A14" s="83">
        <v>104</v>
      </c>
      <c r="B14" s="970" t="s">
        <v>3463</v>
      </c>
      <c r="C14" s="712"/>
      <c r="D14" s="712"/>
      <c r="E14" s="713"/>
      <c r="F14" s="736">
        <f>+F11-F12-F13</f>
        <v>0</v>
      </c>
      <c r="G14" s="978"/>
      <c r="H14" s="979"/>
      <c r="I14" s="975"/>
      <c r="J14" s="976"/>
      <c r="K14" s="977"/>
    </row>
    <row r="15" spans="1:11" ht="45" customHeight="1">
      <c r="A15" s="16">
        <v>105</v>
      </c>
      <c r="B15" s="970" t="s">
        <v>42</v>
      </c>
      <c r="C15" s="970"/>
      <c r="D15" s="970"/>
      <c r="E15" s="971"/>
      <c r="F15" s="982">
        <f>+SUM('1Př2'!F20:G23)</f>
        <v>0</v>
      </c>
      <c r="G15" s="983"/>
      <c r="H15" s="984"/>
      <c r="I15" s="975"/>
      <c r="J15" s="976"/>
      <c r="K15" s="977"/>
    </row>
    <row r="16" spans="1:11" ht="45" customHeight="1">
      <c r="A16" s="85">
        <v>106</v>
      </c>
      <c r="B16" s="970" t="s">
        <v>41</v>
      </c>
      <c r="C16" s="970"/>
      <c r="D16" s="970"/>
      <c r="E16" s="971"/>
      <c r="F16" s="982">
        <f>+SUM('1Př2'!F26:G29)</f>
        <v>0</v>
      </c>
      <c r="G16" s="983"/>
      <c r="H16" s="984"/>
      <c r="I16" s="975"/>
      <c r="J16" s="976"/>
      <c r="K16" s="977"/>
    </row>
    <row r="17" spans="1:11" ht="48" customHeight="1">
      <c r="A17" s="16">
        <v>107</v>
      </c>
      <c r="B17" s="970" t="s">
        <v>3467</v>
      </c>
      <c r="C17" s="712"/>
      <c r="D17" s="712"/>
      <c r="E17" s="713"/>
      <c r="F17" s="736">
        <f>FLOOR(+F11*('1Př2'!G39+'1Př2'!G40),1)</f>
        <v>0</v>
      </c>
      <c r="G17" s="978"/>
      <c r="H17" s="979"/>
      <c r="I17" s="975"/>
      <c r="J17" s="976"/>
      <c r="K17" s="977"/>
    </row>
    <row r="18" spans="1:50" s="2" customFormat="1" ht="48" customHeight="1">
      <c r="A18" s="16">
        <v>108</v>
      </c>
      <c r="B18" s="1010" t="s">
        <v>3466</v>
      </c>
      <c r="C18" s="1011"/>
      <c r="D18" s="1011"/>
      <c r="E18" s="1012"/>
      <c r="F18" s="736">
        <f>FLOOR(+F12*('1Př2'!G39+'1Př2'!G40),1)</f>
        <v>0</v>
      </c>
      <c r="G18" s="978"/>
      <c r="H18" s="979"/>
      <c r="I18" s="975"/>
      <c r="J18" s="976"/>
      <c r="K18" s="97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6">
        <v>109</v>
      </c>
      <c r="B19" s="1010" t="s">
        <v>3464</v>
      </c>
      <c r="C19" s="1011"/>
      <c r="D19" s="1011"/>
      <c r="E19" s="1012"/>
      <c r="F19" s="736">
        <v>0</v>
      </c>
      <c r="G19" s="978"/>
      <c r="H19" s="979"/>
      <c r="I19" s="975"/>
      <c r="J19" s="976"/>
      <c r="K19" s="977"/>
      <c r="L19" s="7"/>
      <c r="M19" s="150"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6">
        <v>110</v>
      </c>
      <c r="B20" s="1010" t="s">
        <v>3465</v>
      </c>
      <c r="C20" s="1011"/>
      <c r="D20" s="1011"/>
      <c r="E20" s="1012"/>
      <c r="F20" s="736">
        <v>0</v>
      </c>
      <c r="G20" s="978"/>
      <c r="H20" s="979"/>
      <c r="I20" s="975"/>
      <c r="J20" s="976"/>
      <c r="K20" s="97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6">
        <v>111</v>
      </c>
      <c r="B21" s="986" t="s">
        <v>168</v>
      </c>
      <c r="C21" s="986"/>
      <c r="D21" s="986"/>
      <c r="E21" s="987"/>
      <c r="F21" s="972"/>
      <c r="G21" s="973"/>
      <c r="H21" s="974"/>
      <c r="I21" s="975"/>
      <c r="J21" s="976"/>
      <c r="K21" s="97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6">
        <v>112</v>
      </c>
      <c r="B22" s="1010" t="s">
        <v>165</v>
      </c>
      <c r="C22" s="1011"/>
      <c r="D22" s="1011"/>
      <c r="E22" s="1012"/>
      <c r="F22" s="736">
        <v>0</v>
      </c>
      <c r="G22" s="978"/>
      <c r="H22" s="979"/>
      <c r="I22" s="975"/>
      <c r="J22" s="976"/>
      <c r="K22" s="97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6">
        <v>113</v>
      </c>
      <c r="B23" s="1010" t="s">
        <v>3468</v>
      </c>
      <c r="C23" s="1011"/>
      <c r="D23" s="1011"/>
      <c r="E23" s="1012"/>
      <c r="F23" s="982">
        <f>+F14+F15-F16-F17+F18+F19-F20-F21+F22</f>
        <v>0</v>
      </c>
      <c r="G23" s="1067"/>
      <c r="H23" s="1068"/>
      <c r="I23" s="975"/>
      <c r="J23" s="976"/>
      <c r="K23" s="97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7">
        <v>114</v>
      </c>
      <c r="B24" s="1064" t="s">
        <v>86</v>
      </c>
      <c r="C24" s="1065"/>
      <c r="D24" s="1065"/>
      <c r="E24" s="1066"/>
      <c r="F24" s="755">
        <f>+F23</f>
        <v>0</v>
      </c>
      <c r="G24" s="1021"/>
      <c r="H24" s="1022"/>
      <c r="I24" s="1069"/>
      <c r="J24" s="1070"/>
      <c r="K24" s="1071"/>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024" t="s">
        <v>250</v>
      </c>
      <c r="B25" s="1025"/>
      <c r="C25" s="1025"/>
      <c r="D25" s="1025"/>
      <c r="E25" s="1025"/>
      <c r="F25" s="1025"/>
      <c r="G25" s="1025"/>
      <c r="H25" s="1025"/>
      <c r="I25" s="1025"/>
      <c r="J25" s="1025"/>
      <c r="K25" s="1025"/>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026" t="s">
        <v>283</v>
      </c>
      <c r="B26" s="1027"/>
      <c r="C26" s="1027"/>
      <c r="D26" s="1027"/>
      <c r="E26" s="1027"/>
      <c r="F26" s="1027"/>
      <c r="G26" s="1027"/>
      <c r="H26" s="1027"/>
      <c r="I26" s="1027"/>
      <c r="J26" s="1027"/>
      <c r="K26" s="102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018" t="s">
        <v>229</v>
      </c>
      <c r="B27" s="929"/>
      <c r="C27" s="1019"/>
      <c r="D27" s="1019"/>
      <c r="E27" s="1018" t="s">
        <v>157</v>
      </c>
      <c r="F27" s="1020"/>
      <c r="G27" s="1019"/>
      <c r="H27" s="1019"/>
      <c r="I27" s="1043" t="s">
        <v>87</v>
      </c>
      <c r="J27" s="1043"/>
      <c r="K27" s="1044"/>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013">
        <v>0</v>
      </c>
      <c r="B28" s="1023"/>
      <c r="C28" s="1015"/>
      <c r="D28" s="147"/>
      <c r="E28" s="1013">
        <f>+CEILING(ZAV!C43,1)</f>
        <v>0</v>
      </c>
      <c r="F28" s="1014"/>
      <c r="G28" s="1015"/>
      <c r="H28" s="147"/>
      <c r="I28" s="1013">
        <v>0</v>
      </c>
      <c r="J28" s="1016"/>
      <c r="K28" s="101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026" t="s">
        <v>252</v>
      </c>
      <c r="B29" s="1048"/>
      <c r="C29" s="1048"/>
      <c r="D29" s="1048"/>
      <c r="E29" s="1041" t="s">
        <v>253</v>
      </c>
      <c r="F29" s="1026"/>
      <c r="G29" s="607"/>
      <c r="H29" s="607"/>
      <c r="I29" s="607"/>
      <c r="J29" s="607"/>
      <c r="K29" s="60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043" t="s">
        <v>3469</v>
      </c>
      <c r="B30" s="1044"/>
      <c r="C30" s="1044"/>
      <c r="D30" s="1044"/>
      <c r="E30" s="1042"/>
      <c r="F30" s="1034" t="s">
        <v>150</v>
      </c>
      <c r="G30" s="1034"/>
      <c r="H30" s="1034" t="s">
        <v>151</v>
      </c>
      <c r="I30" s="1034"/>
      <c r="J30" s="1034" t="s">
        <v>170</v>
      </c>
      <c r="K30" s="1034"/>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045" t="str">
        <f>CONCATENATE(+ZAKL_DATA!B29)</f>
        <v/>
      </c>
      <c r="B31" s="1046"/>
      <c r="C31" s="1046"/>
      <c r="D31" s="1047"/>
      <c r="E31" s="402">
        <v>0</v>
      </c>
      <c r="F31" s="1032">
        <f>+IF(E31=0,0,F11)</f>
        <v>0</v>
      </c>
      <c r="G31" s="1033"/>
      <c r="H31" s="1032">
        <f>+IF(E31=0,0,+F12+F13)</f>
        <v>0</v>
      </c>
      <c r="I31" s="1033"/>
      <c r="J31" s="1030"/>
      <c r="K31" s="1031"/>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035" t="s">
        <v>254</v>
      </c>
      <c r="B32" s="1036"/>
      <c r="C32" s="1036"/>
      <c r="D32" s="1036"/>
      <c r="E32" s="1036"/>
      <c r="F32" s="1036"/>
      <c r="G32" s="1036"/>
      <c r="H32" s="1036"/>
      <c r="I32" s="1036"/>
      <c r="J32" s="1036"/>
      <c r="K32" s="1036"/>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039"/>
      <c r="B33" s="1040"/>
      <c r="C33" s="1040"/>
      <c r="D33" s="1040"/>
      <c r="E33" s="401">
        <v>0</v>
      </c>
      <c r="F33" s="1028">
        <v>0</v>
      </c>
      <c r="G33" s="1029"/>
      <c r="H33" s="1028">
        <v>0</v>
      </c>
      <c r="I33" s="1029"/>
      <c r="J33" s="1037"/>
      <c r="K33" s="1038"/>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052"/>
      <c r="B34" s="1053"/>
      <c r="C34" s="1053"/>
      <c r="D34" s="1053"/>
      <c r="E34" s="399">
        <v>0</v>
      </c>
      <c r="F34" s="1062">
        <v>0</v>
      </c>
      <c r="G34" s="1063"/>
      <c r="H34" s="1062">
        <v>0</v>
      </c>
      <c r="I34" s="1063"/>
      <c r="J34" s="1056"/>
      <c r="K34" s="105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052"/>
      <c r="B35" s="1053"/>
      <c r="C35" s="1053"/>
      <c r="D35" s="1053"/>
      <c r="E35" s="399">
        <v>0</v>
      </c>
      <c r="F35" s="1062">
        <v>0</v>
      </c>
      <c r="G35" s="1063"/>
      <c r="H35" s="1062">
        <v>0</v>
      </c>
      <c r="I35" s="1063"/>
      <c r="J35" s="1056"/>
      <c r="K35" s="105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054" t="s">
        <v>62</v>
      </c>
      <c r="B36" s="1055"/>
      <c r="C36" s="1055"/>
      <c r="D36" s="1055"/>
      <c r="E36" s="400"/>
      <c r="F36" s="1060">
        <f>SUM(F33:F35)+F31</f>
        <v>0</v>
      </c>
      <c r="G36" s="1061"/>
      <c r="H36" s="1060">
        <f>SUM(H33:H35)+H31</f>
        <v>0</v>
      </c>
      <c r="I36" s="1061"/>
      <c r="J36" s="1058"/>
      <c r="K36" s="1059"/>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050" t="str">
        <f>+'DAP1'!A46</f>
        <v>Formulář zpracovala ASPEKT HM, daňová, účetní a auditorská kancelář, www.danovapriznani.cz, business.center.cz</v>
      </c>
      <c r="B37" s="1050"/>
      <c r="C37" s="1050"/>
      <c r="D37" s="1050"/>
      <c r="E37" s="1050"/>
      <c r="F37" s="1050"/>
      <c r="G37" s="1050"/>
      <c r="H37" s="1050"/>
      <c r="I37" s="1050"/>
      <c r="J37" s="1050"/>
      <c r="K37" s="1050"/>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051" t="s">
        <v>3681</v>
      </c>
      <c r="B38" s="1051"/>
      <c r="C38" s="1051"/>
      <c r="D38" s="1051"/>
      <c r="E38" s="1051"/>
      <c r="F38" s="1051"/>
      <c r="G38" s="1051"/>
      <c r="H38" s="1051"/>
      <c r="I38" s="1051"/>
      <c r="J38" s="1051"/>
      <c r="K38" s="1051"/>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049" t="s">
        <v>279</v>
      </c>
      <c r="B39" s="1049"/>
      <c r="C39" s="1049"/>
      <c r="D39" s="1049"/>
      <c r="E39" s="1049"/>
      <c r="F39" s="1049"/>
      <c r="G39" s="1049"/>
      <c r="H39" s="1049"/>
      <c r="I39" s="1049"/>
      <c r="J39" s="1049"/>
      <c r="K39" s="1049"/>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3rqdr8DveV5Y1CzHrdo0bp9nbSUN38FrJDB5Mfg/l9jLCG6G/lFf+LZFrz7qdJBR5e/juwz1L9DYVS/Qwx2p/A==" saltValue="CglR+S27jUvrnjEPc03Raw==" spinCount="100000" sheet="1" objects="1" scenarios="1"/>
  <mergeCells count="97">
    <mergeCell ref="B23:E23"/>
    <mergeCell ref="B24:E24"/>
    <mergeCell ref="F23:H23"/>
    <mergeCell ref="I24:K24"/>
    <mergeCell ref="I17:K17"/>
    <mergeCell ref="I20:K20"/>
    <mergeCell ref="F21:H21"/>
    <mergeCell ref="I27:K27"/>
    <mergeCell ref="A39:K39"/>
    <mergeCell ref="A37:K37"/>
    <mergeCell ref="A38:K38"/>
    <mergeCell ref="A34:D34"/>
    <mergeCell ref="A35:D35"/>
    <mergeCell ref="A36:D36"/>
    <mergeCell ref="J35:K35"/>
    <mergeCell ref="J36:K36"/>
    <mergeCell ref="F36:G36"/>
    <mergeCell ref="H36:I36"/>
    <mergeCell ref="F35:G35"/>
    <mergeCell ref="H35:I35"/>
    <mergeCell ref="F34:G34"/>
    <mergeCell ref="H34:I34"/>
    <mergeCell ref="J34:K34"/>
    <mergeCell ref="F33:G33"/>
    <mergeCell ref="H33:I33"/>
    <mergeCell ref="J31:K31"/>
    <mergeCell ref="H31:I31"/>
    <mergeCell ref="J30:K30"/>
    <mergeCell ref="A32:K32"/>
    <mergeCell ref="J33:K33"/>
    <mergeCell ref="F31:G31"/>
    <mergeCell ref="A33:D33"/>
    <mergeCell ref="E29:E30"/>
    <mergeCell ref="F29:K29"/>
    <mergeCell ref="A30:D30"/>
    <mergeCell ref="A31:D31"/>
    <mergeCell ref="F30:G30"/>
    <mergeCell ref="H30:I30"/>
    <mergeCell ref="A29:D29"/>
    <mergeCell ref="E28:G28"/>
    <mergeCell ref="I28:K28"/>
    <mergeCell ref="B19:E19"/>
    <mergeCell ref="B20:E20"/>
    <mergeCell ref="F18:H18"/>
    <mergeCell ref="F19:H19"/>
    <mergeCell ref="A27:D27"/>
    <mergeCell ref="E27:H27"/>
    <mergeCell ref="B18:E18"/>
    <mergeCell ref="F24:H24"/>
    <mergeCell ref="I21:K21"/>
    <mergeCell ref="I22:K22"/>
    <mergeCell ref="I23:K23"/>
    <mergeCell ref="A28:C28"/>
    <mergeCell ref="A25:K25"/>
    <mergeCell ref="A26:K26"/>
    <mergeCell ref="B14:E14"/>
    <mergeCell ref="B15:E15"/>
    <mergeCell ref="I18:K18"/>
    <mergeCell ref="I19:K19"/>
    <mergeCell ref="F22:H22"/>
    <mergeCell ref="F20:H20"/>
    <mergeCell ref="F15:H15"/>
    <mergeCell ref="F17:H17"/>
    <mergeCell ref="B21:E21"/>
    <mergeCell ref="B22:E22"/>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s>
  <dataValidations count="1">
    <dataValidation type="list" allowBlank="1" showInputMessage="1" sqref="A33:A35">
      <formula1>vl_cinnosti2</formula1>
    </dataValidation>
  </dataValidation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25">
      <selection pane="topLeft" activeCell="F44" sqref="F44"/>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2"/>
  </cols>
  <sheetData>
    <row r="1" spans="1:7" ht="18" customHeight="1">
      <c r="A1" s="1026" t="s">
        <v>3470</v>
      </c>
      <c r="B1" s="1113"/>
      <c r="C1" s="1113"/>
      <c r="D1" s="1113"/>
      <c r="E1" s="1113"/>
      <c r="F1" s="1113"/>
      <c r="G1" s="1113"/>
    </row>
    <row r="2" spans="1:7 51:52" ht="15.95" customHeight="1" thickBot="1">
      <c r="A2" s="1114" t="s">
        <v>43</v>
      </c>
      <c r="B2" s="637"/>
      <c r="C2" s="142" t="s">
        <v>275</v>
      </c>
      <c r="D2" s="142"/>
      <c r="E2" s="142" t="s">
        <v>276</v>
      </c>
      <c r="F2" s="141" t="s">
        <v>277</v>
      </c>
      <c r="G2" s="141" t="s">
        <v>64</v>
      </c>
      <c r="AY2"/>
      <c r="AZ2"/>
    </row>
    <row r="3" spans="1:7 51:52" ht="15.95" customHeight="1" thickBot="1">
      <c r="A3" s="1130"/>
      <c r="B3" s="1131"/>
      <c r="C3" s="1128"/>
      <c r="D3" s="1129"/>
      <c r="E3" s="140"/>
      <c r="F3" s="145"/>
      <c r="G3" s="146">
        <v>12</v>
      </c>
      <c r="AY3"/>
      <c r="AZ3"/>
    </row>
    <row r="4" spans="1:7" ht="18" customHeight="1">
      <c r="A4" s="1117" t="s">
        <v>3574</v>
      </c>
      <c r="B4" s="1118"/>
      <c r="C4" s="1118"/>
      <c r="D4" s="1118"/>
      <c r="E4" s="1118"/>
      <c r="F4" s="1118"/>
      <c r="G4" s="1118"/>
    </row>
    <row r="5" spans="1:7" ht="15.95" customHeight="1" thickBot="1">
      <c r="A5" s="1126" t="s">
        <v>3575</v>
      </c>
      <c r="B5" s="1127"/>
      <c r="C5" s="1127"/>
      <c r="D5" s="1127"/>
      <c r="E5" s="1127"/>
      <c r="F5" s="1127"/>
      <c r="G5" s="1127"/>
    </row>
    <row r="6" spans="1:7" ht="22.5">
      <c r="A6" s="1124"/>
      <c r="B6" s="674"/>
      <c r="C6" s="674"/>
      <c r="D6" s="674"/>
      <c r="E6" s="1125"/>
      <c r="F6" s="87" t="s">
        <v>285</v>
      </c>
      <c r="G6" s="88" t="s">
        <v>284</v>
      </c>
    </row>
    <row r="7" spans="1:7" ht="15.95" customHeight="1">
      <c r="A7" s="48" t="s">
        <v>140</v>
      </c>
      <c r="B7" s="1122" t="s">
        <v>114</v>
      </c>
      <c r="C7" s="1122"/>
      <c r="D7" s="1122"/>
      <c r="E7" s="716"/>
      <c r="F7" s="71">
        <f>+ZAV!B7</f>
        <v>0</v>
      </c>
      <c r="G7" s="86">
        <f>+ZAV!C7</f>
        <v>0</v>
      </c>
    </row>
    <row r="8" spans="1:7" ht="15.95" customHeight="1">
      <c r="A8" s="48" t="s">
        <v>141</v>
      </c>
      <c r="B8" s="1122" t="s">
        <v>257</v>
      </c>
      <c r="C8" s="1122"/>
      <c r="D8" s="1122"/>
      <c r="E8" s="716"/>
      <c r="F8" s="71">
        <f>+ZAV!B9</f>
        <v>0</v>
      </c>
      <c r="G8" s="86">
        <f>+ZAV!C9</f>
        <v>0</v>
      </c>
    </row>
    <row r="9" spans="1:7" ht="15.95" customHeight="1">
      <c r="A9" s="48" t="s">
        <v>142</v>
      </c>
      <c r="B9" s="1122" t="s">
        <v>233</v>
      </c>
      <c r="C9" s="1122"/>
      <c r="D9" s="1122"/>
      <c r="E9" s="716"/>
      <c r="F9" s="71">
        <f>+ZAV!B10</f>
        <v>0</v>
      </c>
      <c r="G9" s="86">
        <f>+ZAV!C10</f>
        <v>0</v>
      </c>
    </row>
    <row r="10" spans="1:7" ht="15.95" customHeight="1">
      <c r="A10" s="48" t="s">
        <v>293</v>
      </c>
      <c r="B10" s="1122" t="s">
        <v>147</v>
      </c>
      <c r="C10" s="1122"/>
      <c r="D10" s="1122"/>
      <c r="E10" s="716"/>
      <c r="F10" s="71">
        <f>+ZAV!B12</f>
        <v>0</v>
      </c>
      <c r="G10" s="86">
        <f>+ZAV!C12</f>
        <v>0</v>
      </c>
    </row>
    <row r="11" spans="1:7" ht="15.95" customHeight="1">
      <c r="A11" s="48" t="s">
        <v>110</v>
      </c>
      <c r="B11" s="1122" t="s">
        <v>3471</v>
      </c>
      <c r="C11" s="1122"/>
      <c r="D11" s="1122"/>
      <c r="E11" s="716"/>
      <c r="F11" s="71">
        <f>+ZAV!B13+ZAV!B14</f>
        <v>0</v>
      </c>
      <c r="G11" s="86">
        <f>+ZAV!C13+ZAV!C14</f>
        <v>0</v>
      </c>
    </row>
    <row r="12" spans="1:7" ht="15.95" customHeight="1">
      <c r="A12" s="48" t="s">
        <v>292</v>
      </c>
      <c r="B12" s="1122" t="s">
        <v>234</v>
      </c>
      <c r="C12" s="1122"/>
      <c r="D12" s="1122"/>
      <c r="E12" s="716"/>
      <c r="F12" s="71">
        <f>+ZAV!B15+ZAV!B11+ZAV!B8</f>
        <v>0</v>
      </c>
      <c r="G12" s="86">
        <f>+ZAV!C15+ZAV!C11+ZAV!C8</f>
        <v>0</v>
      </c>
    </row>
    <row r="13" spans="1:7" ht="15.95" customHeight="1">
      <c r="A13" s="48" t="s">
        <v>291</v>
      </c>
      <c r="B13" s="1122" t="s">
        <v>3472</v>
      </c>
      <c r="C13" s="1122"/>
      <c r="D13" s="1122"/>
      <c r="E13" s="716"/>
      <c r="F13" s="71">
        <f>+ZAV!B19+ZAV!B20</f>
        <v>0</v>
      </c>
      <c r="G13" s="86">
        <f>+ZAV!C19+ZAV!C20</f>
        <v>0</v>
      </c>
    </row>
    <row r="14" spans="1:7" ht="15.95" customHeight="1" thickBot="1">
      <c r="A14" s="49" t="s">
        <v>290</v>
      </c>
      <c r="B14" s="1123" t="s">
        <v>288</v>
      </c>
      <c r="C14" s="1123"/>
      <c r="D14" s="1123"/>
      <c r="E14" s="720"/>
      <c r="F14" s="72">
        <f>+ZAV!B22</f>
        <v>0</v>
      </c>
      <c r="G14" s="102">
        <f>+ZAV!C22</f>
        <v>0</v>
      </c>
    </row>
    <row r="15" spans="1:7" ht="9" customHeight="1" thickBot="1">
      <c r="A15" s="1117"/>
      <c r="B15" s="1118"/>
      <c r="C15" s="1118"/>
      <c r="D15" s="1118"/>
      <c r="E15" s="1118"/>
      <c r="F15" s="1118"/>
      <c r="G15" s="1118"/>
    </row>
    <row r="16" spans="1:7" ht="15.95" customHeight="1" thickBot="1">
      <c r="A16" s="89" t="s">
        <v>289</v>
      </c>
      <c r="B16" s="117" t="s">
        <v>29</v>
      </c>
      <c r="C16" s="1119"/>
      <c r="D16" s="1120"/>
      <c r="E16" s="1121"/>
      <c r="F16" s="1118"/>
      <c r="G16" s="1118"/>
    </row>
    <row r="17" spans="1:7" ht="15" customHeight="1">
      <c r="A17" s="1115" t="s">
        <v>235</v>
      </c>
      <c r="B17" s="1116"/>
      <c r="C17" s="1116"/>
      <c r="D17" s="1116"/>
      <c r="E17" s="1116"/>
      <c r="F17" s="1116"/>
      <c r="G17" s="1116"/>
    </row>
    <row r="18" spans="1:7" ht="18" customHeight="1" thickBot="1">
      <c r="A18" s="1093" t="s">
        <v>212</v>
      </c>
      <c r="B18" s="1094"/>
      <c r="C18" s="1094"/>
      <c r="D18" s="1094"/>
      <c r="E18" s="1094"/>
      <c r="F18" s="1094"/>
      <c r="G18" s="1094"/>
    </row>
    <row r="19" spans="1:7" ht="24" customHeight="1">
      <c r="A19" s="92" t="s">
        <v>3473</v>
      </c>
      <c r="B19" s="1108" t="s">
        <v>65</v>
      </c>
      <c r="C19" s="1109"/>
      <c r="D19" s="1109"/>
      <c r="E19" s="1110"/>
      <c r="F19" s="1111" t="s">
        <v>196</v>
      </c>
      <c r="G19" s="1112"/>
    </row>
    <row r="20" spans="1:7" ht="15.95" customHeight="1">
      <c r="A20" s="46" t="s">
        <v>140</v>
      </c>
      <c r="B20" s="1087"/>
      <c r="C20" s="1087"/>
      <c r="D20" s="1087"/>
      <c r="E20" s="1087"/>
      <c r="F20" s="1088"/>
      <c r="G20" s="1089"/>
    </row>
    <row r="21" spans="1:7" ht="15.95" customHeight="1">
      <c r="A21" s="46" t="s">
        <v>141</v>
      </c>
      <c r="B21" s="1087"/>
      <c r="C21" s="1087"/>
      <c r="D21" s="1087"/>
      <c r="E21" s="1087"/>
      <c r="F21" s="1088"/>
      <c r="G21" s="1089"/>
    </row>
    <row r="22" spans="1:7" ht="15.95" customHeight="1">
      <c r="A22" s="46" t="s">
        <v>142</v>
      </c>
      <c r="B22" s="1087"/>
      <c r="C22" s="1087"/>
      <c r="D22" s="1087"/>
      <c r="E22" s="1087"/>
      <c r="F22" s="1088"/>
      <c r="G22" s="1089"/>
    </row>
    <row r="23" spans="1:7" ht="15.95" customHeight="1" thickBot="1">
      <c r="A23" s="47" t="s">
        <v>293</v>
      </c>
      <c r="B23" s="1090"/>
      <c r="C23" s="1090"/>
      <c r="D23" s="1090"/>
      <c r="E23" s="1090"/>
      <c r="F23" s="1091"/>
      <c r="G23" s="1092"/>
    </row>
    <row r="24" spans="1:7" ht="13.5" thickBot="1">
      <c r="A24" s="1093"/>
      <c r="B24" s="1094"/>
      <c r="C24" s="1094"/>
      <c r="D24" s="1094"/>
      <c r="E24" s="1094"/>
      <c r="F24" s="1094"/>
      <c r="G24" s="1094"/>
    </row>
    <row r="25" spans="1:7" ht="24.75" customHeight="1">
      <c r="A25" s="92" t="s">
        <v>197</v>
      </c>
      <c r="B25" s="1108" t="s">
        <v>66</v>
      </c>
      <c r="C25" s="1109"/>
      <c r="D25" s="1109"/>
      <c r="E25" s="1110"/>
      <c r="F25" s="1111" t="s">
        <v>196</v>
      </c>
      <c r="G25" s="1112"/>
    </row>
    <row r="26" spans="1:7" ht="15.95" customHeight="1">
      <c r="A26" s="46" t="s">
        <v>140</v>
      </c>
      <c r="B26" s="1087"/>
      <c r="C26" s="1087"/>
      <c r="D26" s="1087"/>
      <c r="E26" s="1087"/>
      <c r="F26" s="1088"/>
      <c r="G26" s="1089"/>
    </row>
    <row r="27" spans="1:7" ht="15.95" customHeight="1">
      <c r="A27" s="46" t="s">
        <v>141</v>
      </c>
      <c r="B27" s="1087"/>
      <c r="C27" s="1087"/>
      <c r="D27" s="1087"/>
      <c r="E27" s="1087"/>
      <c r="F27" s="1088"/>
      <c r="G27" s="1089"/>
    </row>
    <row r="28" spans="1:7" ht="15.95" customHeight="1">
      <c r="A28" s="46" t="s">
        <v>142</v>
      </c>
      <c r="B28" s="1087"/>
      <c r="C28" s="1087"/>
      <c r="D28" s="1087"/>
      <c r="E28" s="1087"/>
      <c r="F28" s="1088"/>
      <c r="G28" s="1089"/>
    </row>
    <row r="29" spans="1:7" ht="15.95" customHeight="1" thickBot="1">
      <c r="A29" s="47" t="s">
        <v>293</v>
      </c>
      <c r="B29" s="1090"/>
      <c r="C29" s="1090"/>
      <c r="D29" s="1090"/>
      <c r="E29" s="1090"/>
      <c r="F29" s="1091"/>
      <c r="G29" s="1092"/>
    </row>
    <row r="30" spans="1:7" ht="18" customHeight="1" thickBot="1">
      <c r="A30" s="1093" t="s">
        <v>88</v>
      </c>
      <c r="B30" s="1094"/>
      <c r="C30" s="1094"/>
      <c r="D30" s="1094"/>
      <c r="E30" s="1094"/>
      <c r="F30" s="1094"/>
      <c r="G30" s="1094"/>
    </row>
    <row r="31" spans="1:7" ht="15.95" customHeight="1">
      <c r="A31" s="1095" t="s">
        <v>89</v>
      </c>
      <c r="B31" s="1096"/>
      <c r="C31" s="1096"/>
      <c r="D31" s="1096"/>
      <c r="E31" s="1096"/>
      <c r="F31" s="1096"/>
      <c r="G31" s="1097"/>
    </row>
    <row r="32" spans="1:7" ht="15.95" customHeight="1">
      <c r="A32" s="98"/>
      <c r="B32" s="31" t="s">
        <v>44</v>
      </c>
      <c r="C32" s="1106" t="s">
        <v>105</v>
      </c>
      <c r="D32" s="1106"/>
      <c r="E32" s="31" t="s">
        <v>154</v>
      </c>
      <c r="F32" s="31" t="s">
        <v>106</v>
      </c>
      <c r="G32" s="32" t="s">
        <v>107</v>
      </c>
    </row>
    <row r="33" spans="1:7" ht="15.95" customHeight="1">
      <c r="A33" s="33" t="s">
        <v>140</v>
      </c>
      <c r="B33" s="104"/>
      <c r="C33" s="1076"/>
      <c r="D33" s="1076"/>
      <c r="E33" s="35"/>
      <c r="F33" s="38"/>
      <c r="G33" s="37"/>
    </row>
    <row r="34" spans="1:7" ht="15.95" customHeight="1">
      <c r="A34" s="33" t="s">
        <v>141</v>
      </c>
      <c r="B34" s="36"/>
      <c r="C34" s="1076"/>
      <c r="D34" s="1076"/>
      <c r="E34" s="105"/>
      <c r="F34" s="106"/>
      <c r="G34" s="107"/>
    </row>
    <row r="35" spans="1:7" ht="15.95" customHeight="1" thickBot="1">
      <c r="A35" s="34" t="s">
        <v>142</v>
      </c>
      <c r="B35" s="108"/>
      <c r="C35" s="1107"/>
      <c r="D35" s="1107"/>
      <c r="E35" s="108"/>
      <c r="F35" s="39"/>
      <c r="G35" s="40"/>
    </row>
    <row r="36" spans="1:7" ht="18" customHeight="1" thickBot="1">
      <c r="A36" s="1085" t="s">
        <v>258</v>
      </c>
      <c r="B36" s="1086"/>
      <c r="C36" s="1086"/>
      <c r="D36" s="1086"/>
      <c r="E36" s="1086"/>
      <c r="F36" s="1086"/>
      <c r="G36" s="1086"/>
    </row>
    <row r="37" spans="1:7" ht="15.95" customHeight="1">
      <c r="A37" s="1082" t="s">
        <v>90</v>
      </c>
      <c r="B37" s="1083"/>
      <c r="C37" s="1083"/>
      <c r="D37" s="1083"/>
      <c r="E37" s="1083"/>
      <c r="F37" s="1083"/>
      <c r="G37" s="1084"/>
    </row>
    <row r="38" spans="1:7" ht="24" customHeight="1">
      <c r="A38" s="99"/>
      <c r="B38" s="1098" t="s">
        <v>44</v>
      </c>
      <c r="C38" s="1099"/>
      <c r="D38" s="1098" t="s">
        <v>105</v>
      </c>
      <c r="E38" s="1099"/>
      <c r="F38" s="41" t="s">
        <v>232</v>
      </c>
      <c r="G38" s="42" t="s">
        <v>294</v>
      </c>
    </row>
    <row r="39" spans="1:7" ht="15.95" customHeight="1">
      <c r="A39" s="33" t="s">
        <v>140</v>
      </c>
      <c r="B39" s="1079"/>
      <c r="C39" s="1080"/>
      <c r="D39" s="1079"/>
      <c r="E39" s="1080"/>
      <c r="F39" s="486"/>
      <c r="G39" s="37"/>
    </row>
    <row r="40" spans="1:7" ht="15.95" customHeight="1" thickBot="1">
      <c r="A40" s="34" t="s">
        <v>141</v>
      </c>
      <c r="B40" s="1081"/>
      <c r="C40" s="1073"/>
      <c r="D40" s="1081"/>
      <c r="E40" s="1073"/>
      <c r="F40" s="9"/>
      <c r="G40" s="40"/>
    </row>
    <row r="41" spans="1:52" s="90" customFormat="1" ht="18" customHeight="1" thickBot="1">
      <c r="A41" s="1085" t="s">
        <v>213</v>
      </c>
      <c r="B41" s="1086"/>
      <c r="C41" s="1086"/>
      <c r="D41" s="1086"/>
      <c r="E41" s="1086"/>
      <c r="F41" s="1086"/>
      <c r="G41" s="1086"/>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7" ht="15.95" customHeight="1">
      <c r="A42" s="1082" t="s">
        <v>91</v>
      </c>
      <c r="B42" s="1083"/>
      <c r="C42" s="1083"/>
      <c r="D42" s="1083"/>
      <c r="E42" s="1083"/>
      <c r="F42" s="1083"/>
      <c r="G42" s="1084"/>
    </row>
    <row r="43" spans="1:7" ht="24" customHeight="1">
      <c r="A43" s="99"/>
      <c r="B43" s="1077" t="s">
        <v>44</v>
      </c>
      <c r="C43" s="1078"/>
      <c r="D43" s="1077" t="s">
        <v>105</v>
      </c>
      <c r="E43" s="1078"/>
      <c r="F43" s="487" t="s">
        <v>154</v>
      </c>
      <c r="G43" s="42" t="s">
        <v>294</v>
      </c>
    </row>
    <row r="44" spans="1:7" ht="15.95" customHeight="1" thickBot="1">
      <c r="A44" s="34" t="s">
        <v>140</v>
      </c>
      <c r="B44" s="1072"/>
      <c r="C44" s="1073"/>
      <c r="D44" s="1072"/>
      <c r="E44" s="1073"/>
      <c r="F44" s="488"/>
      <c r="G44" s="40"/>
    </row>
    <row r="45" spans="1:7" ht="13.5" thickBot="1">
      <c r="A45" s="1074" t="s">
        <v>302</v>
      </c>
      <c r="B45" s="1075"/>
      <c r="C45" s="1075"/>
      <c r="D45" s="1075"/>
      <c r="E45" s="1075"/>
      <c r="F45" s="1075"/>
      <c r="G45" s="1075"/>
    </row>
    <row r="46" spans="1:7" ht="12.75">
      <c r="A46" s="1102" t="s">
        <v>214</v>
      </c>
      <c r="B46" s="1103"/>
      <c r="C46" s="1103"/>
      <c r="D46" s="1103"/>
      <c r="E46" s="1103"/>
      <c r="F46" s="43" t="s">
        <v>154</v>
      </c>
      <c r="G46" s="44" t="s">
        <v>155</v>
      </c>
    </row>
    <row r="47" spans="1:7" ht="13.5" thickBot="1">
      <c r="A47" s="1104"/>
      <c r="B47" s="1105"/>
      <c r="C47" s="1105"/>
      <c r="D47" s="1105"/>
      <c r="E47" s="1105"/>
      <c r="F47" s="103"/>
      <c r="G47" s="45"/>
    </row>
    <row r="48" spans="1:7" ht="9" customHeight="1">
      <c r="A48" s="1100" t="s">
        <v>3474</v>
      </c>
      <c r="B48" s="621"/>
      <c r="C48" s="621"/>
      <c r="D48" s="621"/>
      <c r="E48" s="621"/>
      <c r="F48" s="621"/>
      <c r="G48" s="621"/>
    </row>
    <row r="49" spans="1:7" ht="9" customHeight="1">
      <c r="A49" s="1101" t="s">
        <v>195</v>
      </c>
      <c r="B49" s="510"/>
      <c r="C49" s="510"/>
      <c r="D49" s="510"/>
      <c r="E49" s="510"/>
      <c r="F49" s="510"/>
      <c r="G49" s="510"/>
    </row>
    <row r="50" spans="1:7" ht="12.75">
      <c r="A50" s="1049" t="s">
        <v>280</v>
      </c>
      <c r="B50" s="1049"/>
      <c r="C50" s="1049"/>
      <c r="D50" s="1049"/>
      <c r="E50" s="1049"/>
      <c r="F50" s="1049"/>
      <c r="G50" s="1049"/>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pans="1:7" ht="12.75">
      <c r="A64" s="82"/>
      <c r="B64" s="82"/>
      <c r="C64" s="82"/>
      <c r="D64" s="82"/>
      <c r="E64" s="82"/>
      <c r="F64" s="82"/>
      <c r="G64" s="82"/>
    </row>
    <row r="65" spans="1:7" ht="12.75">
      <c r="A65" s="82"/>
      <c r="B65" s="82"/>
      <c r="C65" s="82"/>
      <c r="D65" s="82"/>
      <c r="E65" s="82"/>
      <c r="F65" s="82"/>
      <c r="G65" s="82"/>
    </row>
    <row r="66" spans="1:7" ht="12.75">
      <c r="A66" s="82"/>
      <c r="B66" s="82"/>
      <c r="C66" s="82"/>
      <c r="D66" s="82"/>
      <c r="E66" s="82"/>
      <c r="F66" s="82"/>
      <c r="G66" s="82"/>
    </row>
    <row r="67" spans="1:7" ht="12.75">
      <c r="A67" s="82"/>
      <c r="B67" s="82"/>
      <c r="C67" s="82"/>
      <c r="D67" s="82"/>
      <c r="E67" s="82"/>
      <c r="F67" s="82"/>
      <c r="G67" s="82"/>
    </row>
    <row r="68" spans="1:7" ht="12.75">
      <c r="A68" s="82"/>
      <c r="B68" s="82"/>
      <c r="C68" s="82"/>
      <c r="D68" s="82"/>
      <c r="E68" s="82"/>
      <c r="F68" s="82"/>
      <c r="G68" s="82"/>
    </row>
    <row r="69" spans="1:7" ht="12.75">
      <c r="A69" s="82"/>
      <c r="B69" s="82"/>
      <c r="C69" s="82"/>
      <c r="D69" s="82"/>
      <c r="E69" s="82"/>
      <c r="F69" s="82"/>
      <c r="G69" s="82"/>
    </row>
    <row r="70" spans="1:7" ht="12.75">
      <c r="A70" s="82"/>
      <c r="B70" s="82"/>
      <c r="C70" s="82"/>
      <c r="D70" s="82"/>
      <c r="E70" s="82"/>
      <c r="F70" s="82"/>
      <c r="G70" s="82"/>
    </row>
    <row r="71" spans="1:7" ht="12.75">
      <c r="A71" s="82"/>
      <c r="B71" s="82"/>
      <c r="C71" s="82"/>
      <c r="D71" s="82"/>
      <c r="E71" s="82"/>
      <c r="F71" s="82"/>
      <c r="G71" s="82"/>
    </row>
    <row r="72" spans="1:7" ht="12.75">
      <c r="A72" s="82"/>
      <c r="B72" s="82"/>
      <c r="C72" s="82"/>
      <c r="D72" s="82"/>
      <c r="E72" s="82"/>
      <c r="F72" s="82"/>
      <c r="G72" s="82"/>
    </row>
    <row r="73" spans="1:7" ht="12.75">
      <c r="A73" s="82"/>
      <c r="B73" s="82"/>
      <c r="C73" s="82"/>
      <c r="D73" s="82"/>
      <c r="E73" s="82"/>
      <c r="F73" s="82"/>
      <c r="G73" s="82"/>
    </row>
    <row r="74" spans="1:7" ht="12.75">
      <c r="A74" s="82"/>
      <c r="B74" s="82"/>
      <c r="C74" s="82"/>
      <c r="D74" s="82"/>
      <c r="E74" s="82"/>
      <c r="F74" s="82"/>
      <c r="G74" s="82"/>
    </row>
    <row r="75" spans="1:7" ht="12.75">
      <c r="A75" s="82"/>
      <c r="B75" s="82"/>
      <c r="C75" s="82"/>
      <c r="D75" s="82"/>
      <c r="E75" s="82"/>
      <c r="F75" s="82"/>
      <c r="G75" s="82"/>
    </row>
    <row r="76" spans="1:7" ht="12.75">
      <c r="A76" s="82"/>
      <c r="B76" s="82"/>
      <c r="C76" s="82"/>
      <c r="D76" s="82"/>
      <c r="E76" s="82"/>
      <c r="F76" s="82"/>
      <c r="G76" s="82"/>
    </row>
    <row r="77" spans="1:7" ht="12.75">
      <c r="A77" s="82"/>
      <c r="B77" s="82"/>
      <c r="C77" s="82"/>
      <c r="D77" s="82"/>
      <c r="E77" s="82"/>
      <c r="F77" s="82"/>
      <c r="G77" s="82"/>
    </row>
    <row r="78" spans="1:7" ht="12.75">
      <c r="A78" s="82"/>
      <c r="B78" s="82"/>
      <c r="C78" s="82"/>
      <c r="D78" s="82"/>
      <c r="E78" s="82"/>
      <c r="F78" s="82"/>
      <c r="G78" s="82"/>
    </row>
    <row r="79" spans="1:7" ht="12.75">
      <c r="A79" s="82"/>
      <c r="B79" s="82"/>
      <c r="C79" s="82"/>
      <c r="D79" s="82"/>
      <c r="E79" s="82"/>
      <c r="F79" s="82"/>
      <c r="G79" s="82"/>
    </row>
    <row r="80" spans="1:7" ht="12.75">
      <c r="A80" s="82"/>
      <c r="B80" s="82"/>
      <c r="C80" s="82"/>
      <c r="D80" s="82"/>
      <c r="E80" s="82"/>
      <c r="F80" s="82"/>
      <c r="G80" s="82"/>
    </row>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thickBot="1"/>
  </sheetData>
  <sheetProtection algorithmName="SHA-512" hashValue="5ncBoCB3zsHOZk7X0bCsZuPTU63Qd2a/a2UgQNti2APrM9UKpk7F4gXPlL3XgGqRdGo2QDaHjZco7z7+oJkrIg==" saltValue="tc1VOR5mjRpTOvNidahvxA=="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28"/>
  <sheetViews>
    <sheetView workbookViewId="0" topLeftCell="A1">
      <selection pane="topLeft" activeCell="G10" sqref="G10:H10"/>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2"/>
  </cols>
  <sheetData>
    <row r="1" spans="1:10" ht="18" customHeight="1" thickBot="1">
      <c r="A1" s="1001" t="s">
        <v>198</v>
      </c>
      <c r="B1" s="1002"/>
      <c r="C1" s="1002"/>
      <c r="D1" s="1002"/>
      <c r="E1" s="1002"/>
      <c r="F1" s="1002"/>
      <c r="G1" s="1174" t="s">
        <v>40</v>
      </c>
      <c r="H1" s="624"/>
      <c r="I1" s="988" t="str">
        <f>'DAP1'!A9</f>
        <v/>
      </c>
      <c r="J1" s="833"/>
    </row>
    <row r="2" spans="1:10" ht="24" customHeight="1">
      <c r="A2" s="1000" t="s">
        <v>3682</v>
      </c>
      <c r="B2" s="1000"/>
      <c r="C2" s="1000"/>
      <c r="D2" s="1000"/>
      <c r="E2" s="1000"/>
      <c r="F2" s="1000"/>
      <c r="G2" s="510"/>
      <c r="H2" s="1118"/>
      <c r="I2" s="1118"/>
      <c r="J2" s="1118"/>
    </row>
    <row r="3" spans="1:10" ht="36" customHeight="1">
      <c r="A3" s="991" t="s">
        <v>164</v>
      </c>
      <c r="B3" s="992"/>
      <c r="C3" s="992"/>
      <c r="D3" s="992"/>
      <c r="E3" s="992"/>
      <c r="F3" s="992"/>
      <c r="G3" s="992"/>
      <c r="H3" s="992"/>
      <c r="I3" s="992"/>
      <c r="J3" s="992"/>
    </row>
    <row r="4" spans="1:10" ht="30" customHeight="1">
      <c r="A4" s="1175" t="s">
        <v>3475</v>
      </c>
      <c r="B4" s="1176"/>
      <c r="C4" s="1176"/>
      <c r="D4" s="1176"/>
      <c r="E4" s="1176"/>
      <c r="F4" s="1176"/>
      <c r="G4" s="1176"/>
      <c r="H4" s="1176"/>
      <c r="I4" s="1176"/>
      <c r="J4" s="1176"/>
    </row>
    <row r="5" spans="1:10" ht="18" customHeight="1">
      <c r="A5" s="1005" t="s">
        <v>3476</v>
      </c>
      <c r="B5" s="1006"/>
      <c r="C5" s="1006"/>
      <c r="D5" s="1006"/>
      <c r="E5" s="1006"/>
      <c r="F5" s="1006"/>
      <c r="G5" s="1006"/>
      <c r="H5" s="1006"/>
      <c r="I5" s="1006"/>
      <c r="J5" s="1006"/>
    </row>
    <row r="6" spans="1:10" ht="18" customHeight="1" thickBot="1">
      <c r="A6" s="1188" t="s">
        <v>259</v>
      </c>
      <c r="B6" s="1189"/>
      <c r="C6" s="1189"/>
      <c r="D6" s="1189"/>
      <c r="E6" s="1189"/>
      <c r="F6" s="1189"/>
      <c r="G6" s="1189"/>
      <c r="H6" s="1189"/>
      <c r="I6" s="1189"/>
      <c r="J6" s="1189"/>
    </row>
    <row r="7" spans="1:59" s="149" customFormat="1" ht="24" customHeight="1" thickBot="1">
      <c r="A7" s="1164" t="s">
        <v>3477</v>
      </c>
      <c r="B7" s="1165"/>
      <c r="C7" s="1165"/>
      <c r="D7" s="175"/>
      <c r="E7" s="176"/>
      <c r="F7" s="1184" t="s">
        <v>94</v>
      </c>
      <c r="G7" s="1185"/>
      <c r="H7" s="1185"/>
      <c r="I7" s="1185"/>
      <c r="J7" s="175"/>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row>
    <row r="8" spans="1:59" s="481" customFormat="1" ht="9.95" customHeight="1" thickBot="1">
      <c r="A8" s="1188"/>
      <c r="B8" s="1193"/>
      <c r="C8" s="1193"/>
      <c r="D8" s="1193"/>
      <c r="E8" s="1193"/>
      <c r="F8" s="1193"/>
      <c r="G8" s="1193"/>
      <c r="H8" s="1193"/>
      <c r="I8" s="1193"/>
      <c r="J8" s="1193"/>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row>
    <row r="9" spans="1:10" ht="12" customHeight="1">
      <c r="A9" s="1124"/>
      <c r="B9" s="731"/>
      <c r="C9" s="731"/>
      <c r="D9" s="731"/>
      <c r="E9" s="731"/>
      <c r="F9" s="1155"/>
      <c r="G9" s="792" t="s">
        <v>153</v>
      </c>
      <c r="H9" s="1180"/>
      <c r="I9" s="792" t="s">
        <v>161</v>
      </c>
      <c r="J9" s="1181"/>
    </row>
    <row r="10" spans="1:10" ht="21" customHeight="1">
      <c r="A10" s="19">
        <v>201</v>
      </c>
      <c r="B10" s="1186" t="s">
        <v>245</v>
      </c>
      <c r="C10" s="1186"/>
      <c r="D10" s="1186"/>
      <c r="E10" s="1186"/>
      <c r="F10" s="1187"/>
      <c r="G10" s="1166">
        <v>0</v>
      </c>
      <c r="H10" s="1167"/>
      <c r="I10" s="1168"/>
      <c r="J10" s="1169"/>
    </row>
    <row r="11" spans="1:10" ht="21" customHeight="1">
      <c r="A11" s="19" t="s">
        <v>92</v>
      </c>
      <c r="B11" s="1186" t="s">
        <v>3478</v>
      </c>
      <c r="C11" s="1186"/>
      <c r="D11" s="1186"/>
      <c r="E11" s="1186"/>
      <c r="F11" s="1187"/>
      <c r="G11" s="1166">
        <f>+G10</f>
        <v>0</v>
      </c>
      <c r="H11" s="1167"/>
      <c r="I11" s="1168"/>
      <c r="J11" s="1169"/>
    </row>
    <row r="12" spans="1:10" ht="21" customHeight="1">
      <c r="A12" s="19">
        <v>202</v>
      </c>
      <c r="B12" s="1186" t="s">
        <v>246</v>
      </c>
      <c r="C12" s="1186"/>
      <c r="D12" s="1186"/>
      <c r="E12" s="1186"/>
      <c r="F12" s="1187"/>
      <c r="G12" s="1166">
        <f>+MIN(600000,ROUND(G10*0.3,0))</f>
        <v>0</v>
      </c>
      <c r="H12" s="1167"/>
      <c r="I12" s="1168"/>
      <c r="J12" s="1169"/>
    </row>
    <row r="13" spans="1:10" ht="27.95" customHeight="1">
      <c r="A13" s="19">
        <v>203</v>
      </c>
      <c r="B13" s="1171" t="s">
        <v>95</v>
      </c>
      <c r="C13" s="1171"/>
      <c r="D13" s="1171"/>
      <c r="E13" s="1171"/>
      <c r="F13" s="1172"/>
      <c r="G13" s="742">
        <f>+G10-G12</f>
        <v>0</v>
      </c>
      <c r="H13" s="1170"/>
      <c r="I13" s="1168"/>
      <c r="J13" s="1169"/>
    </row>
    <row r="14" spans="1:10" ht="36" customHeight="1">
      <c r="A14" s="19">
        <v>204</v>
      </c>
      <c r="B14" s="1171" t="s">
        <v>3576</v>
      </c>
      <c r="C14" s="1171"/>
      <c r="D14" s="1171"/>
      <c r="E14" s="1171"/>
      <c r="F14" s="1172"/>
      <c r="G14" s="1166">
        <v>0</v>
      </c>
      <c r="H14" s="1167"/>
      <c r="I14" s="1168"/>
      <c r="J14" s="1169"/>
    </row>
    <row r="15" spans="1:10" ht="36" customHeight="1">
      <c r="A15" s="19">
        <v>205</v>
      </c>
      <c r="B15" s="1171" t="s">
        <v>3577</v>
      </c>
      <c r="C15" s="1171"/>
      <c r="D15" s="1171"/>
      <c r="E15" s="1171"/>
      <c r="F15" s="1172"/>
      <c r="G15" s="1166">
        <v>0</v>
      </c>
      <c r="H15" s="1167"/>
      <c r="I15" s="1168"/>
      <c r="J15" s="1169"/>
    </row>
    <row r="16" spans="1:10" ht="27.95" customHeight="1" thickBot="1">
      <c r="A16" s="18">
        <v>206</v>
      </c>
      <c r="B16" s="765" t="s">
        <v>3683</v>
      </c>
      <c r="C16" s="765"/>
      <c r="D16" s="765"/>
      <c r="E16" s="765"/>
      <c r="F16" s="1173"/>
      <c r="G16" s="739">
        <f>+G13+G14-G15</f>
        <v>0</v>
      </c>
      <c r="H16" s="1190"/>
      <c r="I16" s="1191"/>
      <c r="J16" s="1192"/>
    </row>
    <row r="17" spans="1:10" ht="8.1" customHeight="1" thickBot="1">
      <c r="A17" s="1005"/>
      <c r="B17" s="1006"/>
      <c r="C17" s="1006"/>
      <c r="D17" s="1006"/>
      <c r="E17" s="1006"/>
      <c r="F17" s="1006"/>
      <c r="G17" s="1006"/>
      <c r="H17" s="1006"/>
      <c r="I17" s="1006"/>
      <c r="J17" s="1006"/>
    </row>
    <row r="18" spans="1:10" ht="24" customHeight="1" thickBot="1">
      <c r="A18" s="1194" t="s">
        <v>255</v>
      </c>
      <c r="B18" s="1195"/>
      <c r="C18" s="1197">
        <v>0</v>
      </c>
      <c r="D18" s="1198"/>
      <c r="E18" s="1199"/>
      <c r="F18" s="1196" t="s">
        <v>256</v>
      </c>
      <c r="G18" s="1195"/>
      <c r="H18" s="1197">
        <v>0</v>
      </c>
      <c r="I18" s="1198"/>
      <c r="J18" s="1200"/>
    </row>
    <row r="19" spans="1:10" ht="12" customHeight="1">
      <c r="A19" s="1005"/>
      <c r="B19" s="1006"/>
      <c r="C19" s="1006"/>
      <c r="D19" s="1006"/>
      <c r="E19" s="1006"/>
      <c r="F19" s="1006"/>
      <c r="G19" s="1006"/>
      <c r="H19" s="1006"/>
      <c r="I19" s="1006"/>
      <c r="J19" s="1006"/>
    </row>
    <row r="20" spans="1:10" ht="15.95" customHeight="1">
      <c r="A20" s="1005" t="s">
        <v>3479</v>
      </c>
      <c r="B20" s="1006"/>
      <c r="C20" s="1006"/>
      <c r="D20" s="1006"/>
      <c r="E20" s="1006"/>
      <c r="F20" s="1006"/>
      <c r="G20" s="1006"/>
      <c r="H20" s="1006"/>
      <c r="I20" s="1006"/>
      <c r="J20" s="1006"/>
    </row>
    <row r="21" spans="1:10" ht="15.95" customHeight="1" thickBot="1">
      <c r="A21" s="1188" t="s">
        <v>247</v>
      </c>
      <c r="B21" s="1189"/>
      <c r="C21" s="1189"/>
      <c r="D21" s="1189"/>
      <c r="E21" s="1189"/>
      <c r="F21" s="1189"/>
      <c r="G21" s="1189"/>
      <c r="H21" s="1189"/>
      <c r="I21" s="1189"/>
      <c r="J21" s="1189"/>
    </row>
    <row r="22" spans="1:10" ht="24" customHeight="1">
      <c r="A22" s="1132" t="s">
        <v>156</v>
      </c>
      <c r="B22" s="674"/>
      <c r="C22" s="1125"/>
      <c r="D22" s="1008" t="s">
        <v>150</v>
      </c>
      <c r="E22" s="1134"/>
      <c r="F22" s="1008" t="s">
        <v>151</v>
      </c>
      <c r="G22" s="1134"/>
      <c r="H22" s="1162" t="s">
        <v>3480</v>
      </c>
      <c r="I22" s="820"/>
      <c r="J22" s="129" t="s">
        <v>103</v>
      </c>
    </row>
    <row r="23" spans="1:10" ht="12.75">
      <c r="A23" s="1133">
        <v>1</v>
      </c>
      <c r="B23" s="551"/>
      <c r="C23" s="709"/>
      <c r="D23" s="1135">
        <v>2</v>
      </c>
      <c r="E23" s="1136"/>
      <c r="F23" s="1135">
        <v>3</v>
      </c>
      <c r="G23" s="1136"/>
      <c r="H23" s="1135">
        <v>4</v>
      </c>
      <c r="I23" s="1163"/>
      <c r="J23" s="8">
        <v>5</v>
      </c>
    </row>
    <row r="24" spans="1:10" ht="21" customHeight="1">
      <c r="A24" s="19">
        <v>1</v>
      </c>
      <c r="B24" s="1138"/>
      <c r="C24" s="530"/>
      <c r="D24" s="1146">
        <v>0</v>
      </c>
      <c r="E24" s="1147"/>
      <c r="F24" s="1146">
        <v>0</v>
      </c>
      <c r="G24" s="1147"/>
      <c r="H24" s="1148">
        <f>+D24-F24</f>
        <v>0</v>
      </c>
      <c r="I24" s="1149"/>
      <c r="J24" s="109"/>
    </row>
    <row r="25" spans="1:10" ht="21" customHeight="1">
      <c r="A25" s="19">
        <v>2</v>
      </c>
      <c r="B25" s="1138"/>
      <c r="C25" s="530"/>
      <c r="D25" s="1146">
        <v>0</v>
      </c>
      <c r="E25" s="1147"/>
      <c r="F25" s="1146">
        <v>0</v>
      </c>
      <c r="G25" s="1147"/>
      <c r="H25" s="1148">
        <f t="shared" si="0" ref="H25:H27">+D25-F25</f>
        <v>0</v>
      </c>
      <c r="I25" s="1149"/>
      <c r="J25" s="109"/>
    </row>
    <row r="26" spans="1:10" ht="21" customHeight="1">
      <c r="A26" s="19">
        <v>3</v>
      </c>
      <c r="B26" s="1138"/>
      <c r="C26" s="530"/>
      <c r="D26" s="1146">
        <v>0</v>
      </c>
      <c r="E26" s="1147"/>
      <c r="F26" s="1146">
        <v>0</v>
      </c>
      <c r="G26" s="1147"/>
      <c r="H26" s="1148">
        <f t="shared" si="0"/>
        <v>0</v>
      </c>
      <c r="I26" s="1149"/>
      <c r="J26" s="109"/>
    </row>
    <row r="27" spans="1:10" ht="21" customHeight="1">
      <c r="A27" s="19">
        <v>4</v>
      </c>
      <c r="B27" s="1138"/>
      <c r="C27" s="530"/>
      <c r="D27" s="1146">
        <v>0</v>
      </c>
      <c r="E27" s="1147"/>
      <c r="F27" s="1146">
        <v>0</v>
      </c>
      <c r="G27" s="1147"/>
      <c r="H27" s="1148">
        <f t="shared" si="0"/>
        <v>0</v>
      </c>
      <c r="I27" s="1149"/>
      <c r="J27" s="109"/>
    </row>
    <row r="28" spans="1:10" ht="21" customHeight="1" thickBot="1">
      <c r="A28" s="1137" t="s">
        <v>123</v>
      </c>
      <c r="B28" s="772"/>
      <c r="C28" s="720"/>
      <c r="D28" s="1150">
        <f>SUM(D24:D27)</f>
        <v>0</v>
      </c>
      <c r="E28" s="1151"/>
      <c r="F28" s="1150">
        <f>SUM(F24:F27)</f>
        <v>0</v>
      </c>
      <c r="G28" s="1151"/>
      <c r="H28" s="1150">
        <f>+MAX(H24,0)+MAX(H25,0)+MAX(H26,0)+MAX(H27,0)</f>
        <v>0</v>
      </c>
      <c r="I28" s="1151"/>
      <c r="J28" s="20" t="s">
        <v>146</v>
      </c>
    </row>
    <row r="29" spans="1:10" ht="5.1" customHeight="1" thickBot="1">
      <c r="A29" s="1139"/>
      <c r="B29" s="621"/>
      <c r="C29" s="621"/>
      <c r="D29" s="621"/>
      <c r="E29" s="621"/>
      <c r="F29" s="621"/>
      <c r="G29" s="621"/>
      <c r="H29" s="621"/>
      <c r="I29" s="621"/>
      <c r="J29" s="621"/>
    </row>
    <row r="30" spans="1:10" ht="24" customHeight="1" thickBot="1">
      <c r="A30" s="1140" t="s">
        <v>93</v>
      </c>
      <c r="B30" s="1141"/>
      <c r="C30" s="1142"/>
      <c r="D30" s="1143"/>
      <c r="E30" s="1144"/>
      <c r="F30" s="1145"/>
      <c r="G30" s="1145"/>
      <c r="H30" s="1145"/>
      <c r="I30" s="1145"/>
      <c r="J30" s="1145"/>
    </row>
    <row r="31" spans="1:10" ht="5.1" customHeight="1" thickBot="1">
      <c r="A31" s="1154"/>
      <c r="B31" s="637"/>
      <c r="C31" s="637"/>
      <c r="D31" s="637"/>
      <c r="E31" s="637"/>
      <c r="F31" s="637"/>
      <c r="G31" s="637"/>
      <c r="H31" s="637"/>
      <c r="I31" s="637"/>
      <c r="J31" s="637"/>
    </row>
    <row r="32" spans="1:10" ht="15.95" customHeight="1">
      <c r="A32" s="1124"/>
      <c r="B32" s="731"/>
      <c r="C32" s="731"/>
      <c r="D32" s="731"/>
      <c r="E32" s="731"/>
      <c r="F32" s="1155"/>
      <c r="G32" s="1159" t="s">
        <v>153</v>
      </c>
      <c r="H32" s="1160"/>
      <c r="I32" s="1159" t="s">
        <v>161</v>
      </c>
      <c r="J32" s="1161"/>
    </row>
    <row r="33" spans="1:10" ht="21" customHeight="1">
      <c r="A33" s="19">
        <v>207</v>
      </c>
      <c r="B33" s="986" t="s">
        <v>9</v>
      </c>
      <c r="C33" s="986"/>
      <c r="D33" s="986"/>
      <c r="E33" s="986"/>
      <c r="F33" s="987"/>
      <c r="G33" s="982">
        <f>+SUM(D24:E27)</f>
        <v>0</v>
      </c>
      <c r="H33" s="754"/>
      <c r="I33" s="1158"/>
      <c r="J33" s="665"/>
    </row>
    <row r="34" spans="1:10" ht="21" customHeight="1">
      <c r="A34" s="19">
        <v>208</v>
      </c>
      <c r="B34" s="986" t="s">
        <v>3481</v>
      </c>
      <c r="C34" s="986"/>
      <c r="D34" s="986"/>
      <c r="E34" s="986"/>
      <c r="F34" s="987"/>
      <c r="G34" s="982">
        <f>+G33-H28</f>
        <v>0</v>
      </c>
      <c r="H34" s="754"/>
      <c r="I34" s="1158"/>
      <c r="J34" s="665"/>
    </row>
    <row r="35" spans="1:59" s="96" customFormat="1" ht="21" customHeight="1" thickBot="1">
      <c r="A35" s="18">
        <v>209</v>
      </c>
      <c r="B35" s="1156" t="s">
        <v>125</v>
      </c>
      <c r="C35" s="1156"/>
      <c r="D35" s="1156"/>
      <c r="E35" s="1156"/>
      <c r="F35" s="1157"/>
      <c r="G35" s="1152">
        <f>+G33-G34</f>
        <v>0</v>
      </c>
      <c r="H35" s="741"/>
      <c r="I35" s="1153"/>
      <c r="J35" s="683"/>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row>
    <row r="36" spans="1:10" ht="10.5" customHeight="1">
      <c r="A36" s="1177" t="s">
        <v>96</v>
      </c>
      <c r="B36" s="1007"/>
      <c r="C36" s="1007"/>
      <c r="D36" s="1007"/>
      <c r="E36" s="1007"/>
      <c r="F36" s="1007"/>
      <c r="G36" s="1007"/>
      <c r="H36" s="1007"/>
      <c r="I36" s="1007"/>
      <c r="J36" s="1007"/>
    </row>
    <row r="37" spans="1:10" ht="30" customHeight="1">
      <c r="A37" s="1178" t="s">
        <v>3482</v>
      </c>
      <c r="B37" s="1179"/>
      <c r="C37" s="1179"/>
      <c r="D37" s="1179"/>
      <c r="E37" s="1179"/>
      <c r="F37" s="1179"/>
      <c r="G37" s="1179"/>
      <c r="H37" s="1179"/>
      <c r="I37" s="1179"/>
      <c r="J37" s="1179"/>
    </row>
    <row r="38" spans="1:10" ht="12.75" customHeight="1">
      <c r="A38" s="1182" t="str">
        <f>+'DAP1'!A46</f>
        <v>Formulář zpracovala ASPEKT HM, daňová, účetní a auditorská kancelář, www.danovapriznani.cz, business.center.cz</v>
      </c>
      <c r="B38" s="1183"/>
      <c r="C38" s="1183"/>
      <c r="D38" s="1183"/>
      <c r="E38" s="1183"/>
      <c r="F38" s="1183"/>
      <c r="G38" s="1183"/>
      <c r="H38" s="1183"/>
      <c r="I38" s="1183"/>
      <c r="J38" s="1183"/>
    </row>
    <row r="39" spans="1:10" ht="12.75" customHeight="1">
      <c r="A39" s="1051" t="s">
        <v>3684</v>
      </c>
      <c r="B39" s="1051"/>
      <c r="C39" s="1051"/>
      <c r="D39" s="1051"/>
      <c r="E39" s="1051"/>
      <c r="F39" s="1051"/>
      <c r="G39" s="1051"/>
      <c r="H39" s="1051"/>
      <c r="I39" s="1051"/>
      <c r="J39" s="1051"/>
    </row>
    <row r="40" spans="1:10" ht="12" customHeight="1">
      <c r="A40" s="1049" t="s">
        <v>279</v>
      </c>
      <c r="B40" s="1049"/>
      <c r="C40" s="1049"/>
      <c r="D40" s="1049"/>
      <c r="E40" s="1049"/>
      <c r="F40" s="1049"/>
      <c r="G40" s="1049"/>
      <c r="H40" s="510"/>
      <c r="I40" s="510"/>
      <c r="J40" s="510"/>
    </row>
    <row r="41" spans="1:10" ht="12.75">
      <c r="A41" s="82"/>
      <c r="B41" s="82"/>
      <c r="C41" s="82"/>
      <c r="D41" s="82"/>
      <c r="E41" s="82"/>
      <c r="F41" s="82"/>
      <c r="G41" s="82"/>
      <c r="H41" s="82"/>
      <c r="I41" s="82"/>
      <c r="J41" s="82"/>
    </row>
    <row r="42" spans="1:10" ht="12.75">
      <c r="A42" s="82"/>
      <c r="B42" s="82"/>
      <c r="C42" s="82"/>
      <c r="D42" s="82"/>
      <c r="E42" s="82"/>
      <c r="F42" s="82"/>
      <c r="G42" s="82"/>
      <c r="H42" s="82"/>
      <c r="I42" s="82"/>
      <c r="J42" s="82"/>
    </row>
    <row r="43" spans="1:10" ht="12.75">
      <c r="A43" s="82"/>
      <c r="B43" s="82"/>
      <c r="C43" s="82"/>
      <c r="D43" s="82"/>
      <c r="E43" s="82"/>
      <c r="F43" s="82"/>
      <c r="G43" s="82"/>
      <c r="H43" s="82"/>
      <c r="I43" s="82"/>
      <c r="J43" s="82"/>
    </row>
    <row r="44" spans="1:10" ht="12.75">
      <c r="A44" s="82"/>
      <c r="B44" s="82"/>
      <c r="C44" s="82"/>
      <c r="D44" s="82"/>
      <c r="E44" s="82"/>
      <c r="F44" s="82"/>
      <c r="G44" s="82"/>
      <c r="H44" s="82"/>
      <c r="I44" s="82"/>
      <c r="J44" s="82"/>
    </row>
    <row r="45" spans="1:10" ht="12.75">
      <c r="A45" s="82"/>
      <c r="B45" s="82"/>
      <c r="C45" s="82"/>
      <c r="D45" s="82"/>
      <c r="E45" s="82"/>
      <c r="F45" s="82"/>
      <c r="G45" s="82"/>
      <c r="H45" s="82"/>
      <c r="I45" s="82"/>
      <c r="J45" s="82"/>
    </row>
    <row r="46" spans="1:10" ht="12.75">
      <c r="A46" s="82"/>
      <c r="B46" s="82"/>
      <c r="C46" s="82"/>
      <c r="D46" s="82"/>
      <c r="E46" s="82"/>
      <c r="F46" s="82"/>
      <c r="G46" s="82"/>
      <c r="H46" s="82"/>
      <c r="I46" s="82"/>
      <c r="J46" s="82"/>
    </row>
    <row r="47" spans="1:10" ht="12.75">
      <c r="A47" s="82"/>
      <c r="B47" s="82"/>
      <c r="C47" s="82"/>
      <c r="D47" s="82"/>
      <c r="E47" s="82"/>
      <c r="F47" s="82"/>
      <c r="G47" s="82"/>
      <c r="H47" s="82"/>
      <c r="I47" s="82"/>
      <c r="J47" s="82"/>
    </row>
    <row r="48" spans="1:10" ht="12.75">
      <c r="A48" s="82"/>
      <c r="B48" s="82"/>
      <c r="C48" s="82"/>
      <c r="D48" s="82"/>
      <c r="E48" s="82"/>
      <c r="F48" s="82"/>
      <c r="G48" s="82"/>
      <c r="H48" s="82"/>
      <c r="I48" s="82"/>
      <c r="J48" s="82"/>
    </row>
    <row r="49" spans="1:10" ht="12.75">
      <c r="A49" s="82"/>
      <c r="B49" s="82"/>
      <c r="C49" s="82"/>
      <c r="D49" s="82"/>
      <c r="E49" s="82"/>
      <c r="F49" s="82"/>
      <c r="G49" s="82"/>
      <c r="H49" s="82"/>
      <c r="I49" s="82"/>
      <c r="J49" s="82"/>
    </row>
    <row r="50" spans="1:10" ht="12.75">
      <c r="A50" s="82"/>
      <c r="B50" s="82"/>
      <c r="C50" s="82"/>
      <c r="D50" s="82"/>
      <c r="E50" s="82"/>
      <c r="F50" s="82"/>
      <c r="G50" s="82"/>
      <c r="H50" s="82"/>
      <c r="I50" s="82"/>
      <c r="J50" s="82"/>
    </row>
    <row r="51" spans="1:10" ht="12.75">
      <c r="A51" s="82"/>
      <c r="B51" s="82"/>
      <c r="C51" s="82"/>
      <c r="D51" s="82"/>
      <c r="E51" s="82"/>
      <c r="F51" s="82"/>
      <c r="G51" s="82"/>
      <c r="H51" s="82"/>
      <c r="I51" s="82"/>
      <c r="J51" s="82"/>
    </row>
    <row r="52" spans="1:10" ht="12.75">
      <c r="A52" s="82"/>
      <c r="B52" s="82"/>
      <c r="C52" s="82"/>
      <c r="D52" s="82"/>
      <c r="E52" s="82"/>
      <c r="F52" s="82"/>
      <c r="G52" s="82"/>
      <c r="H52" s="82"/>
      <c r="I52" s="82"/>
      <c r="J52" s="82"/>
    </row>
    <row r="53" spans="1:10" ht="12.75">
      <c r="A53" s="82"/>
      <c r="B53" s="82"/>
      <c r="C53" s="82"/>
      <c r="D53" s="82"/>
      <c r="E53" s="82"/>
      <c r="F53" s="82"/>
      <c r="G53" s="82"/>
      <c r="H53" s="82"/>
      <c r="I53" s="82"/>
      <c r="J53" s="82"/>
    </row>
    <row r="54" spans="1:10" ht="12.75">
      <c r="A54" s="82"/>
      <c r="B54" s="82"/>
      <c r="C54" s="82"/>
      <c r="D54" s="82"/>
      <c r="E54" s="82"/>
      <c r="F54" s="82"/>
      <c r="G54" s="82"/>
      <c r="H54" s="82"/>
      <c r="I54" s="82"/>
      <c r="J54" s="82"/>
    </row>
    <row r="55" spans="1:10" ht="12.75">
      <c r="A55" s="82"/>
      <c r="B55" s="82"/>
      <c r="C55" s="82"/>
      <c r="D55" s="82"/>
      <c r="E55" s="82"/>
      <c r="F55" s="82"/>
      <c r="G55" s="82"/>
      <c r="H55" s="82"/>
      <c r="I55" s="82"/>
      <c r="J55" s="82"/>
    </row>
    <row r="56" spans="1:10" ht="12.75">
      <c r="A56" s="82"/>
      <c r="B56" s="82"/>
      <c r="C56" s="82"/>
      <c r="D56" s="82"/>
      <c r="E56" s="82"/>
      <c r="F56" s="82"/>
      <c r="G56" s="82"/>
      <c r="H56" s="82"/>
      <c r="I56" s="82"/>
      <c r="J56" s="82"/>
    </row>
    <row r="57" spans="1:10" ht="12.75">
      <c r="A57" s="82"/>
      <c r="B57" s="82"/>
      <c r="C57" s="82"/>
      <c r="D57" s="82"/>
      <c r="E57" s="82"/>
      <c r="F57" s="82"/>
      <c r="G57" s="82"/>
      <c r="H57" s="82"/>
      <c r="I57" s="82"/>
      <c r="J57" s="82"/>
    </row>
    <row r="58" spans="1:10" ht="12.75">
      <c r="A58" s="82"/>
      <c r="B58" s="82"/>
      <c r="C58" s="82"/>
      <c r="D58" s="82"/>
      <c r="E58" s="82"/>
      <c r="F58" s="82"/>
      <c r="G58" s="82"/>
      <c r="H58" s="82"/>
      <c r="I58" s="82"/>
      <c r="J58" s="82"/>
    </row>
    <row r="59" spans="1:10" ht="12.75">
      <c r="A59" s="82"/>
      <c r="B59" s="82"/>
      <c r="C59" s="82"/>
      <c r="D59" s="82"/>
      <c r="E59" s="82"/>
      <c r="F59" s="82"/>
      <c r="G59" s="82"/>
      <c r="H59" s="82"/>
      <c r="I59" s="82"/>
      <c r="J59" s="82"/>
    </row>
    <row r="60" spans="1:10" ht="12.75">
      <c r="A60" s="82"/>
      <c r="B60" s="82"/>
      <c r="C60" s="82"/>
      <c r="D60" s="82"/>
      <c r="E60" s="82"/>
      <c r="F60" s="82"/>
      <c r="G60" s="82"/>
      <c r="H60" s="82"/>
      <c r="I60" s="82"/>
      <c r="J60" s="82"/>
    </row>
    <row r="61" spans="1:10" ht="12.75">
      <c r="A61" s="82"/>
      <c r="B61" s="82"/>
      <c r="C61" s="82"/>
      <c r="D61" s="82"/>
      <c r="E61" s="82"/>
      <c r="F61" s="82"/>
      <c r="G61" s="82"/>
      <c r="H61" s="82"/>
      <c r="I61" s="82"/>
      <c r="J61" s="82"/>
    </row>
    <row r="62" spans="1:10" ht="12.75">
      <c r="A62" s="82"/>
      <c r="B62" s="82"/>
      <c r="C62" s="82"/>
      <c r="D62" s="82"/>
      <c r="E62" s="82"/>
      <c r="F62" s="82"/>
      <c r="G62" s="82"/>
      <c r="H62" s="82"/>
      <c r="I62" s="82"/>
      <c r="J62" s="82"/>
    </row>
    <row r="63" spans="1:10" ht="12.75">
      <c r="A63" s="82"/>
      <c r="B63" s="82"/>
      <c r="C63" s="82"/>
      <c r="D63" s="82"/>
      <c r="E63" s="82"/>
      <c r="F63" s="82"/>
      <c r="G63" s="82"/>
      <c r="H63" s="82"/>
      <c r="I63" s="82"/>
      <c r="J63" s="82"/>
    </row>
    <row r="64" spans="1:10" ht="12.75">
      <c r="A64" s="82"/>
      <c r="B64" s="82"/>
      <c r="C64" s="82"/>
      <c r="D64" s="82"/>
      <c r="E64" s="82"/>
      <c r="F64" s="82"/>
      <c r="G64" s="82"/>
      <c r="H64" s="82"/>
      <c r="I64" s="82"/>
      <c r="J64" s="82"/>
    </row>
    <row r="65" spans="1:10" ht="12.75">
      <c r="A65" s="82"/>
      <c r="B65" s="82"/>
      <c r="C65" s="82"/>
      <c r="D65" s="82"/>
      <c r="E65" s="82"/>
      <c r="F65" s="82"/>
      <c r="G65" s="82"/>
      <c r="H65" s="82"/>
      <c r="I65" s="82"/>
      <c r="J65" s="82"/>
    </row>
    <row r="66" spans="1:10" ht="12.75">
      <c r="A66" s="82"/>
      <c r="B66" s="82"/>
      <c r="C66" s="82"/>
      <c r="D66" s="82"/>
      <c r="E66" s="82"/>
      <c r="F66" s="82"/>
      <c r="G66" s="82"/>
      <c r="H66" s="82"/>
      <c r="I66" s="82"/>
      <c r="J66" s="82"/>
    </row>
    <row r="67" spans="1:10" ht="12.75">
      <c r="A67" s="82"/>
      <c r="B67" s="82"/>
      <c r="C67" s="82"/>
      <c r="D67" s="82"/>
      <c r="E67" s="82"/>
      <c r="F67" s="82"/>
      <c r="G67" s="82"/>
      <c r="H67" s="82"/>
      <c r="I67" s="82"/>
      <c r="J67" s="82"/>
    </row>
    <row r="68" spans="1:10" ht="12.75">
      <c r="A68" s="82"/>
      <c r="B68" s="82"/>
      <c r="C68" s="82"/>
      <c r="D68" s="82"/>
      <c r="E68" s="82"/>
      <c r="F68" s="82"/>
      <c r="G68" s="82"/>
      <c r="H68" s="82"/>
      <c r="I68" s="82"/>
      <c r="J68" s="82"/>
    </row>
    <row r="69" spans="1:10" ht="12.75">
      <c r="A69" s="82"/>
      <c r="B69" s="82"/>
      <c r="C69" s="82"/>
      <c r="D69" s="82"/>
      <c r="E69" s="82"/>
      <c r="F69" s="82"/>
      <c r="G69" s="82"/>
      <c r="H69" s="82"/>
      <c r="I69" s="82"/>
      <c r="J69" s="82"/>
    </row>
    <row r="70" spans="1:10" ht="12.75">
      <c r="A70" s="82"/>
      <c r="B70" s="82"/>
      <c r="C70" s="82"/>
      <c r="D70" s="82"/>
      <c r="E70" s="82"/>
      <c r="F70" s="82"/>
      <c r="G70" s="82"/>
      <c r="H70" s="82"/>
      <c r="I70" s="82"/>
      <c r="J70" s="82"/>
    </row>
    <row r="71" spans="1:10" ht="12.75">
      <c r="A71" s="82"/>
      <c r="B71" s="82"/>
      <c r="C71" s="82"/>
      <c r="D71" s="82"/>
      <c r="E71" s="82"/>
      <c r="F71" s="82"/>
      <c r="G71" s="82"/>
      <c r="H71" s="82"/>
      <c r="I71" s="82"/>
      <c r="J71" s="82"/>
    </row>
    <row r="72" spans="1:10" ht="12.75">
      <c r="A72" s="82"/>
      <c r="B72" s="82"/>
      <c r="C72" s="82"/>
      <c r="D72" s="82"/>
      <c r="E72" s="82"/>
      <c r="F72" s="82"/>
      <c r="G72" s="82"/>
      <c r="H72" s="82"/>
      <c r="I72" s="82"/>
      <c r="J72" s="82"/>
    </row>
    <row r="73" spans="1:10" ht="12.75">
      <c r="A73" s="82"/>
      <c r="B73" s="82"/>
      <c r="C73" s="82"/>
      <c r="D73" s="82"/>
      <c r="E73" s="82"/>
      <c r="F73" s="82"/>
      <c r="G73" s="82"/>
      <c r="H73" s="82"/>
      <c r="I73" s="82"/>
      <c r="J73" s="82"/>
    </row>
    <row r="74" spans="1:10" ht="12.75">
      <c r="A74" s="82"/>
      <c r="B74" s="82"/>
      <c r="C74" s="82"/>
      <c r="D74" s="82"/>
      <c r="E74" s="82"/>
      <c r="F74" s="82"/>
      <c r="G74" s="82"/>
      <c r="H74" s="82"/>
      <c r="I74" s="82"/>
      <c r="J74" s="82"/>
    </row>
    <row r="75" spans="1:10" ht="12.75">
      <c r="A75" s="82"/>
      <c r="B75" s="82"/>
      <c r="C75" s="82"/>
      <c r="D75" s="82"/>
      <c r="E75" s="82"/>
      <c r="F75" s="82"/>
      <c r="G75" s="82"/>
      <c r="H75" s="82"/>
      <c r="I75" s="82"/>
      <c r="J75" s="82"/>
    </row>
    <row r="76" spans="1:10" ht="12.75">
      <c r="A76" s="82"/>
      <c r="B76" s="82"/>
      <c r="C76" s="82"/>
      <c r="D76" s="82"/>
      <c r="E76" s="82"/>
      <c r="F76" s="82"/>
      <c r="G76" s="82"/>
      <c r="H76" s="82"/>
      <c r="I76" s="82"/>
      <c r="J76" s="82"/>
    </row>
    <row r="77" spans="1:10" ht="12.75">
      <c r="A77" s="82"/>
      <c r="B77" s="82"/>
      <c r="C77" s="82"/>
      <c r="D77" s="82"/>
      <c r="E77" s="82"/>
      <c r="F77" s="82"/>
      <c r="G77" s="82"/>
      <c r="H77" s="82"/>
      <c r="I77" s="82"/>
      <c r="J77" s="82"/>
    </row>
    <row r="78" spans="1:10" ht="12.75">
      <c r="A78" s="82"/>
      <c r="B78" s="82"/>
      <c r="C78" s="82"/>
      <c r="D78" s="82"/>
      <c r="E78" s="82"/>
      <c r="F78" s="82"/>
      <c r="G78" s="82"/>
      <c r="H78" s="82"/>
      <c r="I78" s="82"/>
      <c r="J78" s="82"/>
    </row>
    <row r="79" spans="1:10" ht="12.75">
      <c r="A79" s="82"/>
      <c r="B79" s="82"/>
      <c r="C79" s="82"/>
      <c r="D79" s="82"/>
      <c r="E79" s="82"/>
      <c r="F79" s="82"/>
      <c r="G79" s="82"/>
      <c r="H79" s="82"/>
      <c r="I79" s="82"/>
      <c r="J79" s="82"/>
    </row>
    <row r="80" spans="1:10" ht="12.75">
      <c r="A80" s="82"/>
      <c r="B80" s="82"/>
      <c r="C80" s="82"/>
      <c r="D80" s="82"/>
      <c r="E80" s="82"/>
      <c r="F80" s="82"/>
      <c r="G80" s="82"/>
      <c r="H80" s="82"/>
      <c r="I80" s="82"/>
      <c r="J80" s="82"/>
    </row>
    <row r="81" spans="1:10" ht="12.75">
      <c r="A81" s="82"/>
      <c r="B81" s="82"/>
      <c r="C81" s="82"/>
      <c r="D81" s="82"/>
      <c r="E81" s="82"/>
      <c r="F81" s="82"/>
      <c r="G81" s="82"/>
      <c r="H81" s="82"/>
      <c r="I81" s="82"/>
      <c r="J81" s="82"/>
    </row>
    <row r="82" spans="1:10" ht="12.75">
      <c r="A82" s="82"/>
      <c r="B82" s="82"/>
      <c r="C82" s="82"/>
      <c r="D82" s="82"/>
      <c r="E82" s="82"/>
      <c r="F82" s="82"/>
      <c r="G82" s="82"/>
      <c r="H82" s="82"/>
      <c r="I82" s="82"/>
      <c r="J82" s="82"/>
    </row>
    <row r="83" spans="1:10" ht="12.75">
      <c r="A83" s="82"/>
      <c r="B83" s="82"/>
      <c r="C83" s="82"/>
      <c r="D83" s="82"/>
      <c r="E83" s="82"/>
      <c r="F83" s="82"/>
      <c r="G83" s="82"/>
      <c r="H83" s="82"/>
      <c r="I83" s="82"/>
      <c r="J83" s="82"/>
    </row>
    <row r="84" spans="1:10" ht="12.75">
      <c r="A84" s="82"/>
      <c r="B84" s="82"/>
      <c r="C84" s="82"/>
      <c r="D84" s="82"/>
      <c r="E84" s="82"/>
      <c r="F84" s="82"/>
      <c r="G84" s="82"/>
      <c r="H84" s="82"/>
      <c r="I84" s="82"/>
      <c r="J84" s="82"/>
    </row>
    <row r="85" spans="1:10" ht="12.75">
      <c r="A85" s="82"/>
      <c r="B85" s="82"/>
      <c r="C85" s="82"/>
      <c r="D85" s="82"/>
      <c r="E85" s="82"/>
      <c r="F85" s="82"/>
      <c r="G85" s="82"/>
      <c r="H85" s="82"/>
      <c r="I85" s="82"/>
      <c r="J85" s="82"/>
    </row>
    <row r="86" spans="1:10" ht="12.75">
      <c r="A86" s="82"/>
      <c r="B86" s="82"/>
      <c r="C86" s="82"/>
      <c r="D86" s="82"/>
      <c r="E86" s="82"/>
      <c r="F86" s="82"/>
      <c r="G86" s="82"/>
      <c r="H86" s="82"/>
      <c r="I86" s="82"/>
      <c r="J86" s="82"/>
    </row>
    <row r="87" spans="1:10" ht="12.75">
      <c r="A87" s="82"/>
      <c r="B87" s="82"/>
      <c r="C87" s="82"/>
      <c r="D87" s="82"/>
      <c r="E87" s="82"/>
      <c r="F87" s="82"/>
      <c r="G87" s="82"/>
      <c r="H87" s="82"/>
      <c r="I87" s="82"/>
      <c r="J87" s="82"/>
    </row>
    <row r="88" spans="1:10" ht="12.75">
      <c r="A88" s="82"/>
      <c r="B88" s="82"/>
      <c r="C88" s="82"/>
      <c r="D88" s="82"/>
      <c r="E88" s="82"/>
      <c r="F88" s="82"/>
      <c r="G88" s="82"/>
      <c r="H88" s="82"/>
      <c r="I88" s="82"/>
      <c r="J88" s="82"/>
    </row>
    <row r="89" spans="1:10" ht="12.75">
      <c r="A89" s="82"/>
      <c r="B89" s="82"/>
      <c r="C89" s="82"/>
      <c r="D89" s="82"/>
      <c r="E89" s="82"/>
      <c r="F89" s="82"/>
      <c r="G89" s="82"/>
      <c r="H89" s="82"/>
      <c r="I89" s="82"/>
      <c r="J89" s="82"/>
    </row>
    <row r="90" spans="1:10" ht="12.75">
      <c r="A90" s="82"/>
      <c r="B90" s="82"/>
      <c r="C90" s="82"/>
      <c r="D90" s="82"/>
      <c r="E90" s="82"/>
      <c r="F90" s="82"/>
      <c r="G90" s="82"/>
      <c r="H90" s="82"/>
      <c r="I90" s="82"/>
      <c r="J90" s="82"/>
    </row>
    <row r="91" spans="1:10" ht="12.75">
      <c r="A91" s="82"/>
      <c r="B91" s="82"/>
      <c r="C91" s="82"/>
      <c r="D91" s="82"/>
      <c r="E91" s="82"/>
      <c r="F91" s="82"/>
      <c r="G91" s="82"/>
      <c r="H91" s="82"/>
      <c r="I91" s="82"/>
      <c r="J91" s="82"/>
    </row>
    <row r="92" spans="1:10" ht="12.75">
      <c r="A92" s="82"/>
      <c r="B92" s="82"/>
      <c r="C92" s="82"/>
      <c r="D92" s="82"/>
      <c r="E92" s="82"/>
      <c r="F92" s="82"/>
      <c r="G92" s="82"/>
      <c r="H92" s="82"/>
      <c r="I92" s="82"/>
      <c r="J92" s="82"/>
    </row>
    <row r="93" spans="1:10" ht="12.75">
      <c r="A93" s="82"/>
      <c r="B93" s="82"/>
      <c r="C93" s="82"/>
      <c r="D93" s="82"/>
      <c r="E93" s="82"/>
      <c r="F93" s="82"/>
      <c r="G93" s="82"/>
      <c r="H93" s="82"/>
      <c r="I93" s="82"/>
      <c r="J93" s="82"/>
    </row>
    <row r="94" spans="1:10" ht="12.75">
      <c r="A94" s="82"/>
      <c r="B94" s="82"/>
      <c r="C94" s="82"/>
      <c r="D94" s="82"/>
      <c r="E94" s="82"/>
      <c r="F94" s="82"/>
      <c r="G94" s="82"/>
      <c r="H94" s="82"/>
      <c r="I94" s="82"/>
      <c r="J94" s="82"/>
    </row>
    <row r="95" spans="1:10" ht="12.75">
      <c r="A95" s="82"/>
      <c r="B95" s="82"/>
      <c r="C95" s="82"/>
      <c r="D95" s="82"/>
      <c r="E95" s="82"/>
      <c r="F95" s="82"/>
      <c r="G95" s="82"/>
      <c r="H95" s="82"/>
      <c r="I95" s="82"/>
      <c r="J95" s="82"/>
    </row>
    <row r="96" spans="1:10" ht="12.75">
      <c r="A96" s="82"/>
      <c r="B96" s="82"/>
      <c r="C96" s="82"/>
      <c r="D96" s="82"/>
      <c r="E96" s="82"/>
      <c r="F96" s="82"/>
      <c r="G96" s="82"/>
      <c r="H96" s="82"/>
      <c r="I96" s="82"/>
      <c r="J96" s="82"/>
    </row>
    <row r="97" spans="1:10" ht="12.75">
      <c r="A97" s="82"/>
      <c r="B97" s="82"/>
      <c r="C97" s="82"/>
      <c r="D97" s="82"/>
      <c r="E97" s="82"/>
      <c r="F97" s="82"/>
      <c r="G97" s="82"/>
      <c r="H97" s="82"/>
      <c r="I97" s="82"/>
      <c r="J97" s="82"/>
    </row>
    <row r="98" spans="1:10" ht="12.75">
      <c r="A98" s="82"/>
      <c r="B98" s="82"/>
      <c r="C98" s="82"/>
      <c r="D98" s="82"/>
      <c r="E98" s="82"/>
      <c r="F98" s="82"/>
      <c r="G98" s="82"/>
      <c r="H98" s="82"/>
      <c r="I98" s="82"/>
      <c r="J98" s="82"/>
    </row>
    <row r="99" spans="1:10" ht="12.75">
      <c r="A99" s="82"/>
      <c r="B99" s="82"/>
      <c r="C99" s="82"/>
      <c r="D99" s="82"/>
      <c r="E99" s="82"/>
      <c r="F99" s="82"/>
      <c r="G99" s="82"/>
      <c r="H99" s="82"/>
      <c r="I99" s="82"/>
      <c r="J99" s="82"/>
    </row>
    <row r="100" spans="1:10" ht="12.75">
      <c r="A100" s="82"/>
      <c r="B100" s="82"/>
      <c r="C100" s="82"/>
      <c r="D100" s="82"/>
      <c r="E100" s="82"/>
      <c r="F100" s="82"/>
      <c r="G100" s="82"/>
      <c r="H100" s="82"/>
      <c r="I100" s="82"/>
      <c r="J100" s="82"/>
    </row>
    <row r="101" spans="1:10" ht="12.75">
      <c r="A101" s="82"/>
      <c r="B101" s="82"/>
      <c r="C101" s="82"/>
      <c r="D101" s="82"/>
      <c r="E101" s="82"/>
      <c r="F101" s="82"/>
      <c r="G101" s="82"/>
      <c r="H101" s="82"/>
      <c r="I101" s="82"/>
      <c r="J101" s="82"/>
    </row>
    <row r="102" spans="1:10" ht="12.75">
      <c r="A102" s="82"/>
      <c r="B102" s="82"/>
      <c r="C102" s="82"/>
      <c r="D102" s="82"/>
      <c r="E102" s="82"/>
      <c r="F102" s="82"/>
      <c r="G102" s="82"/>
      <c r="H102" s="82"/>
      <c r="I102" s="82"/>
      <c r="J102" s="82"/>
    </row>
    <row r="103" spans="1:10" ht="12.75">
      <c r="A103" s="82"/>
      <c r="B103" s="82"/>
      <c r="C103" s="82"/>
      <c r="D103" s="82"/>
      <c r="E103" s="82"/>
      <c r="F103" s="82"/>
      <c r="G103" s="82"/>
      <c r="H103" s="82"/>
      <c r="I103" s="82"/>
      <c r="J103" s="82"/>
    </row>
    <row r="104" spans="1:10" ht="12.75">
      <c r="A104" s="82"/>
      <c r="B104" s="82"/>
      <c r="C104" s="82"/>
      <c r="D104" s="82"/>
      <c r="E104" s="82"/>
      <c r="F104" s="82"/>
      <c r="G104" s="82"/>
      <c r="H104" s="82"/>
      <c r="I104" s="82"/>
      <c r="J104" s="82"/>
    </row>
    <row r="105" spans="1:10" ht="12.75">
      <c r="A105" s="82"/>
      <c r="B105" s="82"/>
      <c r="C105" s="82"/>
      <c r="D105" s="82"/>
      <c r="E105" s="82"/>
      <c r="F105" s="82"/>
      <c r="G105" s="82"/>
      <c r="H105" s="82"/>
      <c r="I105" s="82"/>
      <c r="J105" s="82"/>
    </row>
    <row r="106" spans="1:10" ht="12.75">
      <c r="A106" s="82"/>
      <c r="B106" s="82"/>
      <c r="C106" s="82"/>
      <c r="D106" s="82"/>
      <c r="E106" s="82"/>
      <c r="F106" s="82"/>
      <c r="G106" s="82"/>
      <c r="H106" s="82"/>
      <c r="I106" s="82"/>
      <c r="J106" s="82"/>
    </row>
    <row r="107" spans="1:10" ht="12.75">
      <c r="A107" s="82"/>
      <c r="B107" s="82"/>
      <c r="C107" s="82"/>
      <c r="D107" s="82"/>
      <c r="E107" s="82"/>
      <c r="F107" s="82"/>
      <c r="G107" s="82"/>
      <c r="H107" s="82"/>
      <c r="I107" s="82"/>
      <c r="J107" s="82"/>
    </row>
    <row r="108" spans="1:10" ht="12.75">
      <c r="A108" s="82"/>
      <c r="B108" s="82"/>
      <c r="C108" s="82"/>
      <c r="D108" s="82"/>
      <c r="E108" s="82"/>
      <c r="F108" s="82"/>
      <c r="G108" s="82"/>
      <c r="H108" s="82"/>
      <c r="I108" s="82"/>
      <c r="J108" s="82"/>
    </row>
    <row r="109" spans="1:10" ht="12.75">
      <c r="A109" s="82"/>
      <c r="B109" s="82"/>
      <c r="C109" s="82"/>
      <c r="D109" s="82"/>
      <c r="E109" s="82"/>
      <c r="F109" s="82"/>
      <c r="G109" s="82"/>
      <c r="H109" s="82"/>
      <c r="I109" s="82"/>
      <c r="J109" s="82"/>
    </row>
    <row r="110" spans="1:10" ht="12.75">
      <c r="A110" s="82"/>
      <c r="B110" s="82"/>
      <c r="C110" s="82"/>
      <c r="D110" s="82"/>
      <c r="E110" s="82"/>
      <c r="F110" s="82"/>
      <c r="G110" s="82"/>
      <c r="H110" s="82"/>
      <c r="I110" s="82"/>
      <c r="J110" s="82"/>
    </row>
    <row r="111" spans="1:10" ht="12.75">
      <c r="A111" s="82"/>
      <c r="B111" s="82"/>
      <c r="C111" s="82"/>
      <c r="D111" s="82"/>
      <c r="E111" s="82"/>
      <c r="F111" s="82"/>
      <c r="G111" s="82"/>
      <c r="H111" s="82"/>
      <c r="I111" s="82"/>
      <c r="J111" s="82"/>
    </row>
    <row r="112" spans="1:10" ht="12.75">
      <c r="A112" s="82"/>
      <c r="B112" s="82"/>
      <c r="C112" s="82"/>
      <c r="D112" s="82"/>
      <c r="E112" s="82"/>
      <c r="F112" s="82"/>
      <c r="G112" s="82"/>
      <c r="H112" s="82"/>
      <c r="I112" s="82"/>
      <c r="J112" s="82"/>
    </row>
    <row r="113" spans="1:10" ht="12.75">
      <c r="A113" s="82"/>
      <c r="B113" s="82"/>
      <c r="C113" s="82"/>
      <c r="D113" s="82"/>
      <c r="E113" s="82"/>
      <c r="F113" s="82"/>
      <c r="G113" s="82"/>
      <c r="H113" s="82"/>
      <c r="I113" s="82"/>
      <c r="J113" s="82"/>
    </row>
    <row r="114" spans="1:10" ht="12.75">
      <c r="A114" s="82"/>
      <c r="B114" s="82"/>
      <c r="C114" s="82"/>
      <c r="D114" s="82"/>
      <c r="E114" s="82"/>
      <c r="F114" s="82"/>
      <c r="G114" s="82"/>
      <c r="H114" s="82"/>
      <c r="I114" s="82"/>
      <c r="J114" s="82"/>
    </row>
    <row r="115" spans="1:10" ht="12.75">
      <c r="A115" s="82"/>
      <c r="B115" s="82"/>
      <c r="C115" s="82"/>
      <c r="D115" s="82"/>
      <c r="E115" s="82"/>
      <c r="F115" s="82"/>
      <c r="G115" s="82"/>
      <c r="H115" s="82"/>
      <c r="I115" s="82"/>
      <c r="J115" s="82"/>
    </row>
    <row r="116" spans="1:10" ht="12.75">
      <c r="A116" s="82"/>
      <c r="B116" s="82"/>
      <c r="C116" s="82"/>
      <c r="D116" s="82"/>
      <c r="E116" s="82"/>
      <c r="F116" s="82"/>
      <c r="G116" s="82"/>
      <c r="H116" s="82"/>
      <c r="I116" s="82"/>
      <c r="J116" s="82"/>
    </row>
    <row r="117" spans="1:10" ht="12.75">
      <c r="A117" s="82"/>
      <c r="B117" s="82"/>
      <c r="C117" s="82"/>
      <c r="D117" s="82"/>
      <c r="E117" s="82"/>
      <c r="F117" s="82"/>
      <c r="G117" s="82"/>
      <c r="H117" s="82"/>
      <c r="I117" s="82"/>
      <c r="J117" s="82"/>
    </row>
    <row r="118" spans="1:10" ht="12.75">
      <c r="A118" s="82"/>
      <c r="B118" s="82"/>
      <c r="C118" s="82"/>
      <c r="D118" s="82"/>
      <c r="E118" s="82"/>
      <c r="F118" s="82"/>
      <c r="G118" s="82"/>
      <c r="H118" s="82"/>
      <c r="I118" s="82"/>
      <c r="J118" s="82"/>
    </row>
    <row r="119" spans="1:10" ht="12.75">
      <c r="A119" s="82"/>
      <c r="B119" s="82"/>
      <c r="C119" s="82"/>
      <c r="D119" s="82"/>
      <c r="E119" s="82"/>
      <c r="F119" s="82"/>
      <c r="G119" s="82"/>
      <c r="H119" s="82"/>
      <c r="I119" s="82"/>
      <c r="J119" s="82"/>
    </row>
    <row r="120" spans="1:10" ht="12.75">
      <c r="A120" s="82"/>
      <c r="B120" s="82"/>
      <c r="C120" s="82"/>
      <c r="D120" s="82"/>
      <c r="E120" s="82"/>
      <c r="F120" s="82"/>
      <c r="G120" s="82"/>
      <c r="H120" s="82"/>
      <c r="I120" s="82"/>
      <c r="J120" s="82"/>
    </row>
    <row r="121" spans="1:10" ht="12.75">
      <c r="A121" s="82"/>
      <c r="B121" s="82"/>
      <c r="C121" s="82"/>
      <c r="D121" s="82"/>
      <c r="E121" s="82"/>
      <c r="F121" s="82"/>
      <c r="G121" s="82"/>
      <c r="H121" s="82"/>
      <c r="I121" s="82"/>
      <c r="J121" s="82"/>
    </row>
    <row r="122" spans="1:10" ht="12.75">
      <c r="A122" s="82"/>
      <c r="B122" s="82"/>
      <c r="C122" s="82"/>
      <c r="D122" s="82"/>
      <c r="E122" s="82"/>
      <c r="F122" s="82"/>
      <c r="G122" s="82"/>
      <c r="H122" s="82"/>
      <c r="I122" s="82"/>
      <c r="J122" s="82"/>
    </row>
    <row r="123" spans="1:10" ht="12.75">
      <c r="A123" s="82"/>
      <c r="B123" s="82"/>
      <c r="C123" s="82"/>
      <c r="D123" s="82"/>
      <c r="E123" s="82"/>
      <c r="F123" s="82"/>
      <c r="G123" s="82"/>
      <c r="H123" s="82"/>
      <c r="I123" s="82"/>
      <c r="J123" s="82"/>
    </row>
    <row r="124" spans="1:10" ht="12.75">
      <c r="A124" s="82"/>
      <c r="B124" s="82"/>
      <c r="C124" s="82"/>
      <c r="D124" s="82"/>
      <c r="E124" s="82"/>
      <c r="F124" s="82"/>
      <c r="G124" s="82"/>
      <c r="H124" s="82"/>
      <c r="I124" s="82"/>
      <c r="J124" s="82"/>
    </row>
    <row r="125" spans="1:10" ht="12.75">
      <c r="A125" s="82"/>
      <c r="B125" s="82"/>
      <c r="C125" s="82"/>
      <c r="D125" s="82"/>
      <c r="E125" s="82"/>
      <c r="F125" s="82"/>
      <c r="G125" s="82"/>
      <c r="H125" s="82"/>
      <c r="I125" s="82"/>
      <c r="J125" s="82"/>
    </row>
    <row r="126" spans="1:10" ht="12.75">
      <c r="A126" s="82"/>
      <c r="B126" s="82"/>
      <c r="C126" s="82"/>
      <c r="D126" s="82"/>
      <c r="E126" s="82"/>
      <c r="F126" s="82"/>
      <c r="G126" s="82"/>
      <c r="H126" s="82"/>
      <c r="I126" s="82"/>
      <c r="J126" s="82"/>
    </row>
    <row r="127" spans="1:10" ht="12.75">
      <c r="A127" s="82"/>
      <c r="B127" s="82"/>
      <c r="C127" s="82"/>
      <c r="D127" s="82"/>
      <c r="E127" s="82"/>
      <c r="F127" s="82"/>
      <c r="G127" s="82"/>
      <c r="H127" s="82"/>
      <c r="I127" s="82"/>
      <c r="J127" s="82"/>
    </row>
    <row r="128" spans="1:10" ht="12.75">
      <c r="A128" s="82"/>
      <c r="B128" s="82"/>
      <c r="C128" s="82"/>
      <c r="D128" s="82"/>
      <c r="E128" s="82"/>
      <c r="F128" s="82"/>
      <c r="G128" s="82"/>
      <c r="H128" s="82"/>
      <c r="I128" s="82"/>
      <c r="J128" s="82"/>
    </row>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row r="202" s="82" customFormat="1" ht="12.75"/>
    <row r="203" s="82" customFormat="1" ht="12.75"/>
    <row r="204" s="82" customFormat="1" ht="12.75"/>
    <row r="205" s="82" customFormat="1" ht="12.75"/>
    <row r="206" s="82" customFormat="1" ht="12.75"/>
    <row r="207" s="82" customFormat="1" ht="12.75"/>
    <row r="208" s="82" customFormat="1" ht="12.75"/>
    <row r="209" s="82" customFormat="1" ht="12.75"/>
    <row r="210" s="82" customFormat="1" ht="12.75"/>
    <row r="211" s="82" customFormat="1" ht="12.75"/>
    <row r="212" s="82" customFormat="1" ht="12.75"/>
    <row r="213" s="82" customFormat="1" ht="12.75"/>
    <row r="214" s="82" customFormat="1" ht="12.75"/>
    <row r="215" s="82" customFormat="1" ht="12.75"/>
    <row r="216" s="82" customFormat="1" ht="12.75"/>
    <row r="217" s="82" customFormat="1" ht="12.75"/>
    <row r="218" s="82" customFormat="1" ht="12.75"/>
    <row r="219" s="82" customFormat="1" ht="12.75"/>
    <row r="220" s="82" customFormat="1" ht="12.75"/>
    <row r="221" s="82" customFormat="1" ht="12.75"/>
    <row r="222" s="82" customFormat="1" ht="12.75"/>
    <row r="223" s="82" customFormat="1" ht="12.75"/>
  </sheetData>
  <sheetProtection algorithmName="SHA-512" hashValue="EXj9sa5rvzGJHv8s7Weurx60kjaE9InNkIT/rkubSPuEh0RJt5DC47+hRi3cr7GDwKF3fPdwhCSOumAAu3wqFA==" saltValue="Hm+POhUoXOgyWCe76P/v0Q==" spinCount="100000" sheet="1" objects="1" scenarios="1"/>
  <mergeCells count="94">
    <mergeCell ref="A8:J8"/>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rintOptions horizontalCentered="1" verticalCentered="1"/>
  <pageMargins left="0.393700787401575" right="0.393700787401575" top="0.393700787401575" bottom="0.393700787401575" header="0.511811023622047" footer="0.511811023622047"/>
  <pageSetup orientation="portrait" paperSize="9" scale="98"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2"/>
  </cols>
  <sheetData>
    <row r="1" spans="1:58" s="149" customFormat="1" ht="16.5" thickBot="1">
      <c r="A1" s="1001" t="s">
        <v>102</v>
      </c>
      <c r="B1" s="510"/>
      <c r="C1" s="510"/>
      <c r="D1" s="1174" t="s">
        <v>40</v>
      </c>
      <c r="E1" s="1214"/>
      <c r="F1" s="1019"/>
      <c r="G1" s="185" t="str">
        <f>+'2Př'!I1</f>
        <v/>
      </c>
      <c r="H1" s="82"/>
      <c r="I1" s="82"/>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row>
    <row r="2" spans="1:60" s="96" customFormat="1" ht="24" customHeight="1">
      <c r="A2" s="1000" t="s">
        <v>3685</v>
      </c>
      <c r="B2" s="1000"/>
      <c r="C2" s="1000"/>
      <c r="D2" s="1000"/>
      <c r="E2" s="1000"/>
      <c r="F2" s="1000"/>
      <c r="G2" s="125"/>
      <c r="H2" s="82"/>
      <c r="I2" s="82"/>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96" customFormat="1" ht="36" customHeight="1">
      <c r="A3" s="991" t="s">
        <v>164</v>
      </c>
      <c r="B3" s="608"/>
      <c r="C3" s="608"/>
      <c r="D3" s="608"/>
      <c r="E3" s="608"/>
      <c r="F3" s="608"/>
      <c r="G3" s="608"/>
      <c r="H3" s="82"/>
      <c r="I3" s="82"/>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row>
    <row r="4" spans="1:60" s="149" customFormat="1" ht="24" customHeight="1">
      <c r="A4" s="1215" t="s">
        <v>3483</v>
      </c>
      <c r="B4" s="1176"/>
      <c r="C4" s="1176"/>
      <c r="D4" s="1176"/>
      <c r="E4" s="1176"/>
      <c r="F4" s="1176"/>
      <c r="G4" s="1176"/>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row>
    <row r="5" spans="1:7" ht="24" customHeight="1">
      <c r="A5" s="1219" t="s">
        <v>171</v>
      </c>
      <c r="B5" s="1220"/>
      <c r="C5" s="1220"/>
      <c r="D5" s="1220"/>
      <c r="E5" s="1220"/>
      <c r="F5" s="1220"/>
      <c r="G5" s="1220"/>
    </row>
    <row r="6" spans="1:7" ht="36" customHeight="1">
      <c r="A6" s="1210" t="s">
        <v>3484</v>
      </c>
      <c r="B6" s="623"/>
      <c r="C6" s="623"/>
      <c r="D6" s="623"/>
      <c r="E6" s="623"/>
      <c r="F6" s="623"/>
      <c r="G6" s="623"/>
    </row>
    <row r="7" spans="1:7" ht="15" customHeight="1">
      <c r="A7" s="1210" t="s">
        <v>236</v>
      </c>
      <c r="B7" s="929"/>
      <c r="C7" s="151"/>
      <c r="D7" s="1221"/>
      <c r="E7" s="623"/>
      <c r="F7" s="623"/>
      <c r="G7" s="623"/>
    </row>
    <row r="8" spans="1:7" ht="8.1" customHeight="1" thickBot="1">
      <c r="A8" s="1222"/>
      <c r="B8" s="1223"/>
      <c r="C8" s="1223"/>
      <c r="D8" s="1223"/>
      <c r="E8" s="1223"/>
      <c r="F8" s="1223"/>
      <c r="G8" s="1223"/>
    </row>
    <row r="9" spans="1:7" ht="15" customHeight="1">
      <c r="A9" s="1216"/>
      <c r="B9" s="1217"/>
      <c r="C9" s="1217"/>
      <c r="D9" s="1217"/>
      <c r="E9" s="1218"/>
      <c r="F9" s="84" t="s">
        <v>153</v>
      </c>
      <c r="G9" s="95" t="s">
        <v>161</v>
      </c>
    </row>
    <row r="10" spans="1:7" ht="24" customHeight="1">
      <c r="A10" s="48">
        <v>321</v>
      </c>
      <c r="B10" s="1201" t="s">
        <v>237</v>
      </c>
      <c r="C10" s="1201"/>
      <c r="D10" s="1201"/>
      <c r="E10" s="1202"/>
      <c r="F10" s="118">
        <v>0</v>
      </c>
      <c r="G10" s="73"/>
    </row>
    <row r="11" spans="1:7" ht="24" customHeight="1">
      <c r="A11" s="48">
        <v>322</v>
      </c>
      <c r="B11" s="1201" t="s">
        <v>238</v>
      </c>
      <c r="C11" s="1201"/>
      <c r="D11" s="1201"/>
      <c r="E11" s="1202"/>
      <c r="F11" s="118">
        <v>0</v>
      </c>
      <c r="G11" s="73"/>
    </row>
    <row r="12" spans="1:7" ht="24" customHeight="1">
      <c r="A12" s="48">
        <v>323</v>
      </c>
      <c r="B12" s="1201" t="s">
        <v>122</v>
      </c>
      <c r="C12" s="1201"/>
      <c r="D12" s="1201"/>
      <c r="E12" s="1202"/>
      <c r="F12" s="118">
        <v>0</v>
      </c>
      <c r="G12" s="73"/>
    </row>
    <row r="13" spans="1:7" ht="24" customHeight="1">
      <c r="A13" s="48">
        <v>324</v>
      </c>
      <c r="B13" s="1201" t="s">
        <v>46</v>
      </c>
      <c r="C13" s="1201"/>
      <c r="D13" s="1201"/>
      <c r="E13" s="1202"/>
      <c r="F13" s="280">
        <f>ROUND(+IF(+IF(IF('DAP2'!E18=0,0,(F10-F11)/'DAP2'!E18)&lt;0,0,IF('DAP2'!E18=0,0,(F10-F11)/'DAP2'!E18))&gt;1,1,+IF(IF('DAP2'!E18=0,0,(F10-F11)/'DAP2'!E18)&lt;0,0,IF('DAP2'!E18=0,0,(F10-F11)/'DAP2'!E18))),4)</f>
        <v>0</v>
      </c>
      <c r="G13" s="73"/>
    </row>
    <row r="14" spans="1:7" ht="24" customHeight="1">
      <c r="A14" s="48">
        <v>325</v>
      </c>
      <c r="B14" s="1201" t="s">
        <v>3578</v>
      </c>
      <c r="C14" s="1201"/>
      <c r="D14" s="1201"/>
      <c r="E14" s="1202"/>
      <c r="F14" s="302">
        <f>ROUND((+'DAP2'!F37+'DAP2'!F40)*'3Př'!F13,2)</f>
        <v>0</v>
      </c>
      <c r="G14" s="73"/>
    </row>
    <row r="15" spans="1:7" ht="24" customHeight="1" thickBot="1">
      <c r="A15" s="50">
        <v>326</v>
      </c>
      <c r="B15" s="1205" t="s">
        <v>148</v>
      </c>
      <c r="C15" s="1205"/>
      <c r="D15" s="1205"/>
      <c r="E15" s="1206"/>
      <c r="F15" s="303">
        <f>+MIN(F12,F14)</f>
        <v>0</v>
      </c>
      <c r="G15" s="93"/>
    </row>
    <row r="16" spans="1:7" ht="24" customHeight="1" thickBot="1">
      <c r="A16" s="89">
        <v>327</v>
      </c>
      <c r="B16" s="1212" t="s">
        <v>149</v>
      </c>
      <c r="C16" s="1212"/>
      <c r="D16" s="1212"/>
      <c r="E16" s="1213"/>
      <c r="F16" s="304">
        <f>+F12-F15</f>
        <v>0</v>
      </c>
      <c r="G16" s="94"/>
    </row>
    <row r="17" spans="1:7" ht="24" customHeight="1" thickBot="1">
      <c r="A17" s="89">
        <v>328</v>
      </c>
      <c r="B17" s="1212" t="s">
        <v>3485</v>
      </c>
      <c r="C17" s="1212"/>
      <c r="D17" s="1212"/>
      <c r="E17" s="1213"/>
      <c r="F17" s="305">
        <f>+F15+'3Př_a'!F17</f>
        <v>0</v>
      </c>
      <c r="G17" s="94"/>
    </row>
    <row r="18" spans="1:7" ht="24" customHeight="1" thickBot="1">
      <c r="A18" s="89">
        <v>329</v>
      </c>
      <c r="B18" s="1212" t="s">
        <v>3486</v>
      </c>
      <c r="C18" s="1212"/>
      <c r="D18" s="1212"/>
      <c r="E18" s="1213"/>
      <c r="F18" s="305">
        <f>+F16+'3Př_a'!F18</f>
        <v>0</v>
      </c>
      <c r="G18" s="94"/>
    </row>
    <row r="19" spans="1:7" ht="24" customHeight="1" thickBot="1">
      <c r="A19" s="1210"/>
      <c r="B19" s="623"/>
      <c r="C19" s="623"/>
      <c r="D19" s="623"/>
      <c r="E19" s="623"/>
      <c r="F19" s="623"/>
      <c r="G19" s="623"/>
    </row>
    <row r="20" spans="1:7" ht="24" customHeight="1" thickBot="1">
      <c r="A20" s="89">
        <v>330</v>
      </c>
      <c r="B20" s="1211" t="s">
        <v>3579</v>
      </c>
      <c r="C20" s="1212"/>
      <c r="D20" s="1212"/>
      <c r="E20" s="1213"/>
      <c r="F20" s="304">
        <f>+IF(F10&gt;0,'DAP2'!F37+'DAP2'!F40-F17,0)</f>
        <v>0</v>
      </c>
      <c r="G20" s="94"/>
    </row>
    <row r="21" spans="1:7" ht="300" customHeight="1">
      <c r="A21" s="710"/>
      <c r="B21" s="668"/>
      <c r="C21" s="668"/>
      <c r="D21" s="668"/>
      <c r="E21" s="668"/>
      <c r="F21" s="668"/>
      <c r="G21" s="668"/>
    </row>
    <row r="22" spans="1:7" ht="15.95" customHeight="1">
      <c r="A22" s="1209" t="str">
        <f>+'DAP1'!A46</f>
        <v>Formulář zpracovala ASPEKT HM, daňová, účetní a auditorská kancelář, www.danovapriznani.cz, business.center.cz</v>
      </c>
      <c r="B22" s="1209"/>
      <c r="C22" s="1209"/>
      <c r="D22" s="1209"/>
      <c r="E22" s="1209"/>
      <c r="F22" s="1209"/>
      <c r="G22" s="1209"/>
    </row>
    <row r="23" spans="1:60" s="178" customFormat="1" ht="12" customHeight="1">
      <c r="A23" s="1207" t="s">
        <v>3686</v>
      </c>
      <c r="B23" s="1208"/>
      <c r="C23" s="1208"/>
      <c r="D23" s="1208"/>
      <c r="E23" s="1208"/>
      <c r="F23" s="1208"/>
      <c r="G23" s="1208"/>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row>
    <row r="24" spans="1:7" ht="12.75">
      <c r="A24" s="1203" t="s">
        <v>279</v>
      </c>
      <c r="B24" s="1203"/>
      <c r="C24" s="1203"/>
      <c r="D24" s="1203"/>
      <c r="E24" s="1204"/>
      <c r="F24" s="1204"/>
      <c r="G24" s="1204"/>
    </row>
    <row r="25" spans="1:7" ht="12.75">
      <c r="A25" s="82"/>
      <c r="B25" s="82"/>
      <c r="C25" s="82"/>
      <c r="D25" s="82"/>
      <c r="E25" s="82"/>
      <c r="F25" s="82"/>
      <c r="G25" s="82"/>
    </row>
    <row r="26" spans="1:7" ht="12.75">
      <c r="A26" s="82"/>
      <c r="B26" s="82"/>
      <c r="C26" s="82"/>
      <c r="D26" s="82"/>
      <c r="E26" s="82"/>
      <c r="F26" s="82"/>
      <c r="G26" s="82"/>
    </row>
    <row r="27" spans="1:7" ht="12.75">
      <c r="A27" s="82"/>
      <c r="B27" s="82"/>
      <c r="C27" s="82"/>
      <c r="D27" s="82"/>
      <c r="E27" s="82"/>
      <c r="F27" s="82"/>
      <c r="G27" s="82"/>
    </row>
    <row r="28" spans="1:7" ht="12.75">
      <c r="A28" s="82"/>
      <c r="B28" s="82"/>
      <c r="C28" s="82"/>
      <c r="D28" s="82"/>
      <c r="E28" s="82"/>
      <c r="F28" s="82"/>
      <c r="G28" s="82"/>
    </row>
    <row r="29" spans="1:7" ht="12.75">
      <c r="A29" s="82"/>
      <c r="B29" s="82"/>
      <c r="C29" s="82"/>
      <c r="D29" s="82"/>
      <c r="E29" s="82"/>
      <c r="F29" s="82"/>
      <c r="G29" s="82"/>
    </row>
    <row r="30" spans="1:7" ht="12.75">
      <c r="A30" s="82"/>
      <c r="B30" s="82"/>
      <c r="C30" s="82"/>
      <c r="D30" s="82"/>
      <c r="E30" s="82"/>
      <c r="F30" s="82"/>
      <c r="G30" s="82"/>
    </row>
    <row r="31" spans="1:7" ht="12.75">
      <c r="A31" s="82"/>
      <c r="B31" s="82"/>
      <c r="C31" s="82"/>
      <c r="D31" s="82"/>
      <c r="E31" s="82"/>
      <c r="F31" s="82"/>
      <c r="G31" s="82"/>
    </row>
    <row r="32" spans="1:7" ht="12.75">
      <c r="A32" s="82"/>
      <c r="B32" s="82"/>
      <c r="C32" s="82"/>
      <c r="D32" s="82"/>
      <c r="E32" s="82"/>
      <c r="F32" s="82"/>
      <c r="G32" s="82"/>
    </row>
    <row r="33" spans="1:7" ht="12.75">
      <c r="A33" s="82"/>
      <c r="B33" s="82"/>
      <c r="C33" s="82"/>
      <c r="D33" s="82"/>
      <c r="E33" s="82"/>
      <c r="F33" s="82"/>
      <c r="G33" s="82"/>
    </row>
    <row r="34" spans="1:7" ht="12.75">
      <c r="A34" s="82"/>
      <c r="B34" s="82"/>
      <c r="C34" s="82"/>
      <c r="D34" s="82"/>
      <c r="E34" s="82"/>
      <c r="F34" s="82"/>
      <c r="G34" s="82"/>
    </row>
    <row r="35" spans="1:7" ht="12.75">
      <c r="A35" s="82"/>
      <c r="B35" s="82"/>
      <c r="C35" s="82"/>
      <c r="D35" s="82"/>
      <c r="E35" s="82"/>
      <c r="F35" s="82"/>
      <c r="G35" s="82"/>
    </row>
    <row r="36" spans="1:7" ht="12.75">
      <c r="A36" s="82"/>
      <c r="B36" s="82"/>
      <c r="C36" s="82"/>
      <c r="D36" s="82"/>
      <c r="E36" s="82"/>
      <c r="F36" s="82"/>
      <c r="G36" s="82"/>
    </row>
    <row r="37" spans="1:7" ht="12.75">
      <c r="A37" s="82"/>
      <c r="B37" s="82"/>
      <c r="C37" s="82"/>
      <c r="D37" s="82"/>
      <c r="E37" s="82"/>
      <c r="F37" s="82"/>
      <c r="G37" s="82"/>
    </row>
    <row r="38" spans="1:7" ht="12.75">
      <c r="A38" s="82"/>
      <c r="B38" s="82"/>
      <c r="C38" s="82"/>
      <c r="D38" s="82"/>
      <c r="E38" s="82"/>
      <c r="F38" s="82"/>
      <c r="G38" s="82"/>
    </row>
    <row r="39" spans="1:7" ht="12.75">
      <c r="A39" s="82"/>
      <c r="B39" s="82"/>
      <c r="C39" s="82"/>
      <c r="D39" s="82"/>
      <c r="E39" s="82"/>
      <c r="F39" s="82"/>
      <c r="G39" s="82"/>
    </row>
    <row r="40" spans="1:7" ht="12.75">
      <c r="A40" s="82"/>
      <c r="B40" s="82"/>
      <c r="C40" s="82"/>
      <c r="D40" s="82"/>
      <c r="E40" s="82"/>
      <c r="F40" s="82"/>
      <c r="G40" s="82"/>
    </row>
    <row r="41" spans="1:7" ht="12.75">
      <c r="A41" s="82"/>
      <c r="B41" s="82"/>
      <c r="C41" s="82"/>
      <c r="D41" s="82"/>
      <c r="E41" s="82"/>
      <c r="F41" s="82"/>
      <c r="G41" s="82"/>
    </row>
    <row r="42" spans="1:7" ht="12.75">
      <c r="A42" s="82"/>
      <c r="B42" s="82"/>
      <c r="C42" s="82"/>
      <c r="D42" s="82"/>
      <c r="E42" s="82"/>
      <c r="F42" s="82"/>
      <c r="G42" s="82"/>
    </row>
    <row r="43" spans="1:7" ht="12.75">
      <c r="A43" s="82"/>
      <c r="B43" s="82"/>
      <c r="C43" s="82"/>
      <c r="D43" s="82"/>
      <c r="E43" s="82"/>
      <c r="F43" s="82"/>
      <c r="G43" s="82"/>
    </row>
    <row r="44" spans="1:7" ht="12.75">
      <c r="A44" s="82"/>
      <c r="B44" s="82"/>
      <c r="C44" s="82"/>
      <c r="D44" s="82"/>
      <c r="E44" s="82"/>
      <c r="F44" s="82"/>
      <c r="G44" s="82"/>
    </row>
    <row r="45" spans="1:7" ht="12.75">
      <c r="A45" s="82"/>
      <c r="B45" s="82"/>
      <c r="C45" s="82"/>
      <c r="D45" s="82"/>
      <c r="E45" s="82"/>
      <c r="F45" s="82"/>
      <c r="G45" s="82"/>
    </row>
    <row r="46" spans="1:7" ht="12.75">
      <c r="A46" s="82"/>
      <c r="B46" s="82"/>
      <c r="C46" s="82"/>
      <c r="D46" s="82"/>
      <c r="E46" s="82"/>
      <c r="F46" s="82"/>
      <c r="G46" s="82"/>
    </row>
    <row r="47" spans="1:7" ht="12.75">
      <c r="A47" s="82"/>
      <c r="B47" s="82"/>
      <c r="C47" s="82"/>
      <c r="D47" s="82"/>
      <c r="E47" s="82"/>
      <c r="F47" s="82"/>
      <c r="G47" s="82"/>
    </row>
    <row r="48" spans="1:7" ht="12.75">
      <c r="A48" s="82"/>
      <c r="B48" s="82"/>
      <c r="C48" s="82"/>
      <c r="D48" s="82"/>
      <c r="E48" s="82"/>
      <c r="F48" s="82"/>
      <c r="G48" s="82"/>
    </row>
    <row r="49" spans="1:7" ht="12.75">
      <c r="A49" s="82"/>
      <c r="B49" s="82"/>
      <c r="C49" s="82"/>
      <c r="D49" s="82"/>
      <c r="E49" s="82"/>
      <c r="F49" s="82"/>
      <c r="G49" s="82"/>
    </row>
    <row r="50" spans="1:7" ht="12.75">
      <c r="A50" s="82"/>
      <c r="B50" s="82"/>
      <c r="C50" s="82"/>
      <c r="D50" s="82"/>
      <c r="E50" s="82"/>
      <c r="F50" s="82"/>
      <c r="G50" s="82"/>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82" customFormat="1" ht="12.75"/>
    <row r="65" s="82" customFormat="1" ht="12.75"/>
    <row r="66" s="82" customFormat="1" ht="12.75"/>
    <row r="67" s="82" customFormat="1" ht="12.75"/>
    <row r="68" s="82" customFormat="1" ht="12.75"/>
    <row r="69" s="82" customFormat="1" ht="12.75"/>
    <row r="70" s="82" customFormat="1" ht="12.75"/>
    <row r="71" s="82" customFormat="1" ht="12.75"/>
    <row r="72" s="82" customFormat="1" ht="12.75"/>
    <row r="73" s="82" customFormat="1" ht="12.75"/>
    <row r="74" s="82" customFormat="1" ht="12.75"/>
    <row r="75" s="82" customFormat="1" ht="12.75"/>
    <row r="76" s="82" customFormat="1" ht="12.75"/>
    <row r="77" s="82" customFormat="1" ht="12.75"/>
    <row r="78" s="82" customFormat="1" ht="12.75"/>
    <row r="79" s="82" customFormat="1" ht="12.75"/>
    <row r="80" s="82" customFormat="1" ht="12.75"/>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thickBot="1"/>
  </sheetData>
  <sheetProtection algorithmName="SHA-512" hashValue="EDDEf6asUtt08BEQKSO1ynTIkWb7DbKhg+3jKo4s4OwmLplYWAfitrSozl3LhytbUx3hkDHtlpHqWT5VXPMtMA==" saltValue="e/vQuS+qFqnmG/f+ZQpX2g==" spinCount="100000" sheet="1" objects="1" scenarios="1"/>
  <mergeCells count="26">
    <mergeCell ref="A9:E9"/>
    <mergeCell ref="A5:G5"/>
    <mergeCell ref="A6:G6"/>
    <mergeCell ref="A7:B7"/>
    <mergeCell ref="D7:G7"/>
    <mergeCell ref="A8:G8"/>
    <mergeCell ref="A1:C1"/>
    <mergeCell ref="A2:F2"/>
    <mergeCell ref="D1:F1"/>
    <mergeCell ref="A3:G3"/>
    <mergeCell ref="A4:G4"/>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6" sqref="F16"/>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2"/>
  </cols>
  <sheetData>
    <row r="1" spans="1:58" s="149" customFormat="1" ht="16.5" thickBot="1">
      <c r="A1" s="1001"/>
      <c r="B1" s="510"/>
      <c r="C1" s="510"/>
      <c r="D1" s="1174" t="s">
        <v>183</v>
      </c>
      <c r="E1" s="1214"/>
      <c r="F1" s="1019"/>
      <c r="G1" s="273">
        <v>1</v>
      </c>
      <c r="H1" s="82"/>
      <c r="I1" s="82"/>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row>
    <row r="2" spans="1:60" s="96" customFormat="1" ht="24" customHeight="1">
      <c r="A2" s="1000"/>
      <c r="B2" s="1000"/>
      <c r="C2" s="1000"/>
      <c r="D2" s="1000"/>
      <c r="E2" s="1000"/>
      <c r="F2" s="1000"/>
      <c r="G2" s="125"/>
      <c r="H2" s="82"/>
      <c r="I2" s="82"/>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96" customFormat="1" ht="36" customHeight="1">
      <c r="A3" s="1236" t="s">
        <v>184</v>
      </c>
      <c r="B3" s="1237"/>
      <c r="C3" s="1237"/>
      <c r="D3" s="1237"/>
      <c r="E3" s="1237"/>
      <c r="F3" s="1237"/>
      <c r="G3" s="1237"/>
      <c r="H3" s="82"/>
      <c r="I3" s="82"/>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row>
    <row r="4" spans="1:60" s="149" customFormat="1" ht="18" customHeight="1">
      <c r="A4" s="1238" t="s">
        <v>185</v>
      </c>
      <c r="B4" s="1239"/>
      <c r="C4" s="1239"/>
      <c r="D4" s="1239"/>
      <c r="E4" s="1239"/>
      <c r="F4" s="1239"/>
      <c r="G4" s="1239"/>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row>
    <row r="5" spans="1:7" ht="18" customHeight="1">
      <c r="A5" s="1240" t="s">
        <v>3614</v>
      </c>
      <c r="B5" s="1241"/>
      <c r="C5" s="1241"/>
      <c r="D5" s="1241"/>
      <c r="E5" s="1241"/>
      <c r="F5" s="1241"/>
      <c r="G5" s="1241"/>
    </row>
    <row r="6" spans="1:7" ht="18" customHeight="1">
      <c r="A6" s="1242" t="s">
        <v>115</v>
      </c>
      <c r="B6" s="1243"/>
      <c r="C6" s="1243"/>
      <c r="D6" s="1243"/>
      <c r="E6" s="1243"/>
      <c r="F6" s="1243"/>
      <c r="G6" s="1243"/>
    </row>
    <row r="7" spans="1:7" ht="18" customHeight="1">
      <c r="A7" s="1224"/>
      <c r="B7" s="1225"/>
      <c r="C7" s="1225"/>
      <c r="D7" s="1225"/>
      <c r="E7" s="1225"/>
      <c r="F7" s="1225"/>
      <c r="G7" s="1225"/>
    </row>
    <row r="8" spans="1:7" ht="24" customHeight="1">
      <c r="A8" s="1210" t="s">
        <v>3613</v>
      </c>
      <c r="B8" s="929"/>
      <c r="C8" s="151"/>
      <c r="D8" s="1221"/>
      <c r="E8" s="623"/>
      <c r="F8" s="623"/>
      <c r="G8" s="623"/>
    </row>
    <row r="9" spans="1:7" ht="8.1" customHeight="1" thickBot="1">
      <c r="A9" s="1222"/>
      <c r="B9" s="1223"/>
      <c r="C9" s="1223"/>
      <c r="D9" s="1223"/>
      <c r="E9" s="1223"/>
      <c r="F9" s="1223"/>
      <c r="G9" s="1223"/>
    </row>
    <row r="10" spans="1:7" ht="15" customHeight="1">
      <c r="A10" s="1231"/>
      <c r="B10" s="621"/>
      <c r="C10" s="621"/>
      <c r="D10" s="621"/>
      <c r="E10" s="1232"/>
      <c r="F10" s="1234" t="s">
        <v>244</v>
      </c>
      <c r="G10" s="1235"/>
    </row>
    <row r="11" spans="1:7" ht="15" customHeight="1">
      <c r="A11" s="1233"/>
      <c r="B11" s="560"/>
      <c r="C11" s="560"/>
      <c r="D11" s="560"/>
      <c r="E11" s="561"/>
      <c r="F11" s="84" t="s">
        <v>153</v>
      </c>
      <c r="G11" s="95" t="s">
        <v>161</v>
      </c>
    </row>
    <row r="12" spans="1:7" ht="24" customHeight="1">
      <c r="A12" s="270">
        <v>321</v>
      </c>
      <c r="B12" s="1201" t="s">
        <v>237</v>
      </c>
      <c r="C12" s="1201"/>
      <c r="D12" s="1201"/>
      <c r="E12" s="1202"/>
      <c r="F12" s="118">
        <v>0</v>
      </c>
      <c r="G12" s="73"/>
    </row>
    <row r="13" spans="1:7" ht="24" customHeight="1">
      <c r="A13" s="270">
        <v>322</v>
      </c>
      <c r="B13" s="1201" t="s">
        <v>238</v>
      </c>
      <c r="C13" s="1201"/>
      <c r="D13" s="1201"/>
      <c r="E13" s="1202"/>
      <c r="F13" s="118">
        <v>0</v>
      </c>
      <c r="G13" s="73"/>
    </row>
    <row r="14" spans="1:7" ht="24" customHeight="1">
      <c r="A14" s="270">
        <v>323</v>
      </c>
      <c r="B14" s="1201" t="s">
        <v>122</v>
      </c>
      <c r="C14" s="1201"/>
      <c r="D14" s="1201"/>
      <c r="E14" s="1202"/>
      <c r="F14" s="118">
        <v>0</v>
      </c>
      <c r="G14" s="73"/>
    </row>
    <row r="15" spans="1:7" ht="24" customHeight="1">
      <c r="A15" s="270">
        <v>324</v>
      </c>
      <c r="B15" s="1201" t="s">
        <v>46</v>
      </c>
      <c r="C15" s="1201"/>
      <c r="D15" s="1201"/>
      <c r="E15" s="1202"/>
      <c r="F15" s="179">
        <f>ROUND(+IF(+IF(IF('DAP2'!E18=0,0,(F12-F13)/'DAP2'!E18)&lt;0,0,IF('DAP2'!E18=0,0,(F12-F13)/'DAP2'!E18))&gt;1,1,+IF(IF('DAP2'!E18=0,0,(F12-F13)/'DAP2'!E18)&lt;0,0,IF('DAP2'!E18=0,0,(F12-F13)/'DAP2'!E18))),4)</f>
        <v>0</v>
      </c>
      <c r="G15" s="73"/>
    </row>
    <row r="16" spans="1:7" ht="24" customHeight="1">
      <c r="A16" s="270">
        <v>325</v>
      </c>
      <c r="B16" s="1201" t="s">
        <v>3615</v>
      </c>
      <c r="C16" s="1201"/>
      <c r="D16" s="1201"/>
      <c r="E16" s="1202"/>
      <c r="F16" s="302">
        <f>ROUND((+'DAP2'!F37+'DAP2'!F40)*F15,2)</f>
        <v>0</v>
      </c>
      <c r="G16" s="73"/>
    </row>
    <row r="17" spans="1:7" ht="24" customHeight="1" thickBot="1">
      <c r="A17" s="271">
        <v>326</v>
      </c>
      <c r="B17" s="1205" t="s">
        <v>148</v>
      </c>
      <c r="C17" s="1205"/>
      <c r="D17" s="1205"/>
      <c r="E17" s="1206"/>
      <c r="F17" s="303">
        <f>+MIN(F14,F16)</f>
        <v>0</v>
      </c>
      <c r="G17" s="93"/>
    </row>
    <row r="18" spans="1:7" ht="24" customHeight="1" thickBot="1">
      <c r="A18" s="272">
        <v>327</v>
      </c>
      <c r="B18" s="1229" t="s">
        <v>3617</v>
      </c>
      <c r="C18" s="1229"/>
      <c r="D18" s="1229"/>
      <c r="E18" s="1230"/>
      <c r="F18" s="304">
        <f>+F14-F17</f>
        <v>0</v>
      </c>
      <c r="G18" s="94"/>
    </row>
    <row r="19" spans="1:7" ht="24" customHeight="1">
      <c r="A19" s="1226" t="s">
        <v>3487</v>
      </c>
      <c r="B19" s="1227"/>
      <c r="C19" s="1227"/>
      <c r="D19" s="1227"/>
      <c r="E19" s="1227"/>
      <c r="F19" s="1227"/>
      <c r="G19" s="1227"/>
    </row>
    <row r="20" spans="1:7" ht="330" customHeight="1">
      <c r="A20" s="1228"/>
      <c r="B20" s="654"/>
      <c r="C20" s="654"/>
      <c r="D20" s="654"/>
      <c r="E20" s="654"/>
      <c r="F20" s="654"/>
      <c r="G20" s="654"/>
    </row>
    <row r="21" spans="1:7" ht="15.95" customHeight="1">
      <c r="A21" s="1209" t="str">
        <f>+'DAP1'!A46</f>
        <v>Formulář zpracovala ASPEKT HM, daňová, účetní a auditorská kancelář, www.danovapriznani.cz, business.center.cz</v>
      </c>
      <c r="B21" s="1209"/>
      <c r="C21" s="1209"/>
      <c r="D21" s="1209"/>
      <c r="E21" s="1209"/>
      <c r="F21" s="1209"/>
      <c r="G21" s="1209"/>
    </row>
    <row r="22" spans="1:60" s="178" customFormat="1" ht="12" customHeight="1">
      <c r="A22" s="1207" t="s">
        <v>3616</v>
      </c>
      <c r="B22" s="1208"/>
      <c r="C22" s="1208"/>
      <c r="D22" s="1208"/>
      <c r="E22" s="1208"/>
      <c r="F22" s="1208"/>
      <c r="G22" s="1208"/>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row>
    <row r="23" spans="1:7" ht="12.75">
      <c r="A23" s="1203" t="s">
        <v>279</v>
      </c>
      <c r="B23" s="1203"/>
      <c r="C23" s="1203"/>
      <c r="D23" s="1203"/>
      <c r="E23" s="1204"/>
      <c r="F23" s="1204"/>
      <c r="G23" s="1204"/>
    </row>
    <row r="24" spans="1:7" ht="12.75">
      <c r="A24" s="82"/>
      <c r="B24" s="82"/>
      <c r="C24" s="82"/>
      <c r="D24" s="82"/>
      <c r="E24" s="82"/>
      <c r="F24" s="82"/>
      <c r="G24" s="82"/>
    </row>
    <row r="25" spans="1:7" ht="12.75">
      <c r="A25" s="82"/>
      <c r="B25" s="82"/>
      <c r="C25" s="82"/>
      <c r="D25" s="82"/>
      <c r="E25" s="82"/>
      <c r="F25" s="82"/>
      <c r="G25" s="82"/>
    </row>
    <row r="26" spans="1:7" ht="12.75">
      <c r="A26" s="82"/>
      <c r="B26" s="82"/>
      <c r="C26" s="82"/>
      <c r="D26" s="82"/>
      <c r="E26" s="82"/>
      <c r="F26" s="82"/>
      <c r="G26" s="82"/>
    </row>
    <row r="27" spans="1:7" ht="12.75">
      <c r="A27" s="82"/>
      <c r="B27" s="82"/>
      <c r="C27" s="82"/>
      <c r="D27" s="82"/>
      <c r="E27" s="82"/>
      <c r="F27" s="82"/>
      <c r="G27" s="82"/>
    </row>
    <row r="28" spans="1:7" ht="12.75">
      <c r="A28" s="82"/>
      <c r="B28" s="82"/>
      <c r="C28" s="82"/>
      <c r="D28" s="82"/>
      <c r="E28" s="82"/>
      <c r="F28" s="82"/>
      <c r="G28" s="82"/>
    </row>
    <row r="29" spans="1:7" ht="12.75">
      <c r="A29" s="82"/>
      <c r="B29" s="82"/>
      <c r="C29" s="82"/>
      <c r="D29" s="82"/>
      <c r="E29" s="82"/>
      <c r="F29" s="82"/>
      <c r="G29" s="82"/>
    </row>
    <row r="30" spans="1:7" ht="12.75">
      <c r="A30" s="82"/>
      <c r="B30" s="82"/>
      <c r="C30" s="82"/>
      <c r="D30" s="82"/>
      <c r="E30" s="82"/>
      <c r="F30" s="82"/>
      <c r="G30" s="82"/>
    </row>
    <row r="31" spans="1:7" ht="12.75">
      <c r="A31" s="82"/>
      <c r="B31" s="82"/>
      <c r="C31" s="82"/>
      <c r="D31" s="82"/>
      <c r="E31" s="82"/>
      <c r="F31" s="82"/>
      <c r="G31" s="82"/>
    </row>
    <row r="32" spans="1:7" ht="12.75">
      <c r="A32" s="82"/>
      <c r="B32" s="82"/>
      <c r="C32" s="82"/>
      <c r="D32" s="82"/>
      <c r="E32" s="82"/>
      <c r="F32" s="82"/>
      <c r="G32" s="82"/>
    </row>
    <row r="33" spans="1:7" ht="12.75">
      <c r="A33" s="82"/>
      <c r="B33" s="82"/>
      <c r="C33" s="82"/>
      <c r="D33" s="82"/>
      <c r="E33" s="82"/>
      <c r="F33" s="82"/>
      <c r="G33" s="82"/>
    </row>
    <row r="34" spans="1:7" ht="12.75">
      <c r="A34" s="82"/>
      <c r="B34" s="82"/>
      <c r="C34" s="82"/>
      <c r="D34" s="82"/>
      <c r="E34" s="82"/>
      <c r="F34" s="82"/>
      <c r="G34" s="82"/>
    </row>
    <row r="35" spans="1:7" ht="12.75">
      <c r="A35" s="82"/>
      <c r="B35" s="82"/>
      <c r="C35" s="82"/>
      <c r="D35" s="82"/>
      <c r="E35" s="82"/>
      <c r="F35" s="82"/>
      <c r="G35" s="82"/>
    </row>
    <row r="36" spans="1:7" ht="12.75">
      <c r="A36" s="82"/>
      <c r="B36" s="82"/>
      <c r="C36" s="82"/>
      <c r="D36" s="82"/>
      <c r="E36" s="82"/>
      <c r="F36" s="82"/>
      <c r="G36" s="82"/>
    </row>
    <row r="37" spans="1:7" ht="12.75">
      <c r="A37" s="82"/>
      <c r="B37" s="82"/>
      <c r="C37" s="82"/>
      <c r="D37" s="82"/>
      <c r="E37" s="82"/>
      <c r="F37" s="82"/>
      <c r="G37" s="82"/>
    </row>
    <row r="38" spans="1:7" ht="12.75">
      <c r="A38" s="82"/>
      <c r="B38" s="82"/>
      <c r="C38" s="82"/>
      <c r="D38" s="82"/>
      <c r="E38" s="82"/>
      <c r="F38" s="82"/>
      <c r="G38" s="82"/>
    </row>
    <row r="39" spans="1:7" ht="12.75">
      <c r="A39" s="82"/>
      <c r="B39" s="82"/>
      <c r="C39" s="82"/>
      <c r="D39" s="82"/>
      <c r="E39" s="82"/>
      <c r="F39" s="82"/>
      <c r="G39" s="82"/>
    </row>
    <row r="40" spans="1:7" ht="12.75">
      <c r="A40" s="82"/>
      <c r="B40" s="82"/>
      <c r="C40" s="82"/>
      <c r="D40" s="82"/>
      <c r="E40" s="82"/>
      <c r="F40" s="82"/>
      <c r="G40" s="82"/>
    </row>
    <row r="41" spans="1:7" ht="12.75">
      <c r="A41" s="82"/>
      <c r="B41" s="82"/>
      <c r="C41" s="82"/>
      <c r="D41" s="82"/>
      <c r="E41" s="82"/>
      <c r="F41" s="82"/>
      <c r="G41" s="82"/>
    </row>
    <row r="42" spans="1:7" ht="12.75">
      <c r="A42" s="82"/>
      <c r="B42" s="82"/>
      <c r="C42" s="82"/>
      <c r="D42" s="82"/>
      <c r="E42" s="82"/>
      <c r="F42" s="82"/>
      <c r="G42" s="82"/>
    </row>
    <row r="43" spans="1:7" ht="12.75">
      <c r="A43" s="82"/>
      <c r="B43" s="82"/>
      <c r="C43" s="82"/>
      <c r="D43" s="82"/>
      <c r="E43" s="82"/>
      <c r="F43" s="82"/>
      <c r="G43" s="82"/>
    </row>
    <row r="44" spans="1:7" ht="12.75">
      <c r="A44" s="82"/>
      <c r="B44" s="82"/>
      <c r="C44" s="82"/>
      <c r="D44" s="82"/>
      <c r="E44" s="82"/>
      <c r="F44" s="82"/>
      <c r="G44" s="82"/>
    </row>
    <row r="45" spans="1:7" ht="12.75">
      <c r="A45" s="82"/>
      <c r="B45" s="82"/>
      <c r="C45" s="82"/>
      <c r="D45" s="82"/>
      <c r="E45" s="82"/>
      <c r="F45" s="82"/>
      <c r="G45" s="82"/>
    </row>
    <row r="46" spans="1:7" ht="12.75">
      <c r="A46" s="82"/>
      <c r="B46" s="82"/>
      <c r="C46" s="82"/>
      <c r="D46" s="82"/>
      <c r="E46" s="82"/>
      <c r="F46" s="82"/>
      <c r="G46" s="82"/>
    </row>
    <row r="47" spans="1:7" ht="12.75">
      <c r="A47" s="82"/>
      <c r="B47" s="82"/>
      <c r="C47" s="82"/>
      <c r="D47" s="82"/>
      <c r="E47" s="82"/>
      <c r="F47" s="82"/>
      <c r="G47" s="82"/>
    </row>
    <row r="48" spans="1:7" ht="12.75">
      <c r="A48" s="82"/>
      <c r="B48" s="82"/>
      <c r="C48" s="82"/>
      <c r="D48" s="82"/>
      <c r="E48" s="82"/>
      <c r="F48" s="82"/>
      <c r="G48" s="82"/>
    </row>
    <row r="49" spans="1:7" ht="12.75">
      <c r="A49" s="82"/>
      <c r="B49" s="82"/>
      <c r="C49" s="82"/>
      <c r="D49" s="82"/>
      <c r="E49" s="82"/>
      <c r="F49" s="82"/>
      <c r="G49" s="82"/>
    </row>
    <row r="50" spans="1:7" ht="12.75">
      <c r="A50" s="82"/>
      <c r="B50" s="82"/>
      <c r="C50" s="82"/>
      <c r="D50" s="82"/>
      <c r="E50" s="82"/>
      <c r="F50" s="82"/>
      <c r="G50" s="82"/>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pans="1:7" ht="12.75">
      <c r="A64" s="82"/>
      <c r="B64" s="82"/>
      <c r="C64" s="82"/>
      <c r="D64" s="82"/>
      <c r="E64" s="82"/>
      <c r="F64" s="82"/>
      <c r="G64" s="82"/>
    </row>
    <row r="65" s="82" customFormat="1" ht="12.75"/>
    <row r="66" s="82" customFormat="1" ht="12.75"/>
    <row r="67" s="82" customFormat="1" ht="12.75"/>
    <row r="68" s="82" customFormat="1" ht="12.75"/>
    <row r="69" s="82" customFormat="1" ht="12.75"/>
    <row r="70" s="82" customFormat="1" ht="12.75"/>
    <row r="71" s="82" customFormat="1" ht="12.75"/>
    <row r="72" s="82" customFormat="1" ht="12.75"/>
    <row r="73" s="82" customFormat="1" ht="12.75"/>
    <row r="74" s="82" customFormat="1" ht="12.75"/>
    <row r="75" s="82" customFormat="1" ht="12.75"/>
    <row r="76" s="82" customFormat="1" ht="12.75"/>
    <row r="77" s="82" customFormat="1" ht="12.75"/>
    <row r="78" s="82" customFormat="1" ht="12.75"/>
    <row r="79" s="82" customFormat="1" ht="12.75"/>
    <row r="80" s="82" customFormat="1" ht="12.75"/>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thickBot="1"/>
  </sheetData>
  <sheetProtection password="EF65"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7"/>
  </cols>
  <sheetData>
    <row r="1" spans="1:6" ht="20.1" customHeight="1" thickBot="1">
      <c r="A1" s="1254"/>
      <c r="B1" s="1254"/>
      <c r="C1" s="1251" t="s">
        <v>40</v>
      </c>
      <c r="D1" s="1252"/>
      <c r="E1" s="1253"/>
      <c r="F1" s="188" t="str">
        <f>+'2Př'!I1</f>
        <v/>
      </c>
    </row>
    <row r="2" spans="1:6" ht="27.95" customHeight="1">
      <c r="A2" s="1254"/>
      <c r="B2" s="1254"/>
      <c r="C2" s="1254"/>
      <c r="D2" s="1254"/>
      <c r="E2" s="1254"/>
      <c r="F2" s="1254"/>
    </row>
    <row r="3" spans="1:6" ht="27.95" customHeight="1">
      <c r="A3" s="1255" t="s">
        <v>181</v>
      </c>
      <c r="B3" s="1255"/>
      <c r="C3" s="1255"/>
      <c r="D3" s="1255"/>
      <c r="E3" s="1255"/>
      <c r="F3" s="1255"/>
    </row>
    <row r="4" spans="1:6" ht="27.95" customHeight="1" thickBot="1">
      <c r="A4" s="1254"/>
      <c r="B4" s="1254"/>
      <c r="C4" s="1254"/>
      <c r="D4" s="1254"/>
      <c r="E4" s="1254"/>
      <c r="F4" s="1254"/>
    </row>
    <row r="5" spans="1:38" s="183" customFormat="1" ht="18.75" thickBot="1">
      <c r="A5" s="1256" t="s">
        <v>129</v>
      </c>
      <c r="B5" s="1256"/>
      <c r="C5" s="1256"/>
      <c r="D5" s="1256"/>
      <c r="E5" s="1257"/>
      <c r="F5" s="184">
        <f>+'DAP1'!F24</f>
        <v>2020</v>
      </c>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1:6" ht="18">
      <c r="A6" s="1263" t="s">
        <v>182</v>
      </c>
      <c r="B6" s="1263"/>
      <c r="C6" s="1263"/>
      <c r="D6" s="1263"/>
      <c r="E6" s="1263"/>
      <c r="F6" s="1263"/>
    </row>
    <row r="7" spans="1:6" ht="15">
      <c r="A7" s="1264" t="s">
        <v>47</v>
      </c>
      <c r="B7" s="1264"/>
      <c r="C7" s="1264"/>
      <c r="D7" s="1264"/>
      <c r="E7" s="1264"/>
      <c r="F7" s="1264"/>
    </row>
    <row r="8" spans="1:6" ht="13.5" thickBot="1">
      <c r="A8" s="1254"/>
      <c r="B8" s="1254"/>
      <c r="C8" s="1254"/>
      <c r="D8" s="1254"/>
      <c r="E8" s="1254"/>
      <c r="F8" s="1254"/>
    </row>
    <row r="9" spans="1:6" ht="12.75">
      <c r="A9" s="227" t="s">
        <v>175</v>
      </c>
      <c r="B9" s="228" t="s">
        <v>180</v>
      </c>
      <c r="C9" s="228" t="s">
        <v>179</v>
      </c>
      <c r="D9" s="228" t="s">
        <v>178</v>
      </c>
      <c r="E9" s="228" t="s">
        <v>177</v>
      </c>
      <c r="F9" s="229" t="s">
        <v>176</v>
      </c>
    </row>
    <row r="10" spans="1:6" ht="12.75" customHeight="1">
      <c r="A10" s="1265" t="s">
        <v>8</v>
      </c>
      <c r="B10" s="1261" t="s">
        <v>3687</v>
      </c>
      <c r="C10" s="1261" t="s">
        <v>3688</v>
      </c>
      <c r="D10" s="1261" t="s">
        <v>3689</v>
      </c>
      <c r="E10" s="1261" t="s">
        <v>3690</v>
      </c>
      <c r="F10" s="1249" t="s">
        <v>3691</v>
      </c>
    </row>
    <row r="11" spans="1:6" ht="45.75" customHeight="1">
      <c r="A11" s="1265"/>
      <c r="B11" s="1261"/>
      <c r="C11" s="1261"/>
      <c r="D11" s="1262"/>
      <c r="E11" s="1262"/>
      <c r="F11" s="1250"/>
    </row>
    <row r="12" spans="1:6" ht="18" customHeight="1">
      <c r="A12" s="189">
        <v>1</v>
      </c>
      <c r="B12" s="230">
        <v>2019</v>
      </c>
      <c r="C12" s="231">
        <v>0</v>
      </c>
      <c r="D12" s="231">
        <v>0</v>
      </c>
      <c r="E12" s="231">
        <v>0</v>
      </c>
      <c r="F12" s="232">
        <f t="shared" si="0" ref="F12:F19">+C12-D12-E12</f>
        <v>0</v>
      </c>
    </row>
    <row r="13" spans="1:6" ht="18" customHeight="1">
      <c r="A13" s="189">
        <v>2</v>
      </c>
      <c r="B13" s="233"/>
      <c r="C13" s="231"/>
      <c r="D13" s="231"/>
      <c r="E13" s="231"/>
      <c r="F13" s="232">
        <f t="shared" si="0"/>
        <v>0</v>
      </c>
    </row>
    <row r="14" spans="1:6" ht="18" customHeight="1">
      <c r="A14" s="189">
        <v>3</v>
      </c>
      <c r="B14" s="233"/>
      <c r="C14" s="231"/>
      <c r="D14" s="231"/>
      <c r="E14" s="231"/>
      <c r="F14" s="232">
        <f t="shared" si="0"/>
        <v>0</v>
      </c>
    </row>
    <row r="15" spans="1:6" ht="18" customHeight="1">
      <c r="A15" s="189">
        <v>4</v>
      </c>
      <c r="B15" s="233"/>
      <c r="C15" s="231"/>
      <c r="D15" s="231"/>
      <c r="E15" s="231"/>
      <c r="F15" s="232">
        <f t="shared" si="0"/>
        <v>0</v>
      </c>
    </row>
    <row r="16" spans="1:6" ht="18" customHeight="1">
      <c r="A16" s="189">
        <v>5</v>
      </c>
      <c r="B16" s="233"/>
      <c r="C16" s="231"/>
      <c r="D16" s="231"/>
      <c r="E16" s="231"/>
      <c r="F16" s="232">
        <f t="shared" si="0"/>
        <v>0</v>
      </c>
    </row>
    <row r="17" spans="1:6" ht="18" customHeight="1">
      <c r="A17" s="189">
        <v>6</v>
      </c>
      <c r="B17" s="233"/>
      <c r="C17" s="231"/>
      <c r="D17" s="231"/>
      <c r="E17" s="231"/>
      <c r="F17" s="232">
        <f t="shared" si="0"/>
        <v>0</v>
      </c>
    </row>
    <row r="18" spans="1:6" ht="18" customHeight="1">
      <c r="A18" s="189">
        <v>7</v>
      </c>
      <c r="B18" s="233"/>
      <c r="C18" s="231"/>
      <c r="D18" s="231"/>
      <c r="E18" s="231"/>
      <c r="F18" s="232">
        <f t="shared" si="0"/>
        <v>0</v>
      </c>
    </row>
    <row r="19" spans="1:6" ht="18" customHeight="1">
      <c r="A19" s="189">
        <v>8</v>
      </c>
      <c r="B19" s="233"/>
      <c r="C19" s="231"/>
      <c r="D19" s="231"/>
      <c r="E19" s="231"/>
      <c r="F19" s="232">
        <f t="shared" si="0"/>
        <v>0</v>
      </c>
    </row>
    <row r="20" spans="1:6" ht="18" customHeight="1" thickBot="1">
      <c r="A20" s="234">
        <v>9</v>
      </c>
      <c r="B20" s="1259" t="s">
        <v>62</v>
      </c>
      <c r="C20" s="1260"/>
      <c r="D20" s="1260"/>
      <c r="E20" s="235">
        <f>SUM(E12:E19)</f>
        <v>0</v>
      </c>
      <c r="F20" s="236">
        <f>SUM(F12:F19)</f>
        <v>0</v>
      </c>
    </row>
    <row r="21" spans="1:6" ht="24" customHeight="1">
      <c r="A21" s="1258" t="s">
        <v>3692</v>
      </c>
      <c r="B21" s="1258"/>
      <c r="C21" s="1258"/>
      <c r="D21" s="1258"/>
      <c r="E21" s="1258"/>
      <c r="F21" s="1258"/>
    </row>
    <row r="22" spans="1:6" ht="24" customHeight="1">
      <c r="A22" s="1246"/>
      <c r="B22" s="1246"/>
      <c r="C22" s="1246"/>
      <c r="D22" s="1246"/>
      <c r="E22" s="1246"/>
      <c r="F22" s="1246"/>
    </row>
    <row r="23" spans="1:6" ht="24" customHeight="1">
      <c r="A23" s="1246"/>
      <c r="B23" s="1246"/>
      <c r="C23" s="1246"/>
      <c r="D23" s="1246"/>
      <c r="E23" s="1246"/>
      <c r="F23" s="1246"/>
    </row>
    <row r="24" spans="1:6" ht="24" customHeight="1">
      <c r="A24" s="1246"/>
      <c r="B24" s="1246"/>
      <c r="C24" s="1246"/>
      <c r="D24" s="1246"/>
      <c r="E24" s="1246"/>
      <c r="F24" s="1246"/>
    </row>
    <row r="25" spans="1:6" ht="24" customHeight="1">
      <c r="A25" s="1246"/>
      <c r="B25" s="1246"/>
      <c r="C25" s="1246"/>
      <c r="D25" s="1246"/>
      <c r="E25" s="1246"/>
      <c r="F25" s="1246"/>
    </row>
    <row r="26" spans="1:6" ht="24" customHeight="1">
      <c r="A26" s="1246"/>
      <c r="B26" s="1246"/>
      <c r="C26" s="1246"/>
      <c r="D26" s="1246"/>
      <c r="E26" s="1246"/>
      <c r="F26" s="1246"/>
    </row>
    <row r="27" spans="1:6" ht="24" customHeight="1">
      <c r="A27" s="1246"/>
      <c r="B27" s="1246"/>
      <c r="C27" s="1246"/>
      <c r="D27" s="1246"/>
      <c r="E27" s="1246"/>
      <c r="F27" s="1246"/>
    </row>
    <row r="28" spans="1:6" ht="24" customHeight="1">
      <c r="A28" s="1246"/>
      <c r="B28" s="1246"/>
      <c r="C28" s="1246"/>
      <c r="D28" s="1246"/>
      <c r="E28" s="1246"/>
      <c r="F28" s="1246"/>
    </row>
    <row r="29" spans="1:6" ht="24" customHeight="1">
      <c r="A29" s="1246"/>
      <c r="B29" s="1246"/>
      <c r="C29" s="1246"/>
      <c r="D29" s="1246"/>
      <c r="E29" s="1246"/>
      <c r="F29" s="1246"/>
    </row>
    <row r="30" spans="1:6" ht="24" customHeight="1">
      <c r="A30" s="1246"/>
      <c r="B30" s="1246"/>
      <c r="C30" s="1246"/>
      <c r="D30" s="1246"/>
      <c r="E30" s="1246"/>
      <c r="F30" s="1246"/>
    </row>
    <row r="31" spans="1:6" ht="24" customHeight="1">
      <c r="A31" s="1246"/>
      <c r="B31" s="1246"/>
      <c r="C31" s="1246"/>
      <c r="D31" s="1246"/>
      <c r="E31" s="1246"/>
      <c r="F31" s="1246"/>
    </row>
    <row r="32" spans="1:6" ht="24" customHeight="1">
      <c r="A32" s="1246"/>
      <c r="B32" s="1246"/>
      <c r="C32" s="1246"/>
      <c r="D32" s="1246"/>
      <c r="E32" s="1246"/>
      <c r="F32" s="1246"/>
    </row>
    <row r="33" spans="1:6" ht="24" customHeight="1">
      <c r="A33" s="1246"/>
      <c r="B33" s="1246"/>
      <c r="C33" s="1246"/>
      <c r="D33" s="1246"/>
      <c r="E33" s="1246"/>
      <c r="F33" s="1246"/>
    </row>
    <row r="34" spans="1:6" ht="12.75">
      <c r="A34" s="1247" t="str">
        <f>+'DAP1'!A46</f>
        <v>Formulář zpracovala ASPEKT HM, daňová, účetní a auditorská kancelář, www.danovapriznani.cz, business.center.cz</v>
      </c>
      <c r="B34" s="1248"/>
      <c r="C34" s="1248"/>
      <c r="D34" s="1248"/>
      <c r="E34" s="1248"/>
      <c r="F34" s="1248"/>
    </row>
    <row r="35" spans="1:6" ht="12.75">
      <c r="A35" s="1244" t="s">
        <v>3693</v>
      </c>
      <c r="B35" s="1244"/>
      <c r="C35" s="1244"/>
      <c r="D35" s="1244"/>
      <c r="E35" s="1244"/>
      <c r="F35" s="1244"/>
    </row>
    <row r="36" spans="1:6" ht="12.75">
      <c r="A36" s="1245" t="s">
        <v>279</v>
      </c>
      <c r="B36" s="1245"/>
      <c r="C36" s="1245"/>
      <c r="D36" s="1245"/>
      <c r="E36" s="1245"/>
      <c r="F36" s="1245"/>
    </row>
    <row r="37" spans="1:6" ht="12.75">
      <c r="A37" s="27"/>
      <c r="B37" s="27"/>
      <c r="C37" s="27"/>
      <c r="D37" s="27"/>
      <c r="E37" s="27"/>
      <c r="F37" s="27"/>
    </row>
    <row r="38" spans="1:6" ht="12.75">
      <c r="A38" s="27"/>
      <c r="B38" s="27"/>
      <c r="C38" s="27"/>
      <c r="D38" s="27"/>
      <c r="E38" s="27"/>
      <c r="F38" s="27"/>
    </row>
    <row r="39" spans="1:6" ht="12.75">
      <c r="A39" s="27"/>
      <c r="B39" s="27"/>
      <c r="C39" s="27"/>
      <c r="D39" s="27"/>
      <c r="E39" s="27"/>
      <c r="F39" s="27"/>
    </row>
    <row r="40" spans="1:6" ht="12.75">
      <c r="A40" s="27"/>
      <c r="B40" s="27"/>
      <c r="C40" s="27"/>
      <c r="D40" s="27"/>
      <c r="E40" s="27"/>
      <c r="F40" s="27"/>
    </row>
    <row r="41" spans="1:6" ht="12.75">
      <c r="A41" s="27"/>
      <c r="B41" s="27"/>
      <c r="C41" s="27"/>
      <c r="D41" s="27"/>
      <c r="E41" s="27"/>
      <c r="F41" s="27"/>
    </row>
    <row r="42" spans="1:6" ht="12.75">
      <c r="A42" s="27"/>
      <c r="B42" s="27"/>
      <c r="C42" s="27"/>
      <c r="D42" s="27"/>
      <c r="E42" s="27"/>
      <c r="F42" s="27"/>
    </row>
    <row r="43" spans="1:6" ht="12.75">
      <c r="A43" s="27"/>
      <c r="B43" s="27"/>
      <c r="C43" s="27"/>
      <c r="D43" s="27"/>
      <c r="E43" s="27"/>
      <c r="F43" s="27"/>
    </row>
    <row r="44" spans="1:6" ht="12.75">
      <c r="A44" s="27"/>
      <c r="B44" s="27"/>
      <c r="C44" s="27"/>
      <c r="D44" s="27"/>
      <c r="E44" s="27"/>
      <c r="F44" s="27"/>
    </row>
    <row r="45" spans="1:6" ht="12.75">
      <c r="A45" s="27"/>
      <c r="B45" s="27"/>
      <c r="C45" s="27"/>
      <c r="D45" s="27"/>
      <c r="E45" s="27"/>
      <c r="F45" s="27"/>
    </row>
    <row r="46" spans="1:6" ht="12.75">
      <c r="A46" s="27"/>
      <c r="B46" s="27"/>
      <c r="C46" s="27"/>
      <c r="D46" s="27"/>
      <c r="E46" s="27"/>
      <c r="F46" s="27"/>
    </row>
    <row r="47" spans="1:6" ht="12.75">
      <c r="A47" s="27"/>
      <c r="B47" s="27"/>
      <c r="C47" s="27"/>
      <c r="D47" s="27"/>
      <c r="E47" s="27"/>
      <c r="F47" s="27"/>
    </row>
    <row r="48" spans="1:6" ht="12.75">
      <c r="A48" s="27"/>
      <c r="B48" s="27"/>
      <c r="C48" s="27"/>
      <c r="D48" s="27"/>
      <c r="E48" s="27"/>
      <c r="F48" s="27"/>
    </row>
    <row r="49" s="27" customFormat="1" ht="12.75"/>
    <row r="50" s="27" customFormat="1" ht="12.75"/>
    <row r="51" s="27" customFormat="1" ht="12.75"/>
    <row r="52" s="27" customFormat="1" ht="12.75"/>
    <row r="53" s="27" customFormat="1" ht="12.75"/>
    <row r="54" s="27" customFormat="1" ht="12.75"/>
    <row r="55" s="27" customFormat="1" ht="12.75"/>
    <row r="56" s="27" customFormat="1" ht="12.75"/>
    <row r="57" s="27" customFormat="1" ht="12.75"/>
    <row r="58" s="27" customFormat="1" ht="12.75"/>
    <row r="59" s="27" customFormat="1" ht="12.75"/>
    <row r="60" s="27" customFormat="1" ht="12.75"/>
    <row r="61" s="27" customFormat="1" ht="12.75" thickBot="1"/>
  </sheetData>
  <sheetProtection algorithmName="SHA-512" hashValue="XrDWiQjpN+g3I0PvmW/4CVCXrcE+AATpD5UOmTLtMqYqXcvj68bNhdValf1IG/ih8G7+o7ngTeJLXlz/DuanOw==" saltValue="b276ZimhLUa4qUCtL5byU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3" customWidth="1"/>
    <col min="2" max="2" width="64.7142857142857" customWidth="1"/>
    <col min="3" max="6" width="18.7142857142857" customWidth="1"/>
    <col min="7" max="21" width="9.14285714285714" style="27"/>
  </cols>
  <sheetData>
    <row r="1" spans="1:6" ht="18" customHeight="1">
      <c r="A1" s="1251" t="s">
        <v>40</v>
      </c>
      <c r="B1" s="1246"/>
      <c r="C1" s="1246"/>
      <c r="D1" s="1268"/>
      <c r="E1" s="1266" t="str">
        <f>+'6Př'!F1</f>
        <v/>
      </c>
      <c r="F1" s="1267"/>
    </row>
    <row r="2" spans="1:6" ht="12.75">
      <c r="A2" s="1246"/>
      <c r="B2" s="1246"/>
      <c r="C2" s="1246"/>
      <c r="D2" s="1246"/>
      <c r="E2" s="1246"/>
      <c r="F2" s="1246"/>
    </row>
    <row r="3" spans="1:21" s="149" customFormat="1" ht="27.75">
      <c r="A3" s="1269" t="s">
        <v>126</v>
      </c>
      <c r="B3" s="1269"/>
      <c r="C3" s="1269"/>
      <c r="D3" s="1269"/>
      <c r="E3" s="1269"/>
      <c r="F3" s="1269"/>
      <c r="G3" s="119"/>
      <c r="H3" s="119"/>
      <c r="I3" s="119"/>
      <c r="J3" s="119"/>
      <c r="K3" s="119"/>
      <c r="L3" s="119"/>
      <c r="M3" s="119"/>
      <c r="N3" s="119"/>
      <c r="O3" s="119"/>
      <c r="P3" s="119"/>
      <c r="Q3" s="119"/>
      <c r="R3" s="119"/>
      <c r="S3" s="119"/>
      <c r="T3" s="119"/>
      <c r="U3" s="119"/>
    </row>
    <row r="4" spans="1:21" s="149" customFormat="1" ht="18">
      <c r="A4" s="517" t="s">
        <v>48</v>
      </c>
      <c r="B4" s="517"/>
      <c r="C4" s="517"/>
      <c r="D4" s="517"/>
      <c r="E4" s="517"/>
      <c r="F4" s="517"/>
      <c r="G4" s="119"/>
      <c r="H4" s="119"/>
      <c r="I4" s="119"/>
      <c r="J4" s="119"/>
      <c r="K4" s="119"/>
      <c r="L4" s="119"/>
      <c r="M4" s="119"/>
      <c r="N4" s="119"/>
      <c r="O4" s="119"/>
      <c r="P4" s="119"/>
      <c r="Q4" s="119"/>
      <c r="R4" s="119"/>
      <c r="S4" s="119"/>
      <c r="T4" s="119"/>
      <c r="U4" s="119"/>
    </row>
    <row r="5" spans="1:21" s="149" customFormat="1" ht="18">
      <c r="A5" s="517" t="s">
        <v>3488</v>
      </c>
      <c r="B5" s="517"/>
      <c r="C5" s="517"/>
      <c r="D5" s="517"/>
      <c r="E5" s="517"/>
      <c r="F5" s="517"/>
      <c r="G5" s="119"/>
      <c r="H5" s="119"/>
      <c r="I5" s="119"/>
      <c r="J5" s="119"/>
      <c r="K5" s="119"/>
      <c r="L5" s="119"/>
      <c r="M5" s="119"/>
      <c r="N5" s="119"/>
      <c r="O5" s="119"/>
      <c r="P5" s="119"/>
      <c r="Q5" s="119"/>
      <c r="R5" s="119"/>
      <c r="S5" s="119"/>
      <c r="T5" s="119"/>
      <c r="U5" s="119"/>
    </row>
    <row r="6" spans="1:21" s="149" customFormat="1" ht="18">
      <c r="A6" s="1272" t="s">
        <v>129</v>
      </c>
      <c r="B6" s="1272"/>
      <c r="C6" s="1272"/>
      <c r="D6" s="1273"/>
      <c r="E6" s="186">
        <f>+'DAP1'!F24</f>
        <v>2020</v>
      </c>
      <c r="F6" s="150"/>
      <c r="G6" s="119"/>
      <c r="H6" s="119"/>
      <c r="I6" s="119"/>
      <c r="J6" s="119"/>
      <c r="K6" s="119"/>
      <c r="L6" s="119"/>
      <c r="M6" s="119"/>
      <c r="N6" s="119"/>
      <c r="O6" s="119"/>
      <c r="P6" s="119"/>
      <c r="Q6" s="119"/>
      <c r="R6" s="119"/>
      <c r="S6" s="119"/>
      <c r="T6" s="119"/>
      <c r="U6" s="119"/>
    </row>
    <row r="7" spans="1:6" ht="13.5" thickBot="1">
      <c r="A7" s="1246"/>
      <c r="B7" s="1246"/>
      <c r="C7" s="1246"/>
      <c r="D7" s="1246"/>
      <c r="E7" s="1246"/>
      <c r="F7" s="1246"/>
    </row>
    <row r="8" spans="1:6" ht="18" customHeight="1">
      <c r="A8" s="237" t="s">
        <v>8</v>
      </c>
      <c r="B8" s="238" t="s">
        <v>49</v>
      </c>
      <c r="C8" s="238" t="s">
        <v>50</v>
      </c>
      <c r="D8" s="238" t="s">
        <v>51</v>
      </c>
      <c r="E8" s="238" t="s">
        <v>52</v>
      </c>
      <c r="F8" s="239" t="s">
        <v>53</v>
      </c>
    </row>
    <row r="9" spans="1:6" ht="18" customHeight="1" thickBot="1">
      <c r="A9" s="240" t="s">
        <v>130</v>
      </c>
      <c r="B9" s="241" t="s">
        <v>3489</v>
      </c>
      <c r="C9" s="241" t="s">
        <v>131</v>
      </c>
      <c r="D9" s="241" t="s">
        <v>132</v>
      </c>
      <c r="E9" s="241" t="s">
        <v>133</v>
      </c>
      <c r="F9" s="242" t="s">
        <v>134</v>
      </c>
    </row>
    <row r="10" spans="1:6" ht="18" customHeight="1">
      <c r="A10" s="243">
        <v>1</v>
      </c>
      <c r="B10" s="244"/>
      <c r="C10" s="245"/>
      <c r="D10" s="245"/>
      <c r="E10" s="245"/>
      <c r="F10" s="246"/>
    </row>
    <row r="11" spans="1:6" ht="18" customHeight="1">
      <c r="A11" s="247"/>
      <c r="B11" s="151"/>
      <c r="C11" s="248"/>
      <c r="D11" s="248"/>
      <c r="E11" s="248"/>
      <c r="F11" s="249"/>
    </row>
    <row r="12" spans="1:6" ht="18" customHeight="1">
      <c r="A12" s="247"/>
      <c r="B12" s="151"/>
      <c r="C12" s="248"/>
      <c r="D12" s="248"/>
      <c r="E12" s="248"/>
      <c r="F12" s="249"/>
    </row>
    <row r="13" spans="1:6" ht="18" customHeight="1">
      <c r="A13" s="247"/>
      <c r="B13" s="151"/>
      <c r="C13" s="248"/>
      <c r="D13" s="248"/>
      <c r="E13" s="248"/>
      <c r="F13" s="249"/>
    </row>
    <row r="14" spans="1:6" ht="18" customHeight="1">
      <c r="A14" s="247"/>
      <c r="B14" s="151"/>
      <c r="C14" s="248"/>
      <c r="D14" s="248"/>
      <c r="E14" s="248"/>
      <c r="F14" s="249"/>
    </row>
    <row r="15" spans="1:6" ht="18" customHeight="1">
      <c r="A15" s="247"/>
      <c r="B15" s="151"/>
      <c r="C15" s="248"/>
      <c r="D15" s="248"/>
      <c r="E15" s="248"/>
      <c r="F15" s="249"/>
    </row>
    <row r="16" spans="1:6" ht="18" customHeight="1">
      <c r="A16" s="247"/>
      <c r="B16" s="151"/>
      <c r="C16" s="248"/>
      <c r="D16" s="248"/>
      <c r="E16" s="248"/>
      <c r="F16" s="249"/>
    </row>
    <row r="17" spans="1:6" ht="18" customHeight="1">
      <c r="A17" s="247"/>
      <c r="B17" s="151"/>
      <c r="C17" s="248"/>
      <c r="D17" s="248"/>
      <c r="E17" s="248"/>
      <c r="F17" s="249"/>
    </row>
    <row r="18" spans="1:6" ht="18" customHeight="1">
      <c r="A18" s="247"/>
      <c r="B18" s="151"/>
      <c r="C18" s="248"/>
      <c r="D18" s="248"/>
      <c r="E18" s="248"/>
      <c r="F18" s="249"/>
    </row>
    <row r="19" spans="1:6" ht="18" customHeight="1">
      <c r="A19" s="247"/>
      <c r="B19" s="151"/>
      <c r="C19" s="248"/>
      <c r="D19" s="248"/>
      <c r="E19" s="248"/>
      <c r="F19" s="249"/>
    </row>
    <row r="20" spans="1:6" ht="18" customHeight="1">
      <c r="A20" s="247"/>
      <c r="B20" s="151"/>
      <c r="C20" s="248"/>
      <c r="D20" s="248"/>
      <c r="E20" s="248"/>
      <c r="F20" s="249"/>
    </row>
    <row r="21" spans="1:6" ht="18" customHeight="1">
      <c r="A21" s="247"/>
      <c r="B21" s="151"/>
      <c r="C21" s="248"/>
      <c r="D21" s="248"/>
      <c r="E21" s="248"/>
      <c r="F21" s="249"/>
    </row>
    <row r="22" spans="1:6" ht="18" customHeight="1">
      <c r="A22" s="247"/>
      <c r="B22" s="151"/>
      <c r="C22" s="248"/>
      <c r="D22" s="248"/>
      <c r="E22" s="248"/>
      <c r="F22" s="249"/>
    </row>
    <row r="23" spans="1:6" ht="18" customHeight="1">
      <c r="A23" s="247"/>
      <c r="B23" s="151"/>
      <c r="C23" s="248"/>
      <c r="D23" s="248"/>
      <c r="E23" s="248"/>
      <c r="F23" s="249"/>
    </row>
    <row r="24" spans="1:6" ht="18" customHeight="1">
      <c r="A24" s="247"/>
      <c r="B24" s="151"/>
      <c r="C24" s="248"/>
      <c r="D24" s="248"/>
      <c r="E24" s="248"/>
      <c r="F24" s="249"/>
    </row>
    <row r="25" spans="1:6" ht="18" customHeight="1" thickBot="1">
      <c r="A25" s="250"/>
      <c r="B25" s="251"/>
      <c r="C25" s="252"/>
      <c r="D25" s="252"/>
      <c r="E25" s="252"/>
      <c r="F25" s="253"/>
    </row>
    <row r="26" spans="1:6" ht="12.75">
      <c r="A26" s="1274"/>
      <c r="B26" s="1274"/>
      <c r="C26" s="1274"/>
      <c r="D26" s="1274"/>
      <c r="E26" s="1274"/>
      <c r="F26" s="1274"/>
    </row>
    <row r="27" spans="1:21" s="149" customFormat="1" ht="12.75">
      <c r="A27" s="1275" t="s">
        <v>3493</v>
      </c>
      <c r="B27" s="1019"/>
      <c r="C27" s="1019"/>
      <c r="D27" s="1019"/>
      <c r="E27" s="1019"/>
      <c r="F27" s="1019"/>
      <c r="G27" s="119"/>
      <c r="H27" s="119"/>
      <c r="I27" s="119"/>
      <c r="J27" s="119"/>
      <c r="K27" s="119"/>
      <c r="L27" s="119"/>
      <c r="M27" s="119"/>
      <c r="N27" s="119"/>
      <c r="O27" s="119"/>
      <c r="P27" s="119"/>
      <c r="Q27" s="119"/>
      <c r="R27" s="119"/>
      <c r="S27" s="119"/>
      <c r="T27" s="119"/>
      <c r="U27" s="119"/>
    </row>
    <row r="28" spans="1:21" s="149" customFormat="1" ht="24" customHeight="1">
      <c r="A28" s="1276" t="s">
        <v>3490</v>
      </c>
      <c r="B28" s="608"/>
      <c r="C28" s="608"/>
      <c r="D28" s="608"/>
      <c r="E28" s="608"/>
      <c r="F28" s="608"/>
      <c r="G28" s="119"/>
      <c r="H28" s="119"/>
      <c r="I28" s="119"/>
      <c r="J28" s="119"/>
      <c r="K28" s="119"/>
      <c r="L28" s="119"/>
      <c r="M28" s="119"/>
      <c r="N28" s="119"/>
      <c r="O28" s="119"/>
      <c r="P28" s="119"/>
      <c r="Q28" s="119"/>
      <c r="R28" s="119"/>
      <c r="S28" s="119"/>
      <c r="T28" s="119"/>
      <c r="U28" s="119"/>
    </row>
    <row r="29" spans="1:21" s="149" customFormat="1" ht="12.75">
      <c r="A29" s="1275" t="s">
        <v>135</v>
      </c>
      <c r="B29" s="1019"/>
      <c r="C29" s="1019"/>
      <c r="D29" s="1019"/>
      <c r="E29" s="1019"/>
      <c r="F29" s="1019"/>
      <c r="G29" s="119"/>
      <c r="H29" s="119"/>
      <c r="I29" s="119"/>
      <c r="J29" s="119"/>
      <c r="K29" s="119"/>
      <c r="L29" s="119"/>
      <c r="M29" s="119"/>
      <c r="N29" s="119"/>
      <c r="O29" s="119"/>
      <c r="P29" s="119"/>
      <c r="Q29" s="119"/>
      <c r="R29" s="119"/>
      <c r="S29" s="119"/>
      <c r="T29" s="119"/>
      <c r="U29" s="119"/>
    </row>
    <row r="30" spans="1:21" s="149" customFormat="1" ht="12.75">
      <c r="A30" s="1275" t="s">
        <v>136</v>
      </c>
      <c r="B30" s="1019"/>
      <c r="C30" s="1019"/>
      <c r="D30" s="1019"/>
      <c r="E30" s="1019"/>
      <c r="F30" s="1019"/>
      <c r="G30" s="119"/>
      <c r="H30" s="119"/>
      <c r="I30" s="119"/>
      <c r="J30" s="119"/>
      <c r="K30" s="119"/>
      <c r="L30" s="119"/>
      <c r="M30" s="119"/>
      <c r="N30" s="119"/>
      <c r="O30" s="119"/>
      <c r="P30" s="119"/>
      <c r="Q30" s="119"/>
      <c r="R30" s="119"/>
      <c r="S30" s="119"/>
      <c r="T30" s="119"/>
      <c r="U30" s="119"/>
    </row>
    <row r="31" spans="1:21" s="149" customFormat="1" ht="24" customHeight="1">
      <c r="A31" s="1276" t="s">
        <v>137</v>
      </c>
      <c r="B31" s="608"/>
      <c r="C31" s="608"/>
      <c r="D31" s="608"/>
      <c r="E31" s="608"/>
      <c r="F31" s="608"/>
      <c r="G31" s="119"/>
      <c r="H31" s="119"/>
      <c r="I31" s="119"/>
      <c r="J31" s="119"/>
      <c r="K31" s="119"/>
      <c r="L31" s="119"/>
      <c r="M31" s="119"/>
      <c r="N31" s="119"/>
      <c r="O31" s="119"/>
      <c r="P31" s="119"/>
      <c r="Q31" s="119"/>
      <c r="R31" s="119"/>
      <c r="S31" s="119"/>
      <c r="T31" s="119"/>
      <c r="U31" s="119"/>
    </row>
    <row r="32" spans="1:21" s="149" customFormat="1" ht="24" customHeight="1">
      <c r="A32" s="1276" t="s">
        <v>54</v>
      </c>
      <c r="B32" s="608"/>
      <c r="C32" s="608"/>
      <c r="D32" s="608"/>
      <c r="E32" s="608"/>
      <c r="F32" s="608"/>
      <c r="G32" s="119"/>
      <c r="H32" s="119"/>
      <c r="I32" s="119"/>
      <c r="J32" s="119"/>
      <c r="K32" s="119"/>
      <c r="L32" s="119"/>
      <c r="M32" s="119"/>
      <c r="N32" s="119"/>
      <c r="O32" s="119"/>
      <c r="P32" s="119"/>
      <c r="Q32" s="119"/>
      <c r="R32" s="119"/>
      <c r="S32" s="119"/>
      <c r="T32" s="119"/>
      <c r="U32" s="119"/>
    </row>
    <row r="33" spans="1:6" ht="12.75">
      <c r="A33" s="82"/>
      <c r="B33" s="82"/>
      <c r="C33" s="82"/>
      <c r="D33" s="82"/>
      <c r="E33" s="82"/>
      <c r="F33" s="82"/>
    </row>
    <row r="34" spans="1:6" ht="12.75">
      <c r="A34" s="1247" t="str">
        <f>+'DAP1'!A46</f>
        <v>Formulář zpracovala ASPEKT HM, daňová, účetní a auditorská kancelář, www.danovapriznani.cz, business.center.cz</v>
      </c>
      <c r="B34" s="1270"/>
      <c r="C34" s="1270"/>
      <c r="D34" s="1270"/>
      <c r="E34" s="1270"/>
      <c r="F34" s="1270"/>
    </row>
    <row r="35" spans="1:6" ht="12.75">
      <c r="A35" s="1271" t="s">
        <v>269</v>
      </c>
      <c r="B35" s="1271"/>
      <c r="C35" s="1271"/>
      <c r="D35" s="1271"/>
      <c r="E35" s="1271"/>
      <c r="F35" s="1271"/>
    </row>
    <row r="36" spans="1:6" ht="12.75">
      <c r="A36" s="1245" t="s">
        <v>279</v>
      </c>
      <c r="B36" s="1245"/>
      <c r="C36" s="1245"/>
      <c r="D36" s="1245"/>
      <c r="E36" s="1245"/>
      <c r="F36" s="1245"/>
    </row>
    <row r="37" spans="1:6" ht="13.5" customHeight="1">
      <c r="A37" s="27"/>
      <c r="B37" s="27"/>
      <c r="C37" s="27"/>
      <c r="D37" s="27"/>
      <c r="E37" s="27"/>
      <c r="F37" s="27"/>
    </row>
    <row r="38" spans="1:6" ht="12.75">
      <c r="A38" s="27"/>
      <c r="B38" s="27"/>
      <c r="C38" s="27"/>
      <c r="D38" s="27"/>
      <c r="E38" s="27"/>
      <c r="F38" s="27"/>
    </row>
    <row r="39" spans="1:6" ht="12.75">
      <c r="A39" s="27"/>
      <c r="B39" s="27"/>
      <c r="C39" s="27"/>
      <c r="D39" s="27"/>
      <c r="E39" s="27"/>
      <c r="F39" s="27"/>
    </row>
    <row r="40" spans="1:6" ht="12.75">
      <c r="A40" s="27"/>
      <c r="B40" s="27"/>
      <c r="C40" s="27"/>
      <c r="D40" s="27"/>
      <c r="E40" s="27"/>
      <c r="F40" s="27"/>
    </row>
    <row r="41" spans="1:6" ht="12.75">
      <c r="A41" s="27"/>
      <c r="B41" s="27"/>
      <c r="C41" s="27"/>
      <c r="D41" s="27"/>
      <c r="E41" s="27"/>
      <c r="F41" s="27"/>
    </row>
    <row r="42" spans="1:6" ht="12.75">
      <c r="A42" s="27"/>
      <c r="B42" s="27"/>
      <c r="C42" s="27"/>
      <c r="D42" s="27"/>
      <c r="E42" s="27"/>
      <c r="F42" s="27"/>
    </row>
    <row r="43" spans="1:6" ht="12.75">
      <c r="A43" s="27"/>
      <c r="B43" s="27"/>
      <c r="C43" s="27"/>
      <c r="D43" s="27"/>
      <c r="E43" s="27"/>
      <c r="F43" s="27"/>
    </row>
    <row r="44" spans="1:6" ht="12.75">
      <c r="A44" s="27"/>
      <c r="B44" s="27"/>
      <c r="C44" s="27"/>
      <c r="D44" s="27"/>
      <c r="E44" s="27"/>
      <c r="F44" s="27"/>
    </row>
    <row r="45" spans="1:6" ht="12.75">
      <c r="A45" s="27"/>
      <c r="B45" s="27"/>
      <c r="C45" s="27"/>
      <c r="D45" s="27"/>
      <c r="E45" s="27"/>
      <c r="F45" s="27"/>
    </row>
    <row r="46" spans="1:6" ht="12.75">
      <c r="A46" s="27"/>
      <c r="B46" s="27"/>
      <c r="C46" s="27"/>
      <c r="D46" s="27"/>
      <c r="E46" s="27"/>
      <c r="F46" s="27"/>
    </row>
    <row r="47" spans="1:6" ht="12.75">
      <c r="A47" s="27"/>
      <c r="B47" s="27"/>
      <c r="C47" s="27"/>
      <c r="D47" s="27"/>
      <c r="E47" s="27"/>
      <c r="F47" s="27"/>
    </row>
    <row r="48" spans="1:6" ht="12.75">
      <c r="A48" s="27"/>
      <c r="B48" s="27"/>
      <c r="C48" s="27"/>
      <c r="D48" s="27"/>
      <c r="E48" s="27"/>
      <c r="F48" s="27"/>
    </row>
    <row r="49" s="27" customFormat="1" ht="12.75"/>
    <row r="50" s="27" customFormat="1" ht="12.75"/>
    <row r="51" s="27" customFormat="1" ht="12.75"/>
    <row r="52" s="27" customFormat="1" ht="12.75"/>
    <row r="53" s="27" customFormat="1" ht="12.75"/>
    <row r="54" s="27" customFormat="1" ht="12.75"/>
    <row r="55" s="27" customFormat="1" ht="12.75"/>
    <row r="56" s="27" customFormat="1" ht="12.75"/>
    <row r="57" s="27" customFormat="1" ht="12.75"/>
    <row r="58" s="27" customFormat="1" ht="12.75"/>
    <row r="59" s="27" customFormat="1" ht="12.75"/>
    <row r="60" s="27" customFormat="1" ht="12.75"/>
    <row r="61" s="27" customFormat="1" ht="12.75"/>
    <row r="62" s="27" customFormat="1" ht="12.75"/>
    <row r="63" s="27" customFormat="1" ht="12.75"/>
    <row r="64" s="27" customFormat="1" ht="12.75"/>
    <row r="65" s="27" customFormat="1" ht="12.75"/>
    <row r="66" s="27" customFormat="1" ht="12.75"/>
    <row r="67" s="27" customFormat="1" ht="12.75"/>
    <row r="68" s="27" customFormat="1" ht="12.75"/>
    <row r="69" s="27" customFormat="1" ht="12.75"/>
    <row r="70" s="27" customFormat="1" ht="12.75"/>
    <row r="71" s="27" customFormat="1" ht="12.75"/>
    <row r="72" s="27" customFormat="1" ht="12.75"/>
    <row r="73" s="27" customFormat="1" ht="12.75"/>
    <row r="74" s="27" customFormat="1" ht="12.75"/>
    <row r="75" s="27" customFormat="1" ht="12.75"/>
    <row r="76" s="27" customFormat="1" ht="12.75"/>
    <row r="77" s="27" customFormat="1" ht="12.75"/>
    <row r="78" s="27" customFormat="1" ht="12.75"/>
    <row r="79" s="27" customFormat="1" ht="12.75"/>
    <row r="80"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thickBot="1"/>
  </sheetData>
  <sheetProtection algorithmName="SHA-512" hashValue="LV6uctF1Nw8kOkEkenXHzfhQkH6yswZEo9f8jBk+TwFg+u+Ux3whnsSBYUK/6llJ4weomd9kvugVOa9G1ULpAw==" saltValue="5L4vOSwnnE3Z+pWWNIEOow=="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 defaultRowHeight="12"/>
  <cols>
    <col min="1" max="1" width="6.14285714285714" style="403" customWidth="1"/>
    <col min="2" max="4" width="16.7142857142857" style="403" customWidth="1"/>
    <col min="5" max="7" width="17.7142857142857" style="403" customWidth="1"/>
    <col min="8" max="16384" width="8.85714285714286" style="403"/>
  </cols>
  <sheetData>
    <row r="1" spans="1:7" ht="15" customHeight="1">
      <c r="A1" s="1319"/>
      <c r="B1" s="1319"/>
      <c r="C1" s="1319"/>
      <c r="D1" s="1319"/>
      <c r="E1" s="1319"/>
      <c r="F1" s="1319"/>
      <c r="G1" s="1319"/>
    </row>
    <row r="2" spans="1:7" ht="26.45" customHeight="1">
      <c r="A2" s="1320" t="s">
        <v>3539</v>
      </c>
      <c r="B2" s="1320"/>
      <c r="C2" s="1320"/>
      <c r="D2" s="1320"/>
      <c r="E2" s="1320"/>
      <c r="F2" s="1320"/>
      <c r="G2" s="1320"/>
    </row>
    <row r="3" spans="1:7" ht="15" customHeight="1">
      <c r="A3" s="1321" t="s">
        <v>3540</v>
      </c>
      <c r="B3" s="1321"/>
      <c r="C3" s="1321"/>
      <c r="D3" s="1321"/>
      <c r="E3" s="1321"/>
      <c r="F3" s="1321"/>
      <c r="G3" s="1321"/>
    </row>
    <row r="4" spans="1:7" ht="15" customHeight="1">
      <c r="A4" s="1321" t="s">
        <v>3618</v>
      </c>
      <c r="B4" s="1321"/>
      <c r="C4" s="1321"/>
      <c r="D4" s="1321"/>
      <c r="E4" s="1321"/>
      <c r="F4" s="1321"/>
      <c r="G4" s="1321"/>
    </row>
    <row r="5" spans="1:7" ht="15" customHeight="1">
      <c r="A5" s="1322" t="s">
        <v>3541</v>
      </c>
      <c r="B5" s="1322"/>
      <c r="C5" s="1322"/>
      <c r="D5" s="1322"/>
      <c r="E5" s="1322"/>
      <c r="F5" s="1322"/>
      <c r="G5" s="1322"/>
    </row>
    <row r="6" spans="1:7" ht="15" customHeight="1" thickBot="1">
      <c r="A6" s="1323"/>
      <c r="B6" s="1323"/>
      <c r="C6" s="1323"/>
      <c r="D6" s="1323"/>
      <c r="E6" s="1323"/>
      <c r="F6" s="1323"/>
      <c r="G6" s="1323"/>
    </row>
    <row r="7" spans="1:7" ht="15" customHeight="1">
      <c r="A7" s="1298" t="s">
        <v>3542</v>
      </c>
      <c r="B7" s="1299"/>
      <c r="C7" s="1299"/>
      <c r="D7" s="1299"/>
      <c r="E7" s="711"/>
      <c r="F7" s="711"/>
      <c r="G7" s="1330"/>
    </row>
    <row r="8" spans="1:7" ht="18" customHeight="1">
      <c r="A8" s="1327" t="s">
        <v>174</v>
      </c>
      <c r="B8" s="1328"/>
      <c r="C8" s="1328"/>
      <c r="D8" s="1328"/>
      <c r="E8" s="1328"/>
      <c r="F8" s="1328"/>
      <c r="G8" s="1329"/>
    </row>
    <row r="9" spans="1:7" ht="15" customHeight="1">
      <c r="A9" s="1324" t="s">
        <v>3543</v>
      </c>
      <c r="B9" s="1314"/>
      <c r="C9" s="1314"/>
      <c r="D9" s="1314"/>
      <c r="E9" s="1314"/>
      <c r="F9" s="1314"/>
      <c r="G9" s="1325"/>
    </row>
    <row r="10" spans="1:7" ht="18" customHeight="1">
      <c r="A10" s="1288"/>
      <c r="B10" s="1289"/>
      <c r="C10" s="1289"/>
      <c r="D10" s="1289"/>
      <c r="E10" s="1289"/>
      <c r="F10" s="1289"/>
      <c r="G10" s="1290"/>
    </row>
    <row r="11" spans="1:7" ht="15" customHeight="1">
      <c r="A11" s="1324" t="s">
        <v>3544</v>
      </c>
      <c r="B11" s="1314"/>
      <c r="C11" s="1314"/>
      <c r="D11" s="1314"/>
      <c r="E11" s="1314"/>
      <c r="F11" s="1314"/>
      <c r="G11" s="1325"/>
    </row>
    <row r="12" spans="1:7" ht="18" customHeight="1">
      <c r="A12" s="1288"/>
      <c r="B12" s="1289"/>
      <c r="C12" s="1289"/>
      <c r="D12" s="1289"/>
      <c r="E12" s="1289"/>
      <c r="F12" s="1289"/>
      <c r="G12" s="1290"/>
    </row>
    <row r="13" spans="1:7" ht="5.1" customHeight="1" thickBot="1">
      <c r="A13" s="1303"/>
      <c r="B13" s="1304"/>
      <c r="C13" s="1304"/>
      <c r="D13" s="1305"/>
      <c r="E13" s="1305"/>
      <c r="F13" s="1305"/>
      <c r="G13" s="1306"/>
    </row>
    <row r="14" spans="1:7" ht="5.1" customHeight="1">
      <c r="A14" s="1326"/>
      <c r="B14" s="1326"/>
      <c r="C14" s="1326"/>
      <c r="D14" s="1326"/>
      <c r="E14" s="1326"/>
      <c r="F14" s="1326"/>
      <c r="G14" s="1326"/>
    </row>
    <row r="15" spans="1:7" ht="18" customHeight="1">
      <c r="A15" s="1287" t="s">
        <v>3619</v>
      </c>
      <c r="B15" s="1287"/>
      <c r="C15" s="1291"/>
      <c r="D15" s="1291"/>
      <c r="E15" s="1291"/>
      <c r="F15" s="450">
        <f>+'DAP1'!F24</f>
        <v>2020</v>
      </c>
      <c r="G15" s="442" t="s">
        <v>3620</v>
      </c>
    </row>
    <row r="16" spans="1:7" ht="5.1" customHeight="1" thickBot="1">
      <c r="A16" s="1292"/>
      <c r="B16" s="1292"/>
      <c r="C16" s="1293"/>
      <c r="D16" s="1293"/>
      <c r="E16" s="1293"/>
      <c r="F16" s="1293"/>
      <c r="G16" s="1293"/>
    </row>
    <row r="17" spans="1:7" ht="15" customHeight="1">
      <c r="A17" s="1298" t="s">
        <v>105</v>
      </c>
      <c r="B17" s="1299"/>
      <c r="C17" s="1300"/>
      <c r="D17" s="1300"/>
      <c r="E17" s="711"/>
      <c r="F17" s="1307" t="s">
        <v>104</v>
      </c>
      <c r="G17" s="1308"/>
    </row>
    <row r="18" spans="1:7" ht="18" customHeight="1">
      <c r="A18" s="1294" t="str">
        <f>+IF(EXACT(MID('DAP3'!C2,1,1)," ")," ",+MID('DAP3'!C2,1,+FIND(" ",'DAP3'!C2)))</f>
        <v xml:space="preserve"> </v>
      </c>
      <c r="B18" s="1295"/>
      <c r="C18" s="1296"/>
      <c r="D18" s="1297"/>
      <c r="E18" s="439"/>
      <c r="F18" s="1301" t="str">
        <f>+IF(EXACT(MID('DAP3'!C2,1,1)," ")," ",+MID('DAP3'!C2,+FIND(" ",'DAP3'!C2)+1,20))</f>
        <v xml:space="preserve"> </v>
      </c>
      <c r="G18" s="1302"/>
    </row>
    <row r="19" spans="1:7" ht="15" customHeight="1">
      <c r="A19" s="1277" t="s">
        <v>152</v>
      </c>
      <c r="B19" s="1312"/>
      <c r="C19" s="1313"/>
      <c r="D19" s="1313"/>
      <c r="E19" s="1314" t="s">
        <v>3545</v>
      </c>
      <c r="F19" s="1019"/>
      <c r="G19" s="1315"/>
    </row>
    <row r="20" spans="1:7" ht="18" customHeight="1">
      <c r="A20" s="1309" t="str">
        <f>+CONCATENATE('DAP3'!H2)</f>
        <v/>
      </c>
      <c r="B20" s="1310"/>
      <c r="C20" s="1311"/>
      <c r="D20" s="443"/>
      <c r="E20" s="1316" t="str">
        <f>+CONCATENATE(ZAKL_DATA!B16," ",ZAKL_DATA!B17,", ",ZAKL_DATA!B18)</f>
        <v xml:space="preserve"> , </v>
      </c>
      <c r="F20" s="1317"/>
      <c r="G20" s="1318"/>
    </row>
    <row r="21" spans="1:7" ht="15" customHeight="1">
      <c r="A21" s="1331"/>
      <c r="B21" s="1332"/>
      <c r="C21" s="1333"/>
      <c r="D21" s="1333"/>
      <c r="E21" s="1333"/>
      <c r="F21" s="1333"/>
      <c r="G21" s="1334"/>
    </row>
    <row r="22" spans="1:7" ht="18" customHeight="1">
      <c r="A22" s="1279"/>
      <c r="B22" s="1280"/>
      <c r="C22" s="1280"/>
      <c r="D22" s="1317"/>
      <c r="E22" s="1317"/>
      <c r="F22" s="1317"/>
      <c r="G22" s="1318"/>
    </row>
    <row r="23" spans="1:7" ht="15" customHeight="1">
      <c r="A23" s="1277"/>
      <c r="B23" s="1278"/>
      <c r="C23" s="1278"/>
      <c r="D23" s="1278"/>
      <c r="E23" s="1278"/>
      <c r="F23" s="1278"/>
      <c r="G23" s="451" t="s">
        <v>45</v>
      </c>
    </row>
    <row r="24" spans="1:7" ht="18" customHeight="1">
      <c r="A24" s="1279"/>
      <c r="B24" s="1280"/>
      <c r="C24" s="1281"/>
      <c r="D24" s="1281"/>
      <c r="E24" s="1282"/>
      <c r="F24" s="441"/>
      <c r="G24" s="449" t="str">
        <f>+CONCATENATE(ZAKL_DATA!B19)</f>
        <v/>
      </c>
    </row>
    <row r="25" spans="1:7" ht="9" customHeight="1" thickBot="1">
      <c r="A25" s="1283"/>
      <c r="B25" s="1284"/>
      <c r="C25" s="1284"/>
      <c r="D25" s="1284"/>
      <c r="E25" s="1285"/>
      <c r="F25" s="1285"/>
      <c r="G25" s="1286"/>
    </row>
    <row r="26" spans="1:7" ht="10.9" customHeight="1">
      <c r="A26" s="1335"/>
      <c r="B26" s="1335"/>
      <c r="C26" s="1335"/>
      <c r="D26" s="1335"/>
      <c r="E26" s="1335"/>
      <c r="F26" s="1335"/>
      <c r="G26" s="1335"/>
    </row>
    <row r="27" spans="1:7" ht="15" customHeight="1">
      <c r="A27" s="452" t="s">
        <v>3621</v>
      </c>
      <c r="B27" s="450">
        <f>+F15</f>
        <v>2020</v>
      </c>
      <c r="C27" s="444" t="s">
        <v>3624</v>
      </c>
      <c r="D27" s="1287" t="s">
        <v>3622</v>
      </c>
      <c r="E27" s="608"/>
      <c r="F27" s="608"/>
      <c r="G27" s="608"/>
    </row>
    <row r="28" spans="1:11" ht="15" customHeight="1" thickBot="1">
      <c r="A28" s="1292" t="s">
        <v>3623</v>
      </c>
      <c r="B28" s="1292"/>
      <c r="C28" s="1293"/>
      <c r="D28" s="1293"/>
      <c r="E28" s="1293"/>
      <c r="F28" s="1293"/>
      <c r="G28" s="1293"/>
      <c r="H28" s="404"/>
      <c r="I28" s="404"/>
      <c r="J28" s="404"/>
      <c r="K28" s="404"/>
    </row>
    <row r="29" spans="1:8" ht="25.9" customHeight="1">
      <c r="A29" s="405"/>
      <c r="B29" s="406" t="s">
        <v>105</v>
      </c>
      <c r="C29" s="406" t="s">
        <v>104</v>
      </c>
      <c r="D29" s="406" t="s">
        <v>152</v>
      </c>
      <c r="E29" s="440" t="s">
        <v>3436</v>
      </c>
      <c r="F29" s="440" t="s">
        <v>3437</v>
      </c>
      <c r="G29" s="407" t="s">
        <v>3625</v>
      </c>
      <c r="H29" s="408"/>
    </row>
    <row r="30" spans="1:7" ht="18" customHeight="1">
      <c r="A30" s="453">
        <v>1</v>
      </c>
      <c r="B30" s="445" t="str">
        <f>+IF(EXACT(MID('DAP3'!B20,1,1),"x")," ",(MID('DAP3'!B20,1,+FIND(" ",'DAP3'!B20))))</f>
        <v xml:space="preserve"> </v>
      </c>
      <c r="C30" s="409" t="str">
        <f>+IF(EXACT(MID('DAP3'!B20,1,1),"x")," ",(MID('DAP3'!B20,+FIND(" ",'DAP3'!B20)+1,20)))</f>
        <v xml:space="preserve"> </v>
      </c>
      <c r="D30" s="409" t="str">
        <f>+IF(EXACT(MID('DAP3'!C20,1,1),"X")," ",CONCATENATE('DAP3'!D20))</f>
        <v/>
      </c>
      <c r="E30" s="448"/>
      <c r="F30" s="448"/>
      <c r="G30" s="410"/>
    </row>
    <row r="31" spans="1:7" ht="18" customHeight="1">
      <c r="A31" s="453">
        <v>2</v>
      </c>
      <c r="B31" s="445" t="str">
        <f>+IF(EXACT(MID('DAP3'!B21,1,1),"x")," ",(MID('DAP3'!B21,1,+FIND(" ",'DAP3'!B21))))</f>
        <v xml:space="preserve"> </v>
      </c>
      <c r="C31" s="409" t="str">
        <f>+IF(EXACT(MID('DAP3'!B21,1,1),"x")," ",(MID('DAP3'!B21,+FIND(" ",'DAP3'!B21)+1,20)))</f>
        <v xml:space="preserve"> </v>
      </c>
      <c r="D31" s="409" t="str">
        <f>+IF(EXACT(MID('DAP3'!C21,1,1),"X")," ",CONCATENATE('DAP3'!D21))</f>
        <v/>
      </c>
      <c r="E31" s="448"/>
      <c r="F31" s="448"/>
      <c r="G31" s="410"/>
    </row>
    <row r="32" spans="1:7" ht="18" customHeight="1">
      <c r="A32" s="453">
        <v>3</v>
      </c>
      <c r="B32" s="445" t="str">
        <f>+IF(EXACT(MID('DAP3'!B22,1,1),"x")," ",(MID('DAP3'!B22,1,+FIND(" ",'DAP3'!B22))))</f>
        <v xml:space="preserve"> </v>
      </c>
      <c r="C32" s="409" t="str">
        <f>+IF(EXACT(MID('DAP3'!B22,1,1),"x")," ",(MID('DAP3'!B22,+FIND(" ",'DAP3'!B22)+1,20)))</f>
        <v xml:space="preserve"> </v>
      </c>
      <c r="D32" s="409" t="str">
        <f>+IF(EXACT(MID('DAP3'!C22,1,1),"X")," ",CONCATENATE('DAP3'!D22))</f>
        <v/>
      </c>
      <c r="E32" s="448"/>
      <c r="F32" s="448"/>
      <c r="G32" s="410"/>
    </row>
    <row r="33" spans="1:7" ht="18" customHeight="1">
      <c r="A33" s="453">
        <v>4</v>
      </c>
      <c r="B33" s="445" t="str">
        <f>+IF(EXACT(MID('DAP3'!B23,1,1),"x")," ",(MID('DAP3'!B23,1,+FIND(" ",'DAP3'!B23))))</f>
        <v xml:space="preserve"> </v>
      </c>
      <c r="C33" s="409" t="str">
        <f>+IF(EXACT(MID('DAP3'!B23,1,1),"x")," ",(MID('DAP3'!B23,+FIND(" ",'DAP3'!B23)+1,20)))</f>
        <v xml:space="preserve"> </v>
      </c>
      <c r="D33" s="409" t="str">
        <f>+IF(EXACT(MID('DAP3'!C23,1,1),"X")," ",CONCATENATE('DAP3'!D23))</f>
        <v/>
      </c>
      <c r="E33" s="448"/>
      <c r="F33" s="448"/>
      <c r="G33" s="410"/>
    </row>
    <row r="34" spans="1:7" ht="18" customHeight="1">
      <c r="A34" s="454" t="s">
        <v>3626</v>
      </c>
      <c r="B34" s="446"/>
      <c r="C34" s="411"/>
      <c r="D34" s="412"/>
      <c r="E34" s="412"/>
      <c r="F34" s="412"/>
      <c r="G34" s="410"/>
    </row>
    <row r="35" spans="1:7" ht="18" customHeight="1">
      <c r="A35" s="454" t="s">
        <v>3627</v>
      </c>
      <c r="B35" s="446"/>
      <c r="C35" s="411"/>
      <c r="D35" s="412"/>
      <c r="E35" s="412"/>
      <c r="F35" s="412"/>
      <c r="G35" s="410"/>
    </row>
    <row r="36" spans="1:7" ht="18" customHeight="1" thickBot="1">
      <c r="A36" s="455"/>
      <c r="B36" s="447"/>
      <c r="C36" s="413"/>
      <c r="D36" s="414"/>
      <c r="E36" s="414"/>
      <c r="F36" s="414"/>
      <c r="G36" s="415"/>
    </row>
    <row r="37" spans="1:7" ht="15" customHeight="1">
      <c r="A37" s="1341"/>
      <c r="B37" s="1341"/>
      <c r="C37" s="1341"/>
      <c r="D37" s="1341"/>
      <c r="E37" s="1341"/>
      <c r="F37" s="1341"/>
      <c r="G37" s="1341"/>
    </row>
    <row r="38" spans="1:7" ht="15" customHeight="1">
      <c r="A38" s="1319"/>
      <c r="B38" s="1319"/>
      <c r="C38" s="1319"/>
      <c r="D38" s="1319"/>
      <c r="E38" s="1319"/>
      <c r="F38" s="1319"/>
      <c r="G38" s="1319"/>
    </row>
    <row r="39" spans="1:7" ht="15" customHeight="1">
      <c r="A39" s="1319"/>
      <c r="B39" s="1319"/>
      <c r="C39" s="1319"/>
      <c r="D39" s="1319"/>
      <c r="E39" s="1319"/>
      <c r="F39" s="1319"/>
      <c r="G39" s="1319"/>
    </row>
    <row r="40" spans="1:7" ht="15" customHeight="1">
      <c r="A40" s="1342" t="s">
        <v>3546</v>
      </c>
      <c r="B40" s="1342"/>
      <c r="C40" s="1342"/>
      <c r="D40" s="1342"/>
      <c r="E40" s="1342"/>
      <c r="F40" s="1342"/>
      <c r="G40" s="1342"/>
    </row>
    <row r="41" spans="1:7" ht="15" customHeight="1">
      <c r="A41" s="416" t="s">
        <v>3547</v>
      </c>
      <c r="B41" s="416"/>
      <c r="C41" s="1343"/>
      <c r="D41" s="1344"/>
      <c r="E41" s="417" t="s">
        <v>3548</v>
      </c>
      <c r="F41" s="1345"/>
      <c r="G41" s="1346"/>
    </row>
    <row r="42" spans="1:7" ht="15" customHeight="1">
      <c r="A42" s="1347"/>
      <c r="B42" s="1347"/>
      <c r="C42" s="1347"/>
      <c r="D42" s="1347"/>
      <c r="E42" s="1347"/>
      <c r="F42" s="1347"/>
      <c r="G42" s="1347"/>
    </row>
    <row r="43" spans="1:7" ht="15" customHeight="1">
      <c r="A43" s="1348" t="s">
        <v>3549</v>
      </c>
      <c r="B43" s="1349"/>
      <c r="C43" s="1348"/>
      <c r="D43" s="1348"/>
      <c r="E43" s="417" t="s">
        <v>3628</v>
      </c>
      <c r="F43" s="1350"/>
      <c r="G43" s="1351"/>
    </row>
    <row r="44" spans="1:7" ht="15" customHeight="1">
      <c r="A44" s="1352"/>
      <c r="B44" s="1353"/>
      <c r="C44" s="1353"/>
      <c r="D44" s="1354"/>
      <c r="E44" s="1355"/>
      <c r="F44" s="1347"/>
      <c r="G44" s="1347"/>
    </row>
    <row r="45" spans="1:7" ht="15" customHeight="1">
      <c r="A45" s="1336"/>
      <c r="B45" s="1337"/>
      <c r="C45" s="1337"/>
      <c r="D45" s="1338"/>
      <c r="E45" s="417" t="s">
        <v>3550</v>
      </c>
      <c r="F45" s="1339">
        <f ca="1">TODAY()</f>
        <v>44254</v>
      </c>
      <c r="G45" s="1340"/>
    </row>
    <row r="46" spans="1:7" ht="15" customHeight="1">
      <c r="A46" s="1336"/>
      <c r="B46" s="1337"/>
      <c r="C46" s="1337"/>
      <c r="D46" s="1338"/>
      <c r="E46" s="417"/>
      <c r="F46" s="418"/>
      <c r="G46" s="418"/>
    </row>
    <row r="47" spans="1:7" ht="15" customHeight="1">
      <c r="A47" s="1356"/>
      <c r="B47" s="1357"/>
      <c r="C47" s="1358"/>
      <c r="D47" s="1359"/>
      <c r="E47" s="1355"/>
      <c r="F47" s="1347"/>
      <c r="G47" s="1347"/>
    </row>
    <row r="48" spans="1:7" ht="15" customHeight="1">
      <c r="A48" s="1360" t="s">
        <v>3551</v>
      </c>
      <c r="B48" s="1360"/>
      <c r="C48" s="1360"/>
      <c r="D48" s="1360"/>
      <c r="E48" s="1360"/>
      <c r="F48" s="1360"/>
      <c r="G48" s="1360"/>
    </row>
    <row r="49" spans="1:7" ht="15" customHeight="1">
      <c r="A49" s="1345" t="s">
        <v>174</v>
      </c>
      <c r="B49" s="1361"/>
      <c r="C49" s="1346"/>
      <c r="D49" s="419"/>
      <c r="E49" s="1362" t="s">
        <v>3552</v>
      </c>
      <c r="F49" s="1363"/>
      <c r="G49" s="1364"/>
    </row>
    <row r="50" spans="1:7" ht="12">
      <c r="A50" s="1374"/>
      <c r="B50" s="1375"/>
      <c r="C50" s="1375"/>
      <c r="D50" s="438"/>
      <c r="E50" s="1365"/>
      <c r="F50" s="1366"/>
      <c r="G50" s="1367"/>
    </row>
    <row r="51" spans="1:7" ht="12">
      <c r="A51" s="600"/>
      <c r="B51" s="600"/>
      <c r="C51" s="600"/>
      <c r="D51" s="438"/>
      <c r="E51" s="1365"/>
      <c r="F51" s="1366"/>
      <c r="G51" s="1367"/>
    </row>
    <row r="52" spans="1:7" ht="12">
      <c r="A52" s="600"/>
      <c r="B52" s="600"/>
      <c r="C52" s="600"/>
      <c r="D52" s="438" t="s">
        <v>3455</v>
      </c>
      <c r="E52" s="1368"/>
      <c r="F52" s="1369"/>
      <c r="G52" s="1370"/>
    </row>
    <row r="53" spans="1:7" ht="12">
      <c r="A53" s="438"/>
      <c r="B53" s="438"/>
      <c r="C53" s="438"/>
      <c r="D53" s="438"/>
      <c r="E53" s="1373"/>
      <c r="F53" s="1373"/>
      <c r="G53" s="1373"/>
    </row>
    <row r="54" spans="1:7" ht="12">
      <c r="A54" s="1376" t="s">
        <v>3629</v>
      </c>
      <c r="B54" s="1376"/>
      <c r="C54" s="1376"/>
      <c r="D54" s="1376"/>
      <c r="E54" s="1376"/>
      <c r="F54" s="1376"/>
      <c r="G54" s="1376"/>
    </row>
    <row r="55" spans="1:7" ht="12">
      <c r="A55" s="1319"/>
      <c r="B55" s="1319"/>
      <c r="C55" s="1319"/>
      <c r="D55" s="1319"/>
      <c r="E55" s="1319"/>
      <c r="F55" s="1319"/>
      <c r="G55" s="1319"/>
    </row>
    <row r="56" spans="1:7" ht="12">
      <c r="A56" s="1319"/>
      <c r="B56" s="1319"/>
      <c r="C56" s="1319"/>
      <c r="D56" s="1319"/>
      <c r="E56" s="1319"/>
      <c r="F56" s="1319"/>
      <c r="G56" s="1319"/>
    </row>
    <row r="57" spans="1:12" ht="12.75">
      <c r="A57" s="1371" t="s">
        <v>3553</v>
      </c>
      <c r="B57" s="1371"/>
      <c r="C57" s="1371"/>
      <c r="D57" s="1371"/>
      <c r="E57" s="1371"/>
      <c r="F57" s="1371"/>
      <c r="G57" s="1371"/>
      <c r="H57" s="420"/>
      <c r="I57" s="420"/>
      <c r="J57" s="420"/>
      <c r="K57" s="420"/>
      <c r="L57" s="420"/>
    </row>
    <row r="58" spans="1:12" ht="66.75" customHeight="1">
      <c r="A58" s="1372" t="s">
        <v>3630</v>
      </c>
      <c r="B58" s="1372"/>
      <c r="C58" s="1372"/>
      <c r="D58" s="1372"/>
      <c r="E58" s="1372"/>
      <c r="F58" s="1372"/>
      <c r="G58" s="1372"/>
      <c r="H58" s="421"/>
      <c r="I58" s="421"/>
      <c r="J58" s="421"/>
      <c r="K58" s="421"/>
      <c r="L58" s="421"/>
    </row>
    <row r="59" spans="1:7" ht="12">
      <c r="A59" s="422"/>
      <c r="B59" s="422"/>
      <c r="C59" s="422"/>
      <c r="D59" s="422"/>
      <c r="E59" s="422"/>
      <c r="F59" s="422"/>
      <c r="G59" s="422"/>
    </row>
    <row r="60" spans="1:7" ht="12">
      <c r="A60" s="423"/>
      <c r="B60" s="423"/>
      <c r="C60" s="423"/>
      <c r="D60" s="423"/>
      <c r="E60" s="423"/>
      <c r="F60" s="423"/>
      <c r="G60" s="423"/>
    </row>
    <row r="61" spans="1:7" ht="12">
      <c r="A61" s="423"/>
      <c r="B61" s="423"/>
      <c r="C61" s="423"/>
      <c r="D61" s="423"/>
      <c r="E61" s="423"/>
      <c r="F61" s="423"/>
      <c r="G61" s="423"/>
    </row>
    <row r="62" spans="1:7" ht="12">
      <c r="A62" s="423"/>
      <c r="B62" s="423"/>
      <c r="C62" s="423"/>
      <c r="D62" s="423"/>
      <c r="E62" s="423"/>
      <c r="F62" s="423"/>
      <c r="G62" s="423"/>
    </row>
    <row r="63" spans="1:7" ht="12">
      <c r="A63" s="423"/>
      <c r="B63" s="423"/>
      <c r="C63" s="423"/>
      <c r="D63" s="423"/>
      <c r="E63" s="423"/>
      <c r="F63" s="423"/>
      <c r="G63" s="423"/>
    </row>
    <row r="64" spans="1:7" ht="12">
      <c r="A64" s="423"/>
      <c r="B64" s="423"/>
      <c r="C64" s="423"/>
      <c r="D64" s="423"/>
      <c r="E64" s="423"/>
      <c r="F64" s="423"/>
      <c r="G64" s="423"/>
    </row>
    <row r="65" spans="1:7" ht="12">
      <c r="A65" s="423"/>
      <c r="B65" s="423"/>
      <c r="C65" s="423"/>
      <c r="D65" s="423"/>
      <c r="E65" s="423"/>
      <c r="F65" s="423"/>
      <c r="G65" s="423"/>
    </row>
    <row r="66" spans="1:7" ht="12">
      <c r="A66" s="423"/>
      <c r="B66" s="423"/>
      <c r="C66" s="423"/>
      <c r="D66" s="423"/>
      <c r="E66" s="423"/>
      <c r="F66" s="423"/>
      <c r="G66" s="423"/>
    </row>
    <row r="67" spans="1:7" ht="12">
      <c r="A67" s="423"/>
      <c r="B67" s="423"/>
      <c r="C67" s="423"/>
      <c r="D67" s="423"/>
      <c r="E67" s="423"/>
      <c r="F67" s="423"/>
      <c r="G67" s="423"/>
    </row>
    <row r="68" spans="1:7" ht="12">
      <c r="A68" s="423"/>
      <c r="B68" s="423"/>
      <c r="C68" s="423"/>
      <c r="D68" s="423"/>
      <c r="E68" s="423"/>
      <c r="F68" s="423"/>
      <c r="G68" s="423"/>
    </row>
    <row r="69" spans="1:7" ht="12">
      <c r="A69" s="423"/>
      <c r="B69" s="423"/>
      <c r="C69" s="423"/>
      <c r="D69" s="423"/>
      <c r="E69" s="423"/>
      <c r="F69" s="423"/>
      <c r="G69" s="423"/>
    </row>
    <row r="70" spans="1:7" ht="12">
      <c r="A70" s="423"/>
      <c r="B70" s="423"/>
      <c r="C70" s="423"/>
      <c r="D70" s="423"/>
      <c r="E70" s="423"/>
      <c r="F70" s="423"/>
      <c r="G70" s="423"/>
    </row>
    <row r="71" spans="1:7" ht="12">
      <c r="A71" s="423"/>
      <c r="B71" s="423"/>
      <c r="C71" s="423"/>
      <c r="D71" s="423"/>
      <c r="E71" s="423"/>
      <c r="F71" s="423"/>
      <c r="G71" s="423"/>
    </row>
    <row r="72" spans="1:7" ht="12">
      <c r="A72" s="423"/>
      <c r="B72" s="423"/>
      <c r="C72" s="423"/>
      <c r="D72" s="423"/>
      <c r="E72" s="423"/>
      <c r="F72" s="423"/>
      <c r="G72" s="423"/>
    </row>
    <row r="73" spans="1:7" ht="12">
      <c r="A73" s="423"/>
      <c r="B73" s="423"/>
      <c r="C73" s="423"/>
      <c r="D73" s="423"/>
      <c r="E73" s="423"/>
      <c r="F73" s="423"/>
      <c r="G73" s="423"/>
    </row>
    <row r="74" spans="1:7" ht="12">
      <c r="A74" s="423"/>
      <c r="B74" s="423"/>
      <c r="C74" s="423"/>
      <c r="D74" s="423"/>
      <c r="E74" s="423"/>
      <c r="F74" s="423"/>
      <c r="G74" s="423"/>
    </row>
    <row r="75" spans="1:7" ht="12">
      <c r="A75" s="423"/>
      <c r="B75" s="423"/>
      <c r="C75" s="423"/>
      <c r="D75" s="423"/>
      <c r="E75" s="423"/>
      <c r="F75" s="423"/>
      <c r="G75" s="423"/>
    </row>
    <row r="76" spans="1:7" ht="12">
      <c r="A76" s="423"/>
      <c r="B76" s="423"/>
      <c r="C76" s="423"/>
      <c r="D76" s="423"/>
      <c r="E76" s="423"/>
      <c r="F76" s="423"/>
      <c r="G76" s="423"/>
    </row>
    <row r="77" spans="1:7" ht="12">
      <c r="A77" s="423"/>
      <c r="B77" s="423"/>
      <c r="C77" s="423"/>
      <c r="D77" s="423"/>
      <c r="E77" s="423"/>
      <c r="F77" s="423"/>
      <c r="G77" s="423"/>
    </row>
    <row r="78" spans="1:7" ht="12">
      <c r="A78" s="423"/>
      <c r="B78" s="423"/>
      <c r="C78" s="423"/>
      <c r="D78" s="423"/>
      <c r="E78" s="423"/>
      <c r="F78" s="423"/>
      <c r="G78" s="423"/>
    </row>
    <row r="79" spans="1:7" ht="12">
      <c r="A79" s="423"/>
      <c r="B79" s="423"/>
      <c r="C79" s="423"/>
      <c r="D79" s="423"/>
      <c r="E79" s="423"/>
      <c r="F79" s="423"/>
      <c r="G79" s="423"/>
    </row>
    <row r="80" spans="1:7" ht="12">
      <c r="A80" s="423"/>
      <c r="B80" s="423"/>
      <c r="C80" s="423"/>
      <c r="D80" s="423"/>
      <c r="E80" s="423"/>
      <c r="F80" s="423"/>
      <c r="G80" s="423"/>
    </row>
    <row r="81" spans="1:7" ht="12">
      <c r="A81" s="423"/>
      <c r="B81" s="423"/>
      <c r="C81" s="423"/>
      <c r="D81" s="423"/>
      <c r="E81" s="423"/>
      <c r="F81" s="423"/>
      <c r="G81" s="423"/>
    </row>
    <row r="82" spans="1:7" ht="12">
      <c r="A82" s="423"/>
      <c r="B82" s="423"/>
      <c r="C82" s="423"/>
      <c r="D82" s="423"/>
      <c r="E82" s="423"/>
      <c r="F82" s="423"/>
      <c r="G82" s="423"/>
    </row>
    <row r="83" spans="1:7" ht="12">
      <c r="A83" s="423"/>
      <c r="B83" s="423"/>
      <c r="C83" s="423"/>
      <c r="D83" s="423"/>
      <c r="E83" s="423"/>
      <c r="F83" s="423"/>
      <c r="G83" s="423"/>
    </row>
    <row r="84" spans="1:7" ht="12">
      <c r="A84" s="423"/>
      <c r="B84" s="423"/>
      <c r="C84" s="423"/>
      <c r="D84" s="423"/>
      <c r="E84" s="423"/>
      <c r="F84" s="423"/>
      <c r="G84" s="423"/>
    </row>
    <row r="85" spans="1:7" ht="12">
      <c r="A85" s="423"/>
      <c r="B85" s="423"/>
      <c r="C85" s="423"/>
      <c r="D85" s="423"/>
      <c r="E85" s="423"/>
      <c r="F85" s="423"/>
      <c r="G85" s="423"/>
    </row>
    <row r="86" spans="1:7" ht="12">
      <c r="A86" s="423"/>
      <c r="B86" s="423"/>
      <c r="C86" s="423"/>
      <c r="D86" s="423"/>
      <c r="E86" s="423"/>
      <c r="F86" s="423"/>
      <c r="G86" s="423"/>
    </row>
    <row r="87" spans="1:7" ht="12">
      <c r="A87" s="423"/>
      <c r="B87" s="423"/>
      <c r="C87" s="423"/>
      <c r="D87" s="423"/>
      <c r="E87" s="423"/>
      <c r="F87" s="423"/>
      <c r="G87" s="423"/>
    </row>
    <row r="88" spans="1:7" ht="12">
      <c r="A88" s="423"/>
      <c r="B88" s="423"/>
      <c r="C88" s="423"/>
      <c r="D88" s="423"/>
      <c r="E88" s="423"/>
      <c r="F88" s="423"/>
      <c r="G88" s="423"/>
    </row>
    <row r="89" spans="1:7" ht="12">
      <c r="A89" s="423"/>
      <c r="B89" s="423"/>
      <c r="C89" s="423"/>
      <c r="D89" s="423"/>
      <c r="E89" s="423"/>
      <c r="F89" s="423"/>
      <c r="G89" s="423"/>
    </row>
    <row r="90" spans="1:7" ht="12">
      <c r="A90" s="423"/>
      <c r="B90" s="423"/>
      <c r="C90" s="423"/>
      <c r="D90" s="423"/>
      <c r="E90" s="423"/>
      <c r="F90" s="423"/>
      <c r="G90" s="423"/>
    </row>
    <row r="91" spans="1:7" ht="12">
      <c r="A91" s="423"/>
      <c r="B91" s="423"/>
      <c r="C91" s="423"/>
      <c r="D91" s="423"/>
      <c r="E91" s="423"/>
      <c r="F91" s="423"/>
      <c r="G91" s="423"/>
    </row>
    <row r="92" spans="1:7" ht="12">
      <c r="A92" s="423"/>
      <c r="B92" s="423"/>
      <c r="C92" s="423"/>
      <c r="D92" s="423"/>
      <c r="E92" s="423"/>
      <c r="F92" s="423"/>
      <c r="G92" s="423"/>
    </row>
    <row r="93" spans="1:7" ht="12">
      <c r="A93" s="423"/>
      <c r="B93" s="423"/>
      <c r="C93" s="423"/>
      <c r="D93" s="423"/>
      <c r="E93" s="423"/>
      <c r="F93" s="423"/>
      <c r="G93" s="423"/>
    </row>
    <row r="94" spans="1:7" ht="12">
      <c r="A94" s="423"/>
      <c r="B94" s="423"/>
      <c r="C94" s="423"/>
      <c r="D94" s="423"/>
      <c r="E94" s="423"/>
      <c r="F94" s="423"/>
      <c r="G94" s="423"/>
    </row>
    <row r="95" spans="1:7" ht="12">
      <c r="A95" s="423"/>
      <c r="B95" s="423"/>
      <c r="C95" s="423"/>
      <c r="D95" s="423"/>
      <c r="E95" s="423"/>
      <c r="F95" s="423"/>
      <c r="G95" s="423"/>
    </row>
    <row r="96" spans="1:7" ht="12">
      <c r="A96" s="423"/>
      <c r="B96" s="423"/>
      <c r="C96" s="423"/>
      <c r="D96" s="423"/>
      <c r="E96" s="423"/>
      <c r="F96" s="423"/>
      <c r="G96" s="423"/>
    </row>
    <row r="97" spans="1:7" ht="12">
      <c r="A97" s="423"/>
      <c r="B97" s="423"/>
      <c r="C97" s="423"/>
      <c r="D97" s="423"/>
      <c r="E97" s="423"/>
      <c r="F97" s="423"/>
      <c r="G97" s="423"/>
    </row>
    <row r="98" spans="1:7" ht="12">
      <c r="A98" s="423"/>
      <c r="B98" s="423"/>
      <c r="C98" s="423"/>
      <c r="D98" s="423"/>
      <c r="E98" s="423"/>
      <c r="F98" s="423"/>
      <c r="G98" s="423"/>
    </row>
    <row r="99" spans="1:7" ht="12">
      <c r="A99" s="423"/>
      <c r="B99" s="423"/>
      <c r="C99" s="423"/>
      <c r="D99" s="423"/>
      <c r="E99" s="423"/>
      <c r="F99" s="423"/>
      <c r="G99" s="423"/>
    </row>
    <row r="100" spans="1:7" ht="12">
      <c r="A100" s="423"/>
      <c r="B100" s="423"/>
      <c r="C100" s="423"/>
      <c r="D100" s="423"/>
      <c r="E100" s="423"/>
      <c r="F100" s="423"/>
      <c r="G100" s="423"/>
    </row>
    <row r="101" spans="1:7" ht="12">
      <c r="A101" s="423"/>
      <c r="B101" s="423"/>
      <c r="C101" s="423"/>
      <c r="D101" s="423"/>
      <c r="E101" s="423"/>
      <c r="F101" s="423"/>
      <c r="G101" s="423"/>
    </row>
    <row r="102" spans="1:7" ht="12">
      <c r="A102" s="423"/>
      <c r="B102" s="423"/>
      <c r="C102" s="423"/>
      <c r="D102" s="423"/>
      <c r="E102" s="423"/>
      <c r="F102" s="423"/>
      <c r="G102" s="423"/>
    </row>
    <row r="103" spans="1:7" ht="12">
      <c r="A103" s="423"/>
      <c r="B103" s="423"/>
      <c r="C103" s="423"/>
      <c r="D103" s="423"/>
      <c r="E103" s="423"/>
      <c r="F103" s="423"/>
      <c r="G103" s="423"/>
    </row>
    <row r="104" spans="1:7" ht="12">
      <c r="A104" s="423"/>
      <c r="B104" s="423"/>
      <c r="C104" s="423"/>
      <c r="D104" s="423"/>
      <c r="E104" s="423"/>
      <c r="F104" s="423"/>
      <c r="G104" s="423"/>
    </row>
    <row r="105" spans="1:7" ht="12">
      <c r="A105" s="423"/>
      <c r="B105" s="423"/>
      <c r="C105" s="423"/>
      <c r="D105" s="423"/>
      <c r="E105" s="423"/>
      <c r="F105" s="423"/>
      <c r="G105" s="423"/>
    </row>
    <row r="106" spans="1:7" ht="12">
      <c r="A106" s="423"/>
      <c r="B106" s="423"/>
      <c r="C106" s="423"/>
      <c r="D106" s="423"/>
      <c r="E106" s="423"/>
      <c r="F106" s="423"/>
      <c r="G106" s="423"/>
    </row>
    <row r="107" spans="1:7" ht="12">
      <c r="A107" s="423"/>
      <c r="B107" s="423"/>
      <c r="C107" s="423"/>
      <c r="D107" s="423"/>
      <c r="E107" s="423"/>
      <c r="F107" s="423"/>
      <c r="G107" s="423"/>
    </row>
    <row r="108" spans="1:7" ht="12">
      <c r="A108" s="423"/>
      <c r="B108" s="423"/>
      <c r="C108" s="423"/>
      <c r="D108" s="423"/>
      <c r="E108" s="423"/>
      <c r="F108" s="423"/>
      <c r="G108" s="423"/>
    </row>
    <row r="109" spans="1:7" ht="12">
      <c r="A109" s="423"/>
      <c r="B109" s="423"/>
      <c r="C109" s="423"/>
      <c r="D109" s="423"/>
      <c r="E109" s="423"/>
      <c r="F109" s="423"/>
      <c r="G109" s="423"/>
    </row>
    <row r="110" spans="1:7" ht="12">
      <c r="A110" s="423"/>
      <c r="B110" s="423"/>
      <c r="C110" s="423"/>
      <c r="D110" s="423"/>
      <c r="E110" s="423"/>
      <c r="F110" s="423"/>
      <c r="G110" s="423"/>
    </row>
    <row r="111" spans="1:7" ht="12">
      <c r="A111" s="423"/>
      <c r="B111" s="423"/>
      <c r="C111" s="423"/>
      <c r="D111" s="423"/>
      <c r="E111" s="423"/>
      <c r="F111" s="423"/>
      <c r="G111" s="423"/>
    </row>
    <row r="112" spans="1:7" ht="12">
      <c r="A112" s="423"/>
      <c r="B112" s="423"/>
      <c r="C112" s="423"/>
      <c r="D112" s="423"/>
      <c r="E112" s="423"/>
      <c r="F112" s="423"/>
      <c r="G112" s="423"/>
    </row>
    <row r="113" spans="1:7" ht="12">
      <c r="A113" s="423"/>
      <c r="B113" s="423"/>
      <c r="C113" s="423"/>
      <c r="D113" s="423"/>
      <c r="E113" s="423"/>
      <c r="F113" s="423"/>
      <c r="G113" s="423"/>
    </row>
    <row r="114" spans="1:7" ht="12">
      <c r="A114" s="423"/>
      <c r="B114" s="423"/>
      <c r="C114" s="423"/>
      <c r="D114" s="423"/>
      <c r="E114" s="423"/>
      <c r="F114" s="423"/>
      <c r="G114" s="423"/>
    </row>
    <row r="115" spans="1:7" ht="12">
      <c r="A115" s="423"/>
      <c r="B115" s="423"/>
      <c r="C115" s="423"/>
      <c r="D115" s="423"/>
      <c r="E115" s="423"/>
      <c r="F115" s="423"/>
      <c r="G115" s="423"/>
    </row>
    <row r="116" spans="1:7" ht="12">
      <c r="A116" s="423"/>
      <c r="B116" s="423"/>
      <c r="C116" s="423"/>
      <c r="D116" s="423"/>
      <c r="E116" s="423"/>
      <c r="F116" s="423"/>
      <c r="G116" s="423"/>
    </row>
    <row r="117" spans="1:7" ht="12">
      <c r="A117" s="423"/>
      <c r="B117" s="423"/>
      <c r="C117" s="423"/>
      <c r="D117" s="423"/>
      <c r="E117" s="423"/>
      <c r="F117" s="423"/>
      <c r="G117" s="423"/>
    </row>
    <row r="118" spans="1:7" ht="12">
      <c r="A118" s="423"/>
      <c r="B118" s="423"/>
      <c r="C118" s="423"/>
      <c r="D118" s="423"/>
      <c r="E118" s="423"/>
      <c r="F118" s="423"/>
      <c r="G118" s="423"/>
    </row>
    <row r="119" spans="1:7" ht="12">
      <c r="A119" s="423"/>
      <c r="B119" s="423"/>
      <c r="C119" s="423"/>
      <c r="D119" s="423"/>
      <c r="E119" s="423"/>
      <c r="F119" s="423"/>
      <c r="G119" s="423"/>
    </row>
  </sheetData>
  <sheetProtection password="EF65" sheet="1" objects="1" scenarios="1"/>
  <mergeCells count="56">
    <mergeCell ref="A57:G57"/>
    <mergeCell ref="A58:G58"/>
    <mergeCell ref="E53:G53"/>
    <mergeCell ref="A50:C52"/>
    <mergeCell ref="A54:G54"/>
    <mergeCell ref="A55:G55"/>
    <mergeCell ref="A56:G56"/>
    <mergeCell ref="A46:D46"/>
    <mergeCell ref="A47:D47"/>
    <mergeCell ref="E47:G47"/>
    <mergeCell ref="A48:G48"/>
    <mergeCell ref="A49:C49"/>
    <mergeCell ref="E49:G52"/>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10:G10"/>
    <mergeCell ref="A14:G14"/>
    <mergeCell ref="A4:G4"/>
    <mergeCell ref="A8:G8"/>
    <mergeCell ref="A7:G7"/>
    <mergeCell ref="A11:G11"/>
    <mergeCell ref="A1:G1"/>
    <mergeCell ref="A2:G2"/>
    <mergeCell ref="A3:G3"/>
    <mergeCell ref="A5:G6"/>
    <mergeCell ref="A9:G9"/>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s>
  <pageMargins left="0.196850393700787" right="0.196850393700787" top="0.393700787401575" bottom="0.393700787401575" header="0.31496062992126" footer="0.31496062992126"/>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A10" sqref="A10"/>
    </sheetView>
  </sheetViews>
  <sheetFormatPr defaultColWidth="8.85428571428571" defaultRowHeight="15"/>
  <cols>
    <col min="1" max="1" width="9.57142857142857" style="424" customWidth="1"/>
    <col min="2" max="2" width="17.2857142857143" style="424" customWidth="1"/>
    <col min="3" max="3" width="17.8571428571429" style="424" customWidth="1"/>
    <col min="4" max="4" width="16.2857142857143" style="424" customWidth="1"/>
    <col min="5" max="5" width="21.5714285714286" style="424" customWidth="1"/>
    <col min="6" max="6" width="16.7142857142857" style="424" customWidth="1"/>
    <col min="7" max="16384" width="8.85714285714286" style="424"/>
  </cols>
  <sheetData>
    <row r="1" spans="1:5" ht="18" customHeight="1">
      <c r="A1" s="1378"/>
      <c r="B1" s="1378"/>
      <c r="C1" s="1378"/>
      <c r="D1" s="1378"/>
      <c r="E1" s="1378"/>
    </row>
    <row r="2" spans="1:6" ht="27.6" customHeight="1">
      <c r="A2" s="1320" t="s">
        <v>3554</v>
      </c>
      <c r="B2" s="1320"/>
      <c r="C2" s="1320"/>
      <c r="D2" s="1320"/>
      <c r="E2" s="1320"/>
      <c r="F2" s="425"/>
    </row>
    <row r="3" spans="1:5" ht="18" customHeight="1">
      <c r="A3" s="1378"/>
      <c r="B3" s="1378"/>
      <c r="C3" s="1378"/>
      <c r="D3" s="1378"/>
      <c r="E3" s="1378"/>
    </row>
    <row r="4" spans="1:5" ht="18" customHeight="1">
      <c r="A4" s="1378"/>
      <c r="B4" s="1378"/>
      <c r="C4" s="1378"/>
      <c r="D4" s="1378"/>
      <c r="E4" s="1378"/>
    </row>
    <row r="5" spans="1:5" ht="18" customHeight="1">
      <c r="A5" s="426" t="s">
        <v>3555</v>
      </c>
      <c r="B5" s="1377" t="str">
        <f>+CONCATENATE('DAP3'!C2)</f>
        <v xml:space="preserve"> </v>
      </c>
      <c r="C5" s="1377"/>
      <c r="D5" s="426" t="s">
        <v>40</v>
      </c>
      <c r="E5" s="427" t="str">
        <f>+CONCATENATE('DAP3'!H2)</f>
        <v/>
      </c>
    </row>
    <row r="6" spans="1:5" ht="18" customHeight="1">
      <c r="A6" s="1379"/>
      <c r="B6" s="1379"/>
      <c r="C6" s="1379"/>
      <c r="D6" s="1379"/>
      <c r="E6" s="1379"/>
    </row>
    <row r="7" spans="1:5" ht="18" customHeight="1">
      <c r="A7" s="426" t="s">
        <v>3556</v>
      </c>
      <c r="B7" s="1377" t="str">
        <f>+CONCATENATE(ZAKL_DATA!B16," ",ZAKL_DATA!B17,", ",ZAKL_DATA!B18,", PSČ ",ZAKL_DATA!B19)</f>
        <v xml:space="preserve"> , , PSČ </v>
      </c>
      <c r="C7" s="1377"/>
      <c r="D7" s="1377"/>
      <c r="E7" s="1377"/>
    </row>
    <row r="8" spans="1:5" ht="18" customHeight="1">
      <c r="A8" s="426"/>
      <c r="B8" s="426"/>
      <c r="C8" s="426"/>
      <c r="D8" s="426"/>
      <c r="E8" s="426"/>
    </row>
    <row r="9" spans="1:5" ht="18" customHeight="1">
      <c r="A9" s="1380" t="s">
        <v>3694</v>
      </c>
      <c r="B9" s="1380"/>
      <c r="C9" s="1380"/>
      <c r="D9" s="1380"/>
      <c r="E9" s="1380"/>
    </row>
    <row r="10" spans="1:5" ht="18" customHeight="1">
      <c r="A10" s="428"/>
      <c r="B10" s="429" t="s">
        <v>104</v>
      </c>
      <c r="C10" s="429" t="s">
        <v>105</v>
      </c>
      <c r="D10" s="429" t="s">
        <v>152</v>
      </c>
      <c r="E10" s="430"/>
    </row>
    <row r="11" spans="1:5" ht="18" customHeight="1">
      <c r="A11" s="428" t="s">
        <v>140</v>
      </c>
      <c r="B11" s="431" t="str">
        <f>+Potvr_ZAM!C30</f>
        <v xml:space="preserve"> </v>
      </c>
      <c r="C11" s="431" t="str">
        <f>+Potvr_ZAM!B30</f>
        <v xml:space="preserve"> </v>
      </c>
      <c r="D11" s="431" t="str">
        <f>+CONCATENATE(Potvr_ZAM!D30)</f>
        <v/>
      </c>
      <c r="E11" s="432"/>
    </row>
    <row r="12" spans="1:5" ht="18" customHeight="1">
      <c r="A12" s="428" t="s">
        <v>141</v>
      </c>
      <c r="B12" s="431" t="str">
        <f>+Potvr_ZAM!C31</f>
        <v xml:space="preserve"> </v>
      </c>
      <c r="C12" s="431" t="str">
        <f>+Potvr_ZAM!B31</f>
        <v xml:space="preserve"> </v>
      </c>
      <c r="D12" s="431" t="str">
        <f>+CONCATENATE(Potvr_ZAM!D31)</f>
        <v/>
      </c>
      <c r="E12" s="432"/>
    </row>
    <row r="13" spans="1:5" ht="18" customHeight="1">
      <c r="A13" s="428" t="s">
        <v>142</v>
      </c>
      <c r="B13" s="431" t="str">
        <f>+Potvr_ZAM!C32</f>
        <v xml:space="preserve"> </v>
      </c>
      <c r="C13" s="431" t="str">
        <f>+Potvr_ZAM!B32</f>
        <v xml:space="preserve"> </v>
      </c>
      <c r="D13" s="431" t="str">
        <f>+CONCATENATE(Potvr_ZAM!D32)</f>
        <v/>
      </c>
      <c r="E13" s="432"/>
    </row>
    <row r="14" spans="1:5" ht="18" customHeight="1">
      <c r="A14" s="428" t="s">
        <v>293</v>
      </c>
      <c r="B14" s="431" t="str">
        <f>+Potvr_ZAM!C33</f>
        <v xml:space="preserve"> </v>
      </c>
      <c r="C14" s="431" t="str">
        <f>+Potvr_ZAM!B33</f>
        <v xml:space="preserve"> </v>
      </c>
      <c r="D14" s="431" t="str">
        <f>+CONCATENATE(Potvr_ZAM!D33)</f>
        <v/>
      </c>
      <c r="E14" s="432"/>
    </row>
    <row r="15" spans="1:5" ht="18" customHeight="1">
      <c r="A15" s="428" t="s">
        <v>110</v>
      </c>
      <c r="B15" s="431" t="str">
        <f>+CONCATENATE(Potvr_ZAM!C34)</f>
        <v/>
      </c>
      <c r="C15" s="431" t="str">
        <f>+CONCATENATE(Potvr_ZAM!B34)</f>
        <v/>
      </c>
      <c r="D15" s="431" t="str">
        <f>+CONCATENATE(Potvr_ZAM!D34)</f>
        <v/>
      </c>
      <c r="E15" s="432"/>
    </row>
    <row r="16" spans="1:5" ht="18" customHeight="1">
      <c r="A16" s="428" t="s">
        <v>292</v>
      </c>
      <c r="B16" s="431" t="str">
        <f>+CONCATENATE(Potvr_ZAM!C35)</f>
        <v/>
      </c>
      <c r="C16" s="431" t="str">
        <f>+CONCATENATE(Potvr_ZAM!B35)</f>
        <v/>
      </c>
      <c r="D16" s="431" t="str">
        <f>+CONCATENATE(Potvr_ZAM!D35)</f>
        <v/>
      </c>
      <c r="E16" s="432"/>
    </row>
    <row r="17" spans="1:5" ht="18" customHeight="1">
      <c r="A17" s="428" t="s">
        <v>291</v>
      </c>
      <c r="B17" s="431" t="str">
        <f>+CONCATENATE(Potvr_ZAM!C36)</f>
        <v/>
      </c>
      <c r="C17" s="431" t="str">
        <f>+CONCATENATE(Potvr_ZAM!B36)</f>
        <v/>
      </c>
      <c r="D17" s="431" t="str">
        <f>+CONCATENATE(Potvr_ZAM!D36)</f>
        <v/>
      </c>
      <c r="E17" s="432"/>
    </row>
    <row r="18" spans="1:5" ht="18" customHeight="1">
      <c r="A18" s="1379"/>
      <c r="B18" s="1379"/>
      <c r="C18" s="1379"/>
      <c r="D18" s="1379"/>
      <c r="E18" s="1379"/>
    </row>
    <row r="19" spans="1:5" ht="18" customHeight="1">
      <c r="A19" s="1379"/>
      <c r="B19" s="1379"/>
      <c r="C19" s="1379"/>
      <c r="D19" s="1379"/>
      <c r="E19" s="1379"/>
    </row>
    <row r="20" spans="1:5" ht="18" customHeight="1">
      <c r="A20" s="426" t="s">
        <v>3414</v>
      </c>
      <c r="B20" s="433">
        <f ca="1">TODAY()</f>
        <v>44254</v>
      </c>
      <c r="C20" s="1379"/>
      <c r="D20" s="1379"/>
      <c r="E20" s="1379"/>
    </row>
    <row r="21" spans="1:5" ht="18" customHeight="1">
      <c r="A21" s="1379"/>
      <c r="B21" s="1379"/>
      <c r="C21" s="1379"/>
      <c r="D21" s="1381"/>
      <c r="E21" s="1381"/>
    </row>
    <row r="22" spans="1:5" ht="18" customHeight="1">
      <c r="A22" s="1379"/>
      <c r="B22" s="1379"/>
      <c r="C22" s="1379"/>
      <c r="D22" s="1344"/>
      <c r="E22" s="1344"/>
    </row>
    <row r="23" spans="1:5" ht="18" customHeight="1">
      <c r="A23" s="1379"/>
      <c r="B23" s="1379"/>
      <c r="C23" s="1379"/>
      <c r="D23" s="1382" t="s">
        <v>3557</v>
      </c>
      <c r="E23" s="1382"/>
    </row>
    <row r="24" spans="1:5" ht="18" customHeight="1">
      <c r="A24" s="434"/>
      <c r="B24" s="434"/>
      <c r="C24" s="434"/>
      <c r="D24" s="434"/>
      <c r="E24" s="434"/>
    </row>
    <row r="25" spans="1:5" ht="15">
      <c r="A25" s="434"/>
      <c r="B25" s="434"/>
      <c r="C25" s="434"/>
      <c r="D25" s="434"/>
      <c r="E25" s="434"/>
    </row>
    <row r="26" spans="1:5" ht="15">
      <c r="A26" s="434"/>
      <c r="B26" s="434"/>
      <c r="C26" s="434"/>
      <c r="D26" s="434"/>
      <c r="E26" s="434"/>
    </row>
    <row r="27" spans="1:5" ht="15">
      <c r="A27" s="434"/>
      <c r="B27" s="434"/>
      <c r="C27" s="434"/>
      <c r="D27" s="434"/>
      <c r="E27" s="434"/>
    </row>
    <row r="28" spans="1:5" ht="15">
      <c r="A28" s="434"/>
      <c r="B28" s="434"/>
      <c r="C28" s="434"/>
      <c r="D28" s="434"/>
      <c r="E28" s="434"/>
    </row>
    <row r="29" spans="1:5" ht="15">
      <c r="A29" s="434"/>
      <c r="B29" s="434"/>
      <c r="C29" s="434"/>
      <c r="D29" s="434"/>
      <c r="E29" s="434"/>
    </row>
    <row r="30" spans="1:5" ht="15">
      <c r="A30" s="434"/>
      <c r="B30" s="434"/>
      <c r="C30" s="434"/>
      <c r="D30" s="434"/>
      <c r="E30" s="434"/>
    </row>
    <row r="31" spans="1:5" ht="15">
      <c r="A31" s="434"/>
      <c r="B31" s="434"/>
      <c r="C31" s="434"/>
      <c r="D31" s="434"/>
      <c r="E31" s="434"/>
    </row>
    <row r="32" spans="1:5" ht="15">
      <c r="A32" s="434"/>
      <c r="B32" s="434"/>
      <c r="C32" s="434"/>
      <c r="D32" s="434"/>
      <c r="E32" s="434"/>
    </row>
    <row r="33" spans="1:5" ht="15">
      <c r="A33" s="434"/>
      <c r="B33" s="434"/>
      <c r="C33" s="434"/>
      <c r="D33" s="434"/>
      <c r="E33" s="434"/>
    </row>
    <row r="34" spans="1:5" ht="15">
      <c r="A34" s="434"/>
      <c r="B34" s="434"/>
      <c r="C34" s="434"/>
      <c r="D34" s="434"/>
      <c r="E34" s="434"/>
    </row>
    <row r="35" spans="1:5" ht="15">
      <c r="A35" s="434"/>
      <c r="B35" s="434"/>
      <c r="C35" s="434"/>
      <c r="D35" s="434"/>
      <c r="E35" s="434"/>
    </row>
    <row r="36" spans="1:5" ht="15">
      <c r="A36" s="434"/>
      <c r="B36" s="434"/>
      <c r="C36" s="434"/>
      <c r="D36" s="434"/>
      <c r="E36" s="434"/>
    </row>
    <row r="37" spans="1:5" ht="15">
      <c r="A37" s="434"/>
      <c r="B37" s="434"/>
      <c r="C37" s="434"/>
      <c r="D37" s="434"/>
      <c r="E37" s="434"/>
    </row>
    <row r="38" spans="1:5" ht="15">
      <c r="A38" s="434"/>
      <c r="B38" s="434"/>
      <c r="C38" s="434"/>
      <c r="D38" s="434"/>
      <c r="E38" s="434"/>
    </row>
    <row r="39" spans="1:5" ht="15">
      <c r="A39" s="434"/>
      <c r="B39" s="434"/>
      <c r="C39" s="434"/>
      <c r="D39" s="434"/>
      <c r="E39" s="434"/>
    </row>
    <row r="40" spans="1:5" ht="15">
      <c r="A40" s="434"/>
      <c r="B40" s="434"/>
      <c r="C40" s="434"/>
      <c r="D40" s="434"/>
      <c r="E40" s="434"/>
    </row>
    <row r="41" spans="1:5" ht="15">
      <c r="A41" s="434"/>
      <c r="B41" s="434"/>
      <c r="C41" s="434"/>
      <c r="D41" s="434"/>
      <c r="E41" s="434"/>
    </row>
    <row r="42" spans="1:5" ht="15">
      <c r="A42" s="434"/>
      <c r="B42" s="434"/>
      <c r="C42" s="434"/>
      <c r="D42" s="434"/>
      <c r="E42" s="434"/>
    </row>
    <row r="43" spans="1:5" ht="15">
      <c r="A43" s="434"/>
      <c r="B43" s="434"/>
      <c r="C43" s="434"/>
      <c r="D43" s="434"/>
      <c r="E43" s="434"/>
    </row>
  </sheetData>
  <sheetProtection algorithmName="SHA-512" hashValue="8ZSqUIt7S0ZtApUsMTZIT0pSonzL1pphI6nRdQlznlRAogSf3H6NaIRuSe7Hy6ncHrjWwHbzMgHZp8FflwWitg==" saltValue="EUv5mv+aCZTKv0CJbHHlzQ=="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 right="0.393700787401575" top="0.393700787401575" bottom="0.393700787401575" header="0.31496062992126" footer="0.31496062992126"/>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BC312"/>
  <sheetViews>
    <sheetView zoomScale="70" zoomScaleNormal="70" workbookViewId="0" topLeftCell="A58">
      <selection pane="topLeft" activeCell="B113" sqref="B113"/>
    </sheetView>
  </sheetViews>
  <sheetFormatPr defaultRowHeight="12.75"/>
  <cols>
    <col min="1" max="1" width="18.2857142857143" customWidth="1"/>
    <col min="2" max="2" width="15.7142857142857"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19.5714285714286"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1.1428571428571" customWidth="1"/>
    <col min="29" max="29" width="13" bestFit="1" customWidth="1"/>
    <col min="30" max="30" width="12" bestFit="1" customWidth="1"/>
    <col min="31" max="31" width="12.4285714285714" bestFit="1" customWidth="1"/>
    <col min="32" max="32" width="11.1428571428571" bestFit="1" customWidth="1"/>
    <col min="33" max="34" width="11.1428571428571" customWidth="1"/>
    <col min="35" max="35" width="13" bestFit="1" customWidth="1"/>
    <col min="36" max="36" width="12" bestFit="1" customWidth="1"/>
    <col min="37" max="37" width="12.4285714285714" bestFit="1" customWidth="1"/>
    <col min="41" max="41" width="11.1428571428571" bestFit="1" customWidth="1"/>
    <col min="42" max="42" width="13" bestFit="1" customWidth="1"/>
    <col min="43" max="43" width="11.1428571428571" customWidth="1"/>
    <col min="44" max="44" width="13" bestFit="1" customWidth="1"/>
    <col min="45" max="45" width="12" bestFit="1" customWidth="1"/>
    <col min="46" max="46" width="12.4285714285714" bestFit="1" customWidth="1"/>
    <col min="48" max="48" width="11.1428571428571" bestFit="1" customWidth="1"/>
    <col min="49" max="50" width="11.1428571428571" customWidth="1"/>
    <col min="51" max="51" width="13" bestFit="1" customWidth="1"/>
    <col min="52" max="52" width="12" bestFit="1" customWidth="1"/>
    <col min="53" max="53" width="12.4285714285714" bestFit="1" customWidth="1"/>
  </cols>
  <sheetData>
    <row r="1" spans="1:27" ht="14.25">
      <c r="A1" s="364" t="s">
        <v>318</v>
      </c>
      <c r="E1" t="s">
        <v>388</v>
      </c>
      <c r="I1" t="s">
        <v>435</v>
      </c>
      <c r="M1" t="s">
        <v>456</v>
      </c>
      <c r="Q1" t="s">
        <v>474</v>
      </c>
      <c r="R1" s="370" t="s">
        <v>3531</v>
      </c>
      <c r="S1" s="370" t="s">
        <v>473</v>
      </c>
      <c r="T1" s="370" t="s">
        <v>475</v>
      </c>
      <c r="U1" s="370" t="s">
        <v>3532</v>
      </c>
      <c r="V1" s="370" t="s">
        <v>3533</v>
      </c>
      <c r="W1" s="370" t="s">
        <v>476</v>
      </c>
      <c r="X1" s="370" t="s">
        <v>477</v>
      </c>
      <c r="Y1" s="307" t="s">
        <v>478</v>
      </c>
      <c r="Z1" s="307" t="s">
        <v>3530</v>
      </c>
      <c r="AA1" s="307" t="s">
        <v>3529</v>
      </c>
    </row>
    <row r="2" spans="1:27" ht="14.25">
      <c r="A2" s="307" t="s">
        <v>319</v>
      </c>
      <c r="B2" s="365" t="str">
        <f>IF('DAP1'!J19&lt;&gt;"","A",IF('DAP1'!L19&lt;&gt;"","N",""))</f>
        <v>N</v>
      </c>
      <c r="C2" s="314" t="s">
        <v>3391</v>
      </c>
      <c r="E2" s="307" t="s">
        <v>389</v>
      </c>
      <c r="F2" s="365" t="str">
        <f>IF(ZAKL_DATA!B26&lt;&gt;"",ZAKL_DATA!B26,"")</f>
        <v/>
      </c>
      <c r="G2" s="314" t="s">
        <v>3392</v>
      </c>
      <c r="I2" s="307" t="s">
        <v>436</v>
      </c>
      <c r="J2" s="368">
        <f>'6Př'!E20</f>
        <v>0</v>
      </c>
      <c r="K2" s="1"/>
      <c r="M2" s="307" t="s">
        <v>457</v>
      </c>
      <c r="N2" s="368">
        <f>'DAP2'!F37</f>
        <v>0</v>
      </c>
      <c r="O2" s="314" t="s">
        <v>3392</v>
      </c>
      <c r="R2" s="365" t="str">
        <f>IF('DAP3'!D20&lt;&gt;"",CONCATENATE(MID('DAP3'!D20,5,2),".",IF(VALUE(MID('DAP3'!D20,3,2))&lt;13,MID('DAP3'!D20,3,2),MID('DAP3'!D20,3,2)-50),".",IF(MID('DAP3'!D20,1,2)&lt;"50","20","19"),MID('DAP3'!D20,1,2)),"")</f>
        <v/>
      </c>
      <c r="S2" s="365" t="e">
        <f>IF('DAP3'!B20&lt;&gt;"XXX",MID('DAP3'!B20,(FIND(" ",'DAP3'!B20,1))+1,LEN('DAP3'!B20)),"")</f>
        <v>#VALUE!</v>
      </c>
      <c r="T2" s="366" t="str">
        <f>IF('DAP3'!F20&lt;&gt;"",'DAP3'!F20,"")</f>
        <v/>
      </c>
      <c r="U2" s="366" t="str">
        <f>IF('DAP3'!H20&lt;&gt;"",'DAP3'!H20,"")</f>
        <v/>
      </c>
      <c r="V2" t="str">
        <f>IF('DAP3'!J20&lt;&gt;"",'DAP3'!J20,"")</f>
        <v/>
      </c>
      <c r="W2" s="365" t="e">
        <f>IF('DAP3'!B20&lt;&gt;"XXX",LEFT('DAP3'!B20,(FIND(" ",'DAP3'!B20,1))-1),"")</f>
        <v>#VALUE!</v>
      </c>
      <c r="X2" s="308" t="str">
        <f>IF('DAP3'!D20&lt;&gt;"",'DAP3'!D20,"")</f>
        <v/>
      </c>
      <c r="Y2" s="372" t="str">
        <f>IF('DAP3'!G20&lt;&gt;"",'DAP3'!G20,"")</f>
        <v/>
      </c>
      <c r="Z2" s="372" t="str">
        <f>IF('DAP3'!I20&lt;&gt;"",'DAP3'!I20,"")</f>
        <v/>
      </c>
      <c r="AA2" s="372" t="str">
        <f>IF('DAP3'!K20&lt;&gt;"",'DAP3'!K20,"")</f>
        <v/>
      </c>
    </row>
    <row r="3" spans="1:27" ht="14.25">
      <c r="A3" s="307" t="s">
        <v>320</v>
      </c>
      <c r="B3" t="e">
        <f>VLOOKUP(ZAKL_DATA!B13,FU!B3:C17,2,FALSE)</f>
        <v>#N/A</v>
      </c>
      <c r="E3" s="307" t="s">
        <v>390</v>
      </c>
      <c r="I3" s="307" t="s">
        <v>437</v>
      </c>
      <c r="J3" s="368">
        <f>'6Př'!F20</f>
        <v>0</v>
      </c>
      <c r="K3" s="1"/>
      <c r="M3" s="307" t="s">
        <v>458</v>
      </c>
      <c r="N3" s="368">
        <f>'DAP2'!F29</f>
        <v>0</v>
      </c>
      <c r="O3" s="314" t="s">
        <v>3392</v>
      </c>
      <c r="R3" s="308" t="str">
        <f>IF('DAP3'!D21&lt;&gt;"",CONCATENATE(MID('DAP3'!D21,5,2),".",IF(VALUE(MID('DAP3'!D21,3,2))&lt;13,MID('DAP3'!D21,3,2),MID('DAP3'!D21,3,2)-50),".",IF(MID('DAP3'!D21,1,2)&lt;"50","20","19"),MID('DAP3'!D21,1,2)),"")</f>
        <v/>
      </c>
      <c r="S3" s="308" t="e">
        <f>IF('DAP3'!B21&lt;&gt;"XXX",MID('DAP3'!B21,(FIND(" ",'DAP3'!B21,1))+1,LEN('DAP3'!B21)),"")</f>
        <v>#VALUE!</v>
      </c>
      <c r="T3" t="str">
        <f>IF('DAP3'!F21&lt;&gt;"",'DAP3'!F21,"")</f>
        <v/>
      </c>
      <c r="U3" s="372" t="str">
        <f>IF('DAP3'!H21&lt;&gt;"",'DAP3'!H21,"")</f>
        <v/>
      </c>
      <c r="V3" t="str">
        <f>IF('DAP3'!J21&lt;&gt;"",'DAP3'!J21,"")</f>
        <v/>
      </c>
      <c r="W3" s="308" t="e">
        <f>IF('DAP3'!B21&lt;&gt;"XXX",LEFT('DAP3'!B21,(FIND(" ",'DAP3'!B21,1))-1),"")</f>
        <v>#VALUE!</v>
      </c>
      <c r="X3" s="308" t="str">
        <f>IF('DAP3'!D21&lt;&gt;"",'DAP3'!D21,"")</f>
        <v/>
      </c>
      <c r="Y3" s="372" t="str">
        <f>IF('DAP3'!G21&lt;&gt;"",'DAP3'!G21,"")</f>
        <v/>
      </c>
      <c r="Z3" s="372" t="str">
        <f>IF('DAP3'!I21&lt;&gt;"",'DAP3'!I21,"")</f>
        <v/>
      </c>
      <c r="AA3" s="372" t="str">
        <f>IF('DAP3'!K21&lt;&gt;"",'DAP3'!K21,"")</f>
        <v/>
      </c>
    </row>
    <row r="4" spans="1:27" ht="14.25">
      <c r="A4" s="307" t="s">
        <v>321</v>
      </c>
      <c r="B4" s="308" t="str">
        <f>IF('DAP1'!K15&lt;&gt;"",TEXT('DAP1'!K15,"DD.MM.RRRR"),"")</f>
        <v/>
      </c>
      <c r="C4" s="374"/>
      <c r="E4" s="307" t="s">
        <v>391</v>
      </c>
      <c r="F4" s="365" t="str">
        <f>IF(ISNUMBER(FIND("/",ZAKL_DATA!B17)),MID(ZAKL_DATA!B17,(FIND("/",ZAKL_DATA!B17,1))+1,LEN(ZAKL_DATA!B17)),"")</f>
        <v/>
      </c>
      <c r="G4" s="314" t="s">
        <v>3392</v>
      </c>
      <c r="I4" s="307" t="s">
        <v>438</v>
      </c>
      <c r="J4" s="368">
        <f>'DAP2'!E6</f>
        <v>0</v>
      </c>
      <c r="K4" s="314" t="s">
        <v>3392</v>
      </c>
      <c r="M4" s="307" t="s">
        <v>459</v>
      </c>
      <c r="N4" s="368">
        <f>'DAP2'!F34</f>
        <v>0</v>
      </c>
      <c r="O4" s="314" t="s">
        <v>3392</v>
      </c>
      <c r="R4" s="308" t="str">
        <f>IF('DAP3'!D22&lt;&gt;"",CONCATENATE(MID('DAP3'!D22,5,2),".",IF(VALUE(MID('DAP3'!D22,3,2))&lt;13,MID('DAP3'!D22,3,2),MID('DAP3'!D22,3,2)-50),".",IF(MID('DAP3'!D22,1,2)&lt;"50","20","19"),MID('DAP3'!D22,1,2)),"")</f>
        <v/>
      </c>
      <c r="S4" s="308" t="e">
        <f>IF('DAP3'!B22&lt;&gt;"XXX",MID('DAP3'!B22,(FIND(" ",'DAP3'!B22,1))+1,LEN('DAP3'!B22)),"")</f>
        <v>#VALUE!</v>
      </c>
      <c r="T4" t="str">
        <f>IF('DAP3'!F22&lt;&gt;"",'DAP3'!F22,"")</f>
        <v/>
      </c>
      <c r="U4" s="372" t="str">
        <f>IF('DAP3'!H22&lt;&gt;"",'DAP3'!H22,"")</f>
        <v/>
      </c>
      <c r="V4" t="str">
        <f>IF('DAP3'!J22&lt;&gt;"",'DAP3'!J22,"")</f>
        <v/>
      </c>
      <c r="W4" s="308" t="e">
        <f>IF('DAP3'!B22&lt;&gt;"XXX",LEFT('DAP3'!B22,(FIND(" ",'DAP3'!B22,1))-1),"")</f>
        <v>#VALUE!</v>
      </c>
      <c r="X4" s="308" t="str">
        <f>IF('DAP3'!D22&lt;&gt;"",'DAP3'!D22,"")</f>
        <v/>
      </c>
      <c r="Y4" s="372" t="str">
        <f>IF('DAP3'!G22&lt;&gt;"",'DAP3'!G22,"")</f>
        <v/>
      </c>
      <c r="Z4" s="372" t="str">
        <f>IF('DAP3'!I22&lt;&gt;"",'DAP3'!I22,"")</f>
        <v/>
      </c>
      <c r="AA4" s="372" t="str">
        <f>IF('DAP3'!K22&lt;&gt;"",'DAP3'!K22,"")</f>
        <v/>
      </c>
    </row>
    <row r="5" spans="1:27" ht="14.25">
      <c r="A5" s="307" t="s">
        <v>322</v>
      </c>
      <c r="B5" s="365" t="str">
        <f ca="1">TEXT('DAP4'!A40,"DD.MM.RRRR")</f>
        <v>27.02.2021</v>
      </c>
      <c r="C5" s="314" t="s">
        <v>3392</v>
      </c>
      <c r="E5" s="307" t="s">
        <v>392</v>
      </c>
      <c r="F5" s="365" t="str">
        <f>IF('DAP1'!J29&lt;&gt;"",'DAP1'!J29,"")</f>
        <v/>
      </c>
      <c r="G5" s="375" t="s">
        <v>3392</v>
      </c>
      <c r="I5" s="307" t="s">
        <v>439</v>
      </c>
      <c r="J5" s="368">
        <f>'DAP2'!E5</f>
        <v>0</v>
      </c>
      <c r="K5" s="314" t="s">
        <v>3392</v>
      </c>
      <c r="M5" s="307" t="s">
        <v>460</v>
      </c>
      <c r="N5" s="368">
        <f>'DAP2'!F26</f>
        <v>0</v>
      </c>
      <c r="O5" s="314" t="s">
        <v>3392</v>
      </c>
      <c r="R5" s="308" t="str">
        <f>IF('DAP3'!D23&lt;&gt;"",CONCATENATE(MID('DAP3'!D23,5,2),".",IF(VALUE(MID('DAP3'!D23,3,2))&lt;13,MID('DAP3'!D23,3,2),MID('DAP3'!D23,3,2)-50),".",IF(MID('DAP3'!D23,1,2)&lt;"50","20","19"),MID('DAP3'!D23,1,2)),"")</f>
        <v/>
      </c>
      <c r="S5" s="308" t="e">
        <f>IF('DAP3'!B23&lt;&gt;"XXX",MID('DAP3'!B23,(FIND(" ",'DAP3'!B23,1))+1,LEN('DAP3'!B23)),"")</f>
        <v>#VALUE!</v>
      </c>
      <c r="T5" t="str">
        <f>IF('DAP3'!F23&lt;&gt;"",'DAP3'!F23,"")</f>
        <v/>
      </c>
      <c r="U5" s="372" t="str">
        <f>IF('DAP3'!H23&lt;&gt;"",'DAP3'!H23,"")</f>
        <v/>
      </c>
      <c r="V5" t="str">
        <f>IF('DAP3'!J23&lt;&gt;"",'DAP3'!J23,"")</f>
        <v/>
      </c>
      <c r="W5" s="308" t="e">
        <f>IF('DAP3'!B23&lt;&gt;"XXX",LEFT('DAP3'!B23,(FIND(" ",'DAP3'!B23,1))-1),"")</f>
        <v>#VALUE!</v>
      </c>
      <c r="X5" s="308" t="str">
        <f>IF('DAP3'!D23&lt;&gt;"",'DAP3'!D23,"")</f>
        <v/>
      </c>
      <c r="Y5" s="372" t="str">
        <f>IF('DAP3'!G23&lt;&gt;"",'DAP3'!G23,"")</f>
        <v/>
      </c>
      <c r="Z5" s="372" t="str">
        <f>IF('DAP3'!I23&lt;&gt;"",'DAP3'!I23,"")</f>
        <v/>
      </c>
      <c r="AA5" s="372" t="str">
        <f>IF('DAP3'!K23&lt;&gt;"",'DAP3'!K23,"")</f>
        <v/>
      </c>
    </row>
    <row r="6" spans="1:15" ht="14.25">
      <c r="A6" s="307" t="s">
        <v>323</v>
      </c>
      <c r="B6" s="365" t="str">
        <f>IF('DAP1'!K13&gt;0,TEXT('DAP1'!K13,"DD.MM.RRRR"),"")</f>
        <v/>
      </c>
      <c r="C6" s="314" t="s">
        <v>3392</v>
      </c>
      <c r="E6" s="307" t="s">
        <v>393</v>
      </c>
      <c r="F6" t="str">
        <f>IF(IF(ISNUMBER(FIND("/",ZAKL_DATA!B17)),LEFT(ZAKL_DATA!B17,(FIND("/",ZAKL_DATA!B17,1))-1),ZAKL_DATA!B17)&lt;&gt;0,IF(ISNUMBER(FIND("/",ZAKL_DATA!B17)),LEFT(ZAKL_DATA!B17,(FIND("/",ZAKL_DATA!B17,1))-1),ZAKL_DATA!B17),"")</f>
        <v/>
      </c>
      <c r="G6" s="314" t="s">
        <v>3392</v>
      </c>
      <c r="I6" s="307" t="s">
        <v>440</v>
      </c>
      <c r="K6" s="314" t="s">
        <v>3396</v>
      </c>
      <c r="M6" s="307" t="s">
        <v>461</v>
      </c>
      <c r="N6" s="368">
        <f>'DAP2'!F27</f>
        <v>0</v>
      </c>
      <c r="O6" s="314" t="s">
        <v>3392</v>
      </c>
    </row>
    <row r="7" spans="1:22" ht="14.25">
      <c r="A7" s="307" t="s">
        <v>324</v>
      </c>
      <c r="B7" s="368">
        <f>'DAP2'!F41</f>
        <v>0</v>
      </c>
      <c r="C7" s="314" t="s">
        <v>3392</v>
      </c>
      <c r="E7" s="307" t="s">
        <v>394</v>
      </c>
      <c r="F7" t="e">
        <f>VLOOKUP(ZAKL_DATA!B14,FU!E3:F204,2,FALSE)</f>
        <v>#N/A</v>
      </c>
      <c r="G7" s="314" t="s">
        <v>3392</v>
      </c>
      <c r="I7" s="307" t="s">
        <v>441</v>
      </c>
      <c r="J7" s="368">
        <f>'DAP2'!E4</f>
        <v>0</v>
      </c>
      <c r="K7" s="314" t="s">
        <v>3392</v>
      </c>
      <c r="M7" s="307" t="s">
        <v>462</v>
      </c>
      <c r="N7" s="368">
        <f>'DAP2'!F28</f>
        <v>0</v>
      </c>
      <c r="O7" s="314" t="s">
        <v>3392</v>
      </c>
      <c r="R7" s="397"/>
      <c r="S7" s="314" t="s">
        <v>3392</v>
      </c>
      <c r="T7" s="314" t="s">
        <v>3392</v>
      </c>
      <c r="U7" s="314" t="s">
        <v>3392</v>
      </c>
      <c r="V7" s="314" t="s">
        <v>3392</v>
      </c>
    </row>
    <row r="8" spans="1:15" ht="14.25">
      <c r="A8" s="307" t="s">
        <v>325</v>
      </c>
      <c r="B8" s="368">
        <f>'DAP2'!F44</f>
        <v>0</v>
      </c>
      <c r="C8" s="314" t="s">
        <v>3392</v>
      </c>
      <c r="E8" s="307" t="s">
        <v>395</v>
      </c>
      <c r="F8" s="365" t="str">
        <f>IF(ZAKL_DATA!B25&lt;&gt;"",ZAKL_DATA!B25,"")</f>
        <v/>
      </c>
      <c r="G8" t="s">
        <v>3392</v>
      </c>
      <c r="I8" s="307" t="s">
        <v>442</v>
      </c>
      <c r="J8" s="368">
        <f>'DAP2'!E19</f>
        <v>0</v>
      </c>
      <c r="K8" s="314" t="s">
        <v>3392</v>
      </c>
      <c r="M8" s="307" t="s">
        <v>463</v>
      </c>
      <c r="N8" s="368">
        <f>'DAP2'!F24</f>
        <v>0</v>
      </c>
      <c r="O8" s="314" t="s">
        <v>3392</v>
      </c>
    </row>
    <row r="9" spans="1:15" ht="14.25">
      <c r="A9" s="307" t="s">
        <v>326</v>
      </c>
      <c r="B9" s="368">
        <f>'DAP3'!E15</f>
        <v>0</v>
      </c>
      <c r="C9" s="314" t="s">
        <v>3392</v>
      </c>
      <c r="E9" s="307" t="s">
        <v>396</v>
      </c>
      <c r="F9" s="308" t="str">
        <f>MID(ZAKL_DATA!D2,3,10)</f>
        <v/>
      </c>
      <c r="G9" t="s">
        <v>3392</v>
      </c>
      <c r="I9" s="307" t="s">
        <v>443</v>
      </c>
      <c r="J9" s="368">
        <f>'DAP2'!E8</f>
        <v>0</v>
      </c>
      <c r="K9" s="314" t="s">
        <v>3392</v>
      </c>
      <c r="M9" s="307" t="s">
        <v>464</v>
      </c>
      <c r="N9" s="368">
        <f>'DAP2'!F25</f>
        <v>0</v>
      </c>
      <c r="O9" s="314" t="s">
        <v>3392</v>
      </c>
    </row>
    <row r="10" spans="1:15" ht="14.25">
      <c r="A10" s="307" t="s">
        <v>327</v>
      </c>
      <c r="B10" s="368">
        <f>'DAP3'!D28</f>
        <v>0</v>
      </c>
      <c r="C10" s="314" t="s">
        <v>3392</v>
      </c>
      <c r="E10" s="307" t="s">
        <v>397</v>
      </c>
      <c r="F10" s="365" t="str">
        <f>IF(ZAKL_DATA!B27&lt;&gt;"",ZAKL_DATA!B27,"")</f>
        <v/>
      </c>
      <c r="G10" t="s">
        <v>3392</v>
      </c>
      <c r="I10" s="307" t="s">
        <v>444</v>
      </c>
      <c r="J10" s="368">
        <f>'DAP2'!E16</f>
        <v>0</v>
      </c>
      <c r="K10" s="314" t="s">
        <v>3392</v>
      </c>
      <c r="M10" s="307" t="s">
        <v>465</v>
      </c>
      <c r="N10" s="368">
        <f>'DAP2'!F30</f>
        <v>0</v>
      </c>
      <c r="O10" s="314" t="s">
        <v>3392</v>
      </c>
    </row>
    <row r="11" spans="1:24" ht="14.25">
      <c r="A11" s="307" t="s">
        <v>328</v>
      </c>
      <c r="B11" s="369">
        <f>'DAP2'!F39</f>
        <v>0</v>
      </c>
      <c r="C11" s="314" t="s">
        <v>3392</v>
      </c>
      <c r="E11" s="307" t="s">
        <v>398</v>
      </c>
      <c r="F11" s="365" t="str">
        <f>IF(ZAKL_DATA!B4&lt;&gt;"",ZAKL_DATA!B4,"")</f>
        <v/>
      </c>
      <c r="G11" t="s">
        <v>3392</v>
      </c>
      <c r="I11" s="307" t="s">
        <v>445</v>
      </c>
      <c r="J11" s="368">
        <f>'DAP2'!E17</f>
        <v>0</v>
      </c>
      <c r="K11" s="314" t="s">
        <v>3392</v>
      </c>
      <c r="M11" s="307" t="s">
        <v>466</v>
      </c>
      <c r="N11" s="368">
        <f>'DAP2'!F32</f>
        <v>0</v>
      </c>
      <c r="O11" s="314" t="s">
        <v>3392</v>
      </c>
      <c r="X11" s="314"/>
    </row>
    <row r="12" spans="1:15" ht="14.25">
      <c r="A12" s="307" t="s">
        <v>329</v>
      </c>
      <c r="B12" s="365" t="str">
        <f>IF(AND('DAP1'!A13&lt;&gt;"",'DAP1'!C13&lt;&gt;"",'DAP1'!E13=""),"O",IF(AND('DAP1'!A13&lt;&gt;"",'DAP1'!C13="",'DAP1'!E13=""),"B",IF(AND('DAP1'!A13="",'DAP1'!C13&lt;&gt;"",'DAP1'!E13&lt;&gt;""),"E",IF(AND('DAP1'!A13="",'DAP1'!C13="",'DAP1'!E13&lt;&gt;""),"D",""))))</f>
        <v>B</v>
      </c>
      <c r="C12" s="314" t="s">
        <v>3392</v>
      </c>
      <c r="E12" s="307" t="s">
        <v>399</v>
      </c>
      <c r="F12" s="308" t="str">
        <f>IF(AND(ZAKL_DATA!B20&lt;&gt;"",ZAKL_DATA!B20&lt;&gt;0),IF(ZAKL_DATA!B20&lt;&gt;"ČESKÁ REPUBLIKA",VLOOKUP(ZAKL_DATA!B20,FU!J3:K253,2,FALSE),"CZ"),"CZ")</f>
        <v>CZ</v>
      </c>
      <c r="G12" t="s">
        <v>3392</v>
      </c>
      <c r="I12" s="307" t="s">
        <v>446</v>
      </c>
      <c r="J12" s="368">
        <f>'DAP2'!E11</f>
        <v>0</v>
      </c>
      <c r="K12" s="314" t="s">
        <v>3392</v>
      </c>
      <c r="M12" s="307" t="s">
        <v>467</v>
      </c>
      <c r="N12" s="368">
        <f>'DAP2'!F31</f>
        <v>0</v>
      </c>
      <c r="O12" s="314" t="s">
        <v>3392</v>
      </c>
    </row>
    <row r="13" spans="1:15" ht="14.25">
      <c r="A13" s="307" t="s">
        <v>330</v>
      </c>
      <c r="B13" s="383" t="s">
        <v>3393</v>
      </c>
      <c r="C13" s="314" t="s">
        <v>3394</v>
      </c>
      <c r="E13" s="307" t="s">
        <v>400</v>
      </c>
      <c r="G13" s="1"/>
      <c r="I13" s="307" t="s">
        <v>447</v>
      </c>
      <c r="J13" s="368">
        <f>'DAP2'!E21</f>
        <v>0</v>
      </c>
      <c r="K13" s="314" t="s">
        <v>3392</v>
      </c>
      <c r="M13" s="307" t="s">
        <v>468</v>
      </c>
      <c r="N13" s="368">
        <f>'DAP2'!F35</f>
        <v>0</v>
      </c>
      <c r="O13" s="314" t="s">
        <v>3392</v>
      </c>
    </row>
    <row r="14" spans="1:25" ht="14.25">
      <c r="A14" s="307" t="s">
        <v>331</v>
      </c>
      <c r="B14" s="365" t="str">
        <f>IF(OR('DAP1'!A15="i",'DAP1'!A15="I"),"I",IF(OR('DAP1'!A15="g",'DAP1'!A15="G"),"G",""))</f>
        <v/>
      </c>
      <c r="C14" s="314" t="s">
        <v>3392</v>
      </c>
      <c r="E14" s="307" t="s">
        <v>401</v>
      </c>
      <c r="F14" s="365" t="str">
        <f>IF(ISNUMBER(FIND("/",'DAP1'!J35)),MID('DAP1'!J35,(FIND("/",'DAP1'!J35,1))+1,LEN('DAP1'!J35)),"")</f>
        <v/>
      </c>
      <c r="G14" s="1"/>
      <c r="I14" s="307" t="s">
        <v>448</v>
      </c>
      <c r="J14" s="368">
        <f>'DAP2'!E18</f>
        <v>0</v>
      </c>
      <c r="K14" s="314" t="s">
        <v>3392</v>
      </c>
      <c r="M14" s="307" t="s">
        <v>469</v>
      </c>
      <c r="N14" s="368">
        <f>'DAP2'!F36</f>
        <v>0</v>
      </c>
      <c r="O14" s="314" t="s">
        <v>3392</v>
      </c>
      <c r="Y14" s="396"/>
    </row>
    <row r="15" spans="1:15" ht="14.25">
      <c r="A15" s="307" t="s">
        <v>332</v>
      </c>
      <c r="B15" s="365" t="s">
        <v>3395</v>
      </c>
      <c r="C15" s="314" t="s">
        <v>3394</v>
      </c>
      <c r="E15" s="307" t="s">
        <v>402</v>
      </c>
      <c r="F15" t="str">
        <f>IF(IF(ISNUMBER(FIND("/",'DAP1'!J35)),LEFT('DAP1'!J35,(FIND("/",'DAP1'!J35,1))-1),'DAP1'!J35)&lt;&gt;0,IF(ISNUMBER(FIND("/",'DAP1'!J35)),LEFT('DAP1'!J35,(FIND("/",'DAP1'!J35,1))-1),'DAP1'!J35),"")</f>
        <v/>
      </c>
      <c r="G15" s="1"/>
      <c r="I15" s="307" t="s">
        <v>449</v>
      </c>
      <c r="J15" s="368">
        <f>'DAP2'!E13</f>
        <v>0</v>
      </c>
      <c r="K15" s="314" t="s">
        <v>3392</v>
      </c>
      <c r="M15" s="307" t="s">
        <v>470</v>
      </c>
      <c r="N15">
        <f>'DAP2'!E32</f>
        <v>0</v>
      </c>
      <c r="O15" s="314" t="s">
        <v>3392</v>
      </c>
    </row>
    <row r="16" spans="1:15" ht="14.25">
      <c r="A16" s="307" t="s">
        <v>333</v>
      </c>
      <c r="B16">
        <f>'DAP1'!K41</f>
        <v>0</v>
      </c>
      <c r="C16" s="314" t="s">
        <v>3392</v>
      </c>
      <c r="E16" s="307" t="s">
        <v>403</v>
      </c>
      <c r="F16" s="365" t="str">
        <f>IF('DAP1'!B35&lt;&gt;"",'DAP1'!B35,"")</f>
        <v/>
      </c>
      <c r="G16" s="1"/>
      <c r="I16" s="307" t="s">
        <v>450</v>
      </c>
      <c r="J16" s="368">
        <f>'DAP2'!E15</f>
        <v>0</v>
      </c>
      <c r="K16" s="314" t="s">
        <v>3392</v>
      </c>
      <c r="M16" s="307" t="s">
        <v>471</v>
      </c>
      <c r="N16">
        <f>'DAP2'!E25</f>
        <v>0</v>
      </c>
      <c r="O16" s="314" t="s">
        <v>3392</v>
      </c>
    </row>
    <row r="17" spans="1:15" ht="14.25">
      <c r="A17" s="307" t="s">
        <v>334</v>
      </c>
      <c r="B17" s="368">
        <f>'DAP3'!D30</f>
        <v>0</v>
      </c>
      <c r="C17" s="314" t="s">
        <v>3392</v>
      </c>
      <c r="E17" s="307" t="s">
        <v>404</v>
      </c>
      <c r="F17" s="365" t="str">
        <f>IF('DAP1'!L35&lt;&gt;"",'DAP1'!L35,"")</f>
        <v/>
      </c>
      <c r="G17" s="1"/>
      <c r="I17" s="307" t="s">
        <v>451</v>
      </c>
      <c r="J17" s="368">
        <f>'DAP2'!E10</f>
        <v>0</v>
      </c>
      <c r="K17" s="314" t="s">
        <v>3392</v>
      </c>
      <c r="M17" s="307" t="s">
        <v>472</v>
      </c>
      <c r="N17" s="308">
        <f>'DAP2'!C32</f>
        <v>0</v>
      </c>
      <c r="O17" s="314" t="s">
        <v>3392</v>
      </c>
    </row>
    <row r="18" spans="1:11" ht="14.25">
      <c r="A18" s="307" t="s">
        <v>335</v>
      </c>
      <c r="B18" s="368">
        <f>'DAP3'!D26</f>
        <v>0</v>
      </c>
      <c r="C18" s="314" t="s">
        <v>3392</v>
      </c>
      <c r="E18" s="307" t="s">
        <v>405</v>
      </c>
      <c r="F18" s="365" t="str">
        <f>IF('DAP1'!G35&lt;&gt;"",'DAP1'!G35,"")</f>
        <v/>
      </c>
      <c r="G18" s="1"/>
      <c r="I18" s="307" t="s">
        <v>452</v>
      </c>
      <c r="J18" s="368">
        <f>'DAP2'!E7</f>
        <v>0</v>
      </c>
      <c r="K18" s="314" t="s">
        <v>3392</v>
      </c>
    </row>
    <row r="19" spans="1:11" ht="14.25">
      <c r="A19" s="307" t="s">
        <v>336</v>
      </c>
      <c r="B19" s="368">
        <f>'DAP3'!E12</f>
        <v>0</v>
      </c>
      <c r="C19" s="314" t="s">
        <v>3392</v>
      </c>
      <c r="E19" s="307" t="s">
        <v>406</v>
      </c>
      <c r="F19" s="308" t="str">
        <f>IF(ZAKL_DATA!B18&lt;&gt;"",ZAKL_DATA!B18,"")</f>
        <v/>
      </c>
      <c r="G19" t="s">
        <v>3392</v>
      </c>
      <c r="I19" s="307" t="s">
        <v>453</v>
      </c>
      <c r="J19" s="368">
        <f>'DAP2'!E12</f>
        <v>0</v>
      </c>
      <c r="K19" s="314" t="s">
        <v>3392</v>
      </c>
    </row>
    <row r="20" spans="1:21" ht="14.25">
      <c r="A20" s="307" t="s">
        <v>337</v>
      </c>
      <c r="B20" s="368">
        <f>'DAP2'!F42</f>
        <v>0</v>
      </c>
      <c r="C20" s="314" t="s">
        <v>3392</v>
      </c>
      <c r="E20" s="307" t="s">
        <v>407</v>
      </c>
      <c r="F20" s="308" t="str">
        <f>IF(AND(ZAKL_DATA!D4&lt;&gt;"",ZAKL_DATA!D14&lt;&gt;"",'DAP4'!C27&lt;&gt;"4a",'DAP4'!C27&lt;&gt;"4b"),ZAKL_DATA!D14,"")</f>
        <v/>
      </c>
      <c r="G20" s="1" t="s">
        <v>3404</v>
      </c>
      <c r="I20" s="307" t="s">
        <v>454</v>
      </c>
      <c r="J20" s="368">
        <f>'DAP2'!E14</f>
        <v>0</v>
      </c>
      <c r="K20" s="314" t="s">
        <v>3392</v>
      </c>
      <c r="Q20" t="s">
        <v>554</v>
      </c>
      <c r="R20" s="307" t="s">
        <v>532</v>
      </c>
      <c r="S20" s="310" t="s">
        <v>533</v>
      </c>
      <c r="T20" s="310" t="s">
        <v>530</v>
      </c>
      <c r="U20" s="310" t="s">
        <v>534</v>
      </c>
    </row>
    <row r="21" spans="1:23" ht="14.25">
      <c r="A21" s="307" t="s">
        <v>338</v>
      </c>
      <c r="B21" s="368">
        <f>'DAP3'!D49</f>
        <v>0</v>
      </c>
      <c r="C21" s="314" t="s">
        <v>3392</v>
      </c>
      <c r="E21" s="307" t="s">
        <v>408</v>
      </c>
      <c r="F21" s="308" t="str">
        <f>IF(AND(ZAKL_DATA!D4&lt;&gt;"",ZAKL_DATA!D17&lt;&gt;"",'DAP4'!C27&lt;&gt;"4a",'DAP4'!C27&lt;&gt;"4b"),ZAKL_DATA!D17,"")</f>
        <v/>
      </c>
      <c r="G21" s="1" t="s">
        <v>3404</v>
      </c>
      <c r="I21" s="307" t="s">
        <v>455</v>
      </c>
      <c r="J21" s="368">
        <f>'DAP2'!E20</f>
        <v>0</v>
      </c>
      <c r="K21" s="314" t="s">
        <v>3392</v>
      </c>
      <c r="R21" t="str">
        <f t="shared" si="0" ref="R21:R23">IF(ISNUMBER(W21),IF(VALUE(W21)&gt;99999,VALUE(W21),IF(VALUE(W21)&gt;9999,VALUE(W21)*10,IF(VALUE(W21)&gt;999,VALUE(W21)*100,IF(VALUE(W21)&gt;99,VALUE(W21)*1000,IF(VALUE(W21)&gt;9,VALUE(W21)*10000,VALUE(W21)*100000))))),"")</f>
        <v/>
      </c>
      <c r="S21" s="368" t="str">
        <f>IF('1Př1'!F33&lt;&gt;0,'1Př1'!F33,"")</f>
        <v/>
      </c>
      <c r="T21" t="str">
        <f>IF(AND('1Př1'!D33&lt;&gt;0,'1Př1'!D33&lt;&gt;""),100*'1Př1'!D33,"")</f>
        <v/>
      </c>
      <c r="U21" s="368" t="str">
        <f>IF(ISNUMBER(W21),'1Př1'!H33,"")</f>
        <v/>
      </c>
      <c r="W21" t="e">
        <f>UPPER(VLOOKUP('1Př1'!A33,FU!N3:O992,2,FALSE))</f>
        <v>#N/A</v>
      </c>
    </row>
    <row r="22" spans="1:23" ht="14.25">
      <c r="A22" s="307" t="s">
        <v>339</v>
      </c>
      <c r="B22" s="368">
        <f>'DAP3'!E7</f>
        <v>0</v>
      </c>
      <c r="C22" s="314" t="s">
        <v>3392</v>
      </c>
      <c r="E22" s="307" t="s">
        <v>409</v>
      </c>
      <c r="F22" s="308" t="str">
        <f>IF(AND(ZAKL_DATA!D4&lt;&gt;"",ZAKL_DATA!D15&lt;&gt;"",'DAP4'!C27&lt;&gt;"4a",'DAP4'!C27&lt;&gt;"4b"),ZAKL_DATA!D15,"")</f>
        <v/>
      </c>
      <c r="G22" s="1" t="s">
        <v>3404</v>
      </c>
      <c r="R22" t="str">
        <f t="shared" si="0"/>
        <v/>
      </c>
      <c r="S22" s="368" t="str">
        <f>IF('1Př1'!F34&lt;&gt;0,'1Př1'!F34,"")</f>
        <v/>
      </c>
      <c r="T22" t="str">
        <f>IF(AND('1Př1'!D34&lt;&gt;0,'1Př1'!D34&lt;&gt;""),100*'1Př1'!D34,"")</f>
        <v/>
      </c>
      <c r="U22" s="368" t="str">
        <f>IF(ISNUMBER(W22),'1Př1'!H34,"")</f>
        <v/>
      </c>
      <c r="W22" t="e">
        <f>UPPER(VLOOKUP('1Př1'!A34,FU!N3:O992,2,FALSE))</f>
        <v>#N/A</v>
      </c>
    </row>
    <row r="23" spans="1:23" ht="14.25">
      <c r="A23" s="307" t="s">
        <v>340</v>
      </c>
      <c r="B23" s="368">
        <f>'DAP3'!E5</f>
        <v>24840</v>
      </c>
      <c r="C23" s="314" t="s">
        <v>3392</v>
      </c>
      <c r="E23" s="307" t="s">
        <v>410</v>
      </c>
      <c r="F23" s="365" t="str">
        <f>IF(ZAKL_DATA!B5&lt;&gt;"",ZAKL_DATA!B5,"")</f>
        <v/>
      </c>
      <c r="G23" s="1" t="s">
        <v>3392</v>
      </c>
      <c r="R23" t="str">
        <f t="shared" si="0"/>
        <v/>
      </c>
      <c r="S23" s="368" t="str">
        <f>IF('1Př1'!F35&lt;&gt;0,'1Př1'!F35,"")</f>
        <v/>
      </c>
      <c r="T23" t="str">
        <f>IF(AND('1Př1'!D35&lt;&gt;0,'1Př1'!D35&lt;&gt;""),100*'1Př1'!D35,"")</f>
        <v/>
      </c>
      <c r="U23" s="368" t="str">
        <f>IF(ISNUMBER(W23),'1Př1'!H35,"")</f>
        <v/>
      </c>
      <c r="W23" t="e">
        <f>UPPER(VLOOKUP('1Př1'!A35,FU!N3:O992,2,FALSE))</f>
        <v>#N/A</v>
      </c>
    </row>
    <row r="24" spans="1:11" ht="14.25">
      <c r="A24" s="307" t="s">
        <v>341</v>
      </c>
      <c r="B24" s="368">
        <f>'DAP3'!E6</f>
        <v>0</v>
      </c>
      <c r="C24" s="314" t="s">
        <v>3392</v>
      </c>
      <c r="E24" s="307" t="s">
        <v>411</v>
      </c>
      <c r="F24" s="365" t="str">
        <f>IF(ZAKL_DATA!B19&lt;&gt;"",ZAKL_DATA!B19,"")</f>
        <v/>
      </c>
      <c r="G24" t="s">
        <v>3392</v>
      </c>
      <c r="K24">
        <f>LEN(LEFT('DAP3'!C2,(FIND(" ",'DAP3'!C2,1))))</f>
        <v>1</v>
      </c>
    </row>
    <row r="25" spans="1:21" ht="14.25">
      <c r="A25" s="307" t="s">
        <v>342</v>
      </c>
      <c r="B25" s="368">
        <f>'DAP3'!E8</f>
        <v>0</v>
      </c>
      <c r="C25" s="314" t="s">
        <v>3392</v>
      </c>
      <c r="E25" s="307" t="s">
        <v>412</v>
      </c>
      <c r="F25" s="365" t="str">
        <f>IF(ZAKL_DATA!B9&lt;&gt;"",ZAKL_DATA!B9,"")</f>
        <v/>
      </c>
      <c r="G25" t="s">
        <v>3392</v>
      </c>
      <c r="K25" t="e">
        <f>FIND(" ",'DAP3'!C2,LEN(LEFT('DAP3'!C2,(FIND(" ",'DAP3'!C2,1))))+1)-1</f>
        <v>#VALUE!</v>
      </c>
      <c r="L25">
        <f>LEN('DAP3'!C2)-LEN(LEFT('DAP3'!C2,(FIND(" ",'DAP3'!C2,1))))</f>
        <v>0</v>
      </c>
      <c r="R25" t="s">
        <v>3392</v>
      </c>
      <c r="S25" t="s">
        <v>3392</v>
      </c>
      <c r="T25" t="s">
        <v>3392</v>
      </c>
      <c r="U25" t="s">
        <v>3392</v>
      </c>
    </row>
    <row r="26" spans="1:12" ht="14.25">
      <c r="A26" s="307" t="s">
        <v>343</v>
      </c>
      <c r="B26" s="368">
        <f>'DAP3'!E9</f>
        <v>0</v>
      </c>
      <c r="C26" s="314" t="s">
        <v>3392</v>
      </c>
      <c r="E26" s="307" t="s">
        <v>413</v>
      </c>
      <c r="F26" s="365" t="str">
        <f>IF(ZAKL_DATA!B6&lt;&gt;"",ZAKL_DATA!B6,"")</f>
        <v/>
      </c>
      <c r="G26" t="s">
        <v>3392</v>
      </c>
      <c r="K26" t="str">
        <f>LEFT('DAP3'!C2,(FIND(" ",'DAP3'!C2,1))-1)</f>
        <v/>
      </c>
      <c r="L26" t="e">
        <f>FIND(" ",'DAP3'!C2,LEN(LEFT('DAP3'!C2,(FIND(" ",'DAP3'!C2,1))))+1)-LEN(LEFT('DAP3'!C2,(FIND(" ",'DAP3'!C2,1))))</f>
        <v>#VALUE!</v>
      </c>
    </row>
    <row r="27" spans="1:11" ht="14.25">
      <c r="A27" s="307" t="s">
        <v>344</v>
      </c>
      <c r="B27" s="368">
        <f>'DAP3'!E10</f>
        <v>0</v>
      </c>
      <c r="C27" s="314" t="s">
        <v>3392</v>
      </c>
      <c r="E27" s="307" t="s">
        <v>414</v>
      </c>
      <c r="F27" s="308"/>
      <c r="G27" s="314" t="s">
        <v>3397</v>
      </c>
      <c r="K27" t="e">
        <f>MID('DAP3'!C2,FIND(" ",'DAP3'!C2,LEN(LEFT('DAP3'!C2,(FIND(" ",'DAP3'!C2,1))))+1)+1,LEN('DAP3'!C2)-LEN(LEFT('DAP3'!C2,(FIND(" ",'DAP3'!C2,1))))+1)</f>
        <v>#VALUE!</v>
      </c>
    </row>
    <row r="28" spans="1:7" ht="14.25">
      <c r="A28" s="307" t="s">
        <v>345</v>
      </c>
      <c r="B28" s="368">
        <f>'DAP3'!D43</f>
        <v>0</v>
      </c>
      <c r="C28" s="314" t="s">
        <v>3392</v>
      </c>
      <c r="E28" s="307" t="s">
        <v>415</v>
      </c>
      <c r="F28" s="365" t="str">
        <f>IF(AND(ZAKL_DATA!B20&lt;&gt;"ČESKÁ REPUBLIKA",ZAKL_DATA!B20&lt;&gt;""),VLOOKUP(ZAKL_DATA!B20,FU!J3:K253,2,FALSE),"")</f>
        <v/>
      </c>
      <c r="G28" s="314" t="s">
        <v>3392</v>
      </c>
    </row>
    <row r="29" spans="1:7" ht="14.25">
      <c r="A29" s="307" t="s">
        <v>346</v>
      </c>
      <c r="B29" s="368"/>
      <c r="C29" s="314" t="s">
        <v>3396</v>
      </c>
      <c r="E29" s="307" t="s">
        <v>416</v>
      </c>
      <c r="F29" s="365" t="str">
        <f>IF(ZAKL_DATA!B7&lt;&gt;"",ZAKL_DATA!B7,"")</f>
        <v/>
      </c>
      <c r="G29" s="314" t="s">
        <v>3392</v>
      </c>
    </row>
    <row r="30" spans="1:13" ht="14.25">
      <c r="A30" s="307" t="s">
        <v>347</v>
      </c>
      <c r="B30" s="368" t="str">
        <f>IF(AND('DAP3'!D34&lt;&gt;"",'DAP3'!D34&lt;&gt;0),'DAP3'!D34,"")</f>
        <v/>
      </c>
      <c r="C30" s="314" t="s">
        <v>3392</v>
      </c>
      <c r="E30" s="307" t="s">
        <v>417</v>
      </c>
      <c r="F30" s="365" t="str">
        <f>IF(ZAKL_DATA!B16&lt;&gt;"",ZAKL_DATA!B16,"")</f>
        <v/>
      </c>
      <c r="G30" s="314" t="s">
        <v>3392</v>
      </c>
      <c r="I30" t="s">
        <v>479</v>
      </c>
      <c r="M30" t="s">
        <v>501</v>
      </c>
    </row>
    <row r="31" spans="1:15" ht="14.25">
      <c r="A31" s="307" t="s">
        <v>348</v>
      </c>
      <c r="B31" s="368" t="str">
        <f>IF(AND('DAP3'!D37&lt;&gt;"",'DAP3'!D37&lt;&gt;0),'DAP3'!D37,"")</f>
        <v/>
      </c>
      <c r="C31" s="314" t="s">
        <v>3392</v>
      </c>
      <c r="E31" s="307" t="s">
        <v>418</v>
      </c>
      <c r="F31" s="365" t="str">
        <f>IF(ISNUMBER('DAP1'!I39),'DAP1'!I39,"")</f>
        <v/>
      </c>
      <c r="G31" s="1"/>
      <c r="I31" s="307" t="s">
        <v>480</v>
      </c>
      <c r="J31">
        <f>'DAP4'!K23</f>
        <v>0</v>
      </c>
      <c r="K31" t="s">
        <v>3392</v>
      </c>
      <c r="M31" s="307" t="s">
        <v>502</v>
      </c>
      <c r="N31" t="e">
        <f>IF(VALUE(O31)&gt;99999,VALUE(O31),IF(VALUE(O31)&gt;9999,VALUE(O31)*10,IF(VALUE(O31)&gt;999,VALUE(O31)*100,IF(VALUE(O31)&gt;99,VALUE(O31)*1000,IF(VALUE(O31)&gt;9,VALUE(O31)*10000,VALUE(O31)*100000)))))</f>
        <v>#N/A</v>
      </c>
      <c r="O31" s="1" t="e">
        <f>UPPER(VLOOKUP(ZAKL_DATA!B29,FU!N3:O1699,2,FALSE))</f>
        <v>#N/A</v>
      </c>
    </row>
    <row r="32" spans="1:15" ht="14.25">
      <c r="A32" s="307" t="s">
        <v>349</v>
      </c>
      <c r="B32" s="368">
        <f>'DAP3'!D32</f>
        <v>0</v>
      </c>
      <c r="C32" s="314" t="s">
        <v>3392</v>
      </c>
      <c r="E32" s="307" t="s">
        <v>419</v>
      </c>
      <c r="F32" s="372"/>
      <c r="G32" s="1"/>
      <c r="I32" s="307" t="s">
        <v>481</v>
      </c>
      <c r="J32">
        <f>'DAP4'!K9</f>
        <v>0</v>
      </c>
      <c r="K32" t="s">
        <v>3392</v>
      </c>
      <c r="M32" s="307" t="s">
        <v>503</v>
      </c>
      <c r="N32" s="368">
        <f>'1Př1'!F36</f>
        <v>0</v>
      </c>
      <c r="O32" s="314" t="s">
        <v>3392</v>
      </c>
    </row>
    <row r="33" spans="1:15" ht="14.25">
      <c r="A33" s="307" t="s">
        <v>350</v>
      </c>
      <c r="B33" s="368" t="str">
        <f>IF(AND('DAP3'!D36&lt;&gt;"",'DAP3'!D36&lt;&gt;0),'DAP3'!D36,"")</f>
        <v/>
      </c>
      <c r="C33" s="314" t="s">
        <v>3392</v>
      </c>
      <c r="E33" s="307" t="s">
        <v>420</v>
      </c>
      <c r="F33" s="365" t="str">
        <f>IF(ISNUMBER(FIND("/",'DAP1'!L38)),MID('DAP1'!L38,(FIND("/",'DAP1'!L38,1))+1,LEN('DAP1'!L38)),"")</f>
        <v/>
      </c>
      <c r="G33" s="1"/>
      <c r="I33" s="307" t="s">
        <v>482</v>
      </c>
      <c r="J33">
        <f>'DAP4'!K16</f>
        <v>0</v>
      </c>
      <c r="K33" t="s">
        <v>3392</v>
      </c>
      <c r="M33" s="307" t="s">
        <v>504</v>
      </c>
      <c r="N33" s="368">
        <f>'1Př1'!H36</f>
        <v>0</v>
      </c>
      <c r="O33" s="314" t="s">
        <v>3392</v>
      </c>
    </row>
    <row r="34" spans="1:15" ht="14.25">
      <c r="A34" s="307" t="s">
        <v>351</v>
      </c>
      <c r="B34" s="368" t="str">
        <f>IF(AND('DAP3'!D39&lt;&gt;"",'DAP3'!D39&lt;&gt;0),'DAP3'!D39,"")</f>
        <v/>
      </c>
      <c r="C34" s="314" t="s">
        <v>3392</v>
      </c>
      <c r="E34" s="307" t="s">
        <v>421</v>
      </c>
      <c r="F34" s="372" t="str">
        <f>IF(IF(ISNUMBER(FIND("/",'DAP1'!L38)),LEFT('DAP1'!L38,(FIND("/",'DAP1'!L38,1))-1),'DAP1'!L38)&lt;&gt;0,IF(ISNUMBER(FIND("/",'DAP1'!L38)),LEFT('DAP1'!L38,(FIND("/",'DAP1'!L38,1))-1),'DAP1'!L38),"")</f>
        <v/>
      </c>
      <c r="G34" s="1"/>
      <c r="I34" s="307" t="s">
        <v>483</v>
      </c>
      <c r="K34" s="314" t="s">
        <v>3633</v>
      </c>
      <c r="M34" s="307" t="s">
        <v>505</v>
      </c>
      <c r="N34" s="365" t="str">
        <f>IF('1Př2'!F3&lt;&gt;0,TEXT('1Př2'!F3,"DD.MM.RRRR"),"")</f>
        <v/>
      </c>
      <c r="O34" s="314" t="s">
        <v>3392</v>
      </c>
    </row>
    <row r="35" spans="1:15" ht="14.25">
      <c r="A35" s="307" t="s">
        <v>352</v>
      </c>
      <c r="B35" s="368">
        <f>'DAP3'!D27</f>
        <v>0</v>
      </c>
      <c r="C35" s="314" t="s">
        <v>3392</v>
      </c>
      <c r="E35" s="307" t="s">
        <v>422</v>
      </c>
      <c r="F35" s="365" t="str">
        <f>IF('DAP1'!F39&lt;&gt;"",'DAP1'!F39,"")</f>
        <v/>
      </c>
      <c r="G35" s="1"/>
      <c r="I35" s="307" t="s">
        <v>484</v>
      </c>
      <c r="J35">
        <f>'DAP4'!K17</f>
        <v>0</v>
      </c>
      <c r="K35" t="s">
        <v>3392</v>
      </c>
      <c r="M35" s="307" t="s">
        <v>506</v>
      </c>
      <c r="N35" s="365" t="str">
        <f>IF('1Př2'!C3&lt;&gt;0,TEXT('1Př2'!C3,"DD.MM.RRRR"),"")</f>
        <v/>
      </c>
      <c r="O35" s="314" t="s">
        <v>3392</v>
      </c>
    </row>
    <row r="36" spans="1:15" ht="14.25">
      <c r="A36" s="307" t="s">
        <v>353</v>
      </c>
      <c r="B36" s="369">
        <f>'DAP2'!F40</f>
        <v>0</v>
      </c>
      <c r="C36" s="314" t="s">
        <v>3392</v>
      </c>
      <c r="E36" s="307" t="s">
        <v>423</v>
      </c>
      <c r="F36" s="365" t="str">
        <f>IF(ISNUMBER(FIND("@",'DAP1'!I39)),'DAP1'!I39,"")</f>
        <v/>
      </c>
      <c r="G36" s="1"/>
      <c r="I36" s="307" t="s">
        <v>485</v>
      </c>
      <c r="J36">
        <f>'DAP4'!K13</f>
        <v>0</v>
      </c>
      <c r="K36" t="s">
        <v>3392</v>
      </c>
      <c r="M36" s="307" t="s">
        <v>507</v>
      </c>
      <c r="N36" s="365" t="str">
        <f>IF('1Př2'!E3&lt;&gt;0,TEXT('1Př2'!E3,"DD.MM.RRRR"),"")</f>
        <v/>
      </c>
      <c r="O36" s="314" t="s">
        <v>3392</v>
      </c>
    </row>
    <row r="37" spans="1:15" ht="14.25">
      <c r="A37" s="307" t="s">
        <v>354</v>
      </c>
      <c r="B37" s="368">
        <f>'DAP3'!D44</f>
        <v>0</v>
      </c>
      <c r="C37" s="314" t="s">
        <v>3392</v>
      </c>
      <c r="E37" s="307" t="s">
        <v>424</v>
      </c>
      <c r="F37" s="365" t="str">
        <f>IF('DAP1'!B38&lt;&gt;"",'DAP1'!B38,"")</f>
        <v/>
      </c>
      <c r="G37" s="1"/>
      <c r="I37" s="307" t="s">
        <v>486</v>
      </c>
      <c r="J37">
        <f>'DAP4'!K14</f>
        <v>0</v>
      </c>
      <c r="K37" t="s">
        <v>3392</v>
      </c>
      <c r="M37" s="307" t="s">
        <v>508</v>
      </c>
      <c r="N37" s="365" t="str">
        <f>IF('1Př2'!A3&lt;&gt;0,TEXT('1Př2'!A3,"DD.MM.RRRR"),"")</f>
        <v/>
      </c>
      <c r="O37" s="314" t="s">
        <v>3392</v>
      </c>
    </row>
    <row r="38" spans="1:15" ht="14.25">
      <c r="A38" s="307"/>
      <c r="B38" s="368" t="e">
        <f>IF(#REF!&lt;&gt;"",IF(#REF!&gt;0,"P","Z"),"")</f>
        <v>#REF!</v>
      </c>
      <c r="C38" s="314" t="s">
        <v>3392</v>
      </c>
      <c r="E38" s="307" t="s">
        <v>425</v>
      </c>
      <c r="F38" s="365" t="str">
        <f>IF('DAP1'!B39&lt;&gt;"",'DAP1'!B39,"")</f>
        <v/>
      </c>
      <c r="G38" s="1"/>
      <c r="I38" s="307" t="s">
        <v>487</v>
      </c>
      <c r="J38">
        <f>'DAP4'!K11</f>
        <v>0</v>
      </c>
      <c r="K38" t="s">
        <v>3392</v>
      </c>
      <c r="M38" s="307" t="s">
        <v>509</v>
      </c>
      <c r="N38" s="368">
        <f>'1Př1'!A28</f>
        <v>0</v>
      </c>
      <c r="O38" s="314" t="s">
        <v>3638</v>
      </c>
    </row>
    <row r="39" spans="1:15" ht="14.25">
      <c r="A39" s="307" t="s">
        <v>356</v>
      </c>
      <c r="B39" s="368">
        <f>'DAP3'!D47</f>
        <v>0</v>
      </c>
      <c r="C39" s="314" t="s">
        <v>3392</v>
      </c>
      <c r="E39" s="307" t="s">
        <v>426</v>
      </c>
      <c r="F39" s="365" t="str">
        <f>IF('DAP1'!G38&lt;&gt;"",'DAP1'!G35,"")</f>
        <v/>
      </c>
      <c r="G39" s="1"/>
      <c r="I39" s="307" t="s">
        <v>488</v>
      </c>
      <c r="K39" s="314" t="s">
        <v>3396</v>
      </c>
      <c r="M39" s="307" t="s">
        <v>510</v>
      </c>
      <c r="N39" s="368">
        <f>'1Př1'!F14</f>
        <v>0</v>
      </c>
      <c r="O39" s="314" t="s">
        <v>3392</v>
      </c>
    </row>
    <row r="40" spans="1:19" ht="14.25">
      <c r="A40" s="307" t="s">
        <v>357</v>
      </c>
      <c r="B40" s="368">
        <f>'DAP3'!D45</f>
        <v>0</v>
      </c>
      <c r="C40" s="314" t="s">
        <v>3392</v>
      </c>
      <c r="E40" s="307" t="s">
        <v>427</v>
      </c>
      <c r="F40" s="308" t="str">
        <f>IF(AND(LEN('DAP4'!A31)&gt;6,ISNUMBER(SEARCH(".",'DAP4'!A31))),'DAP4'!A31,"")</f>
        <v/>
      </c>
      <c r="G40" s="375" t="s">
        <v>3404</v>
      </c>
      <c r="I40" s="307" t="s">
        <v>489</v>
      </c>
      <c r="J40">
        <f>'DAP4'!K10</f>
        <v>0</v>
      </c>
      <c r="K40" s="314" t="s">
        <v>3392</v>
      </c>
      <c r="M40" s="307" t="s">
        <v>511</v>
      </c>
      <c r="N40" s="368">
        <f>'1Př1'!E28</f>
        <v>0</v>
      </c>
      <c r="O40" s="314" t="s">
        <v>3392</v>
      </c>
      <c r="Q40" t="s">
        <v>531</v>
      </c>
      <c r="R40" s="307" t="s">
        <v>555</v>
      </c>
      <c r="S40" s="310" t="s">
        <v>553</v>
      </c>
    </row>
    <row r="41" spans="1:19" ht="14.25">
      <c r="A41" s="307" t="s">
        <v>358</v>
      </c>
      <c r="B41" s="368" t="str">
        <f>IF(AND('DAP3'!D46&lt;&gt;"",'DAP3'!D46&lt;&gt;0),'DAP3'!D46,"")</f>
        <v/>
      </c>
      <c r="C41" s="314" t="s">
        <v>3392</v>
      </c>
      <c r="E41" s="307" t="s">
        <v>428</v>
      </c>
      <c r="F41" s="308" t="str">
        <f>IF(AND(LEN('DAP4'!A31)&lt;=4,'DAP4'!A31&lt;&gt;""),'DAP4'!A31,"")</f>
        <v/>
      </c>
      <c r="G41" s="375" t="s">
        <v>3404</v>
      </c>
      <c r="I41" s="307" t="s">
        <v>490</v>
      </c>
      <c r="J41">
        <f>'DAP4'!K18</f>
        <v>0</v>
      </c>
      <c r="K41" s="314" t="s">
        <v>3392</v>
      </c>
      <c r="M41" s="307" t="s">
        <v>512</v>
      </c>
      <c r="N41" s="368">
        <f>'1Př1'!I28</f>
        <v>0</v>
      </c>
      <c r="O41" s="314" t="s">
        <v>3392</v>
      </c>
      <c r="R41" s="368" t="str">
        <f>IF('1Př2'!F20&lt;&gt;"",'1Př2'!F20,"")</f>
        <v/>
      </c>
      <c r="S41" s="308" t="str">
        <f>IF('1Př2'!B20&lt;&gt;"",'1Př2'!B20,"")</f>
        <v/>
      </c>
    </row>
    <row r="42" spans="1:19" ht="14.25">
      <c r="A42" s="307" t="s">
        <v>359</v>
      </c>
      <c r="B42" s="368">
        <f>'DAP3'!E11</f>
        <v>0</v>
      </c>
      <c r="C42" s="314" t="s">
        <v>3392</v>
      </c>
      <c r="E42" s="307" t="s">
        <v>429</v>
      </c>
      <c r="F42" s="308" t="str">
        <f>IF(AND(LEN('DAP4'!A31)&lt;9,LEN('DAP4'!A31)&gt;5),'DAP4'!A31,"")</f>
        <v/>
      </c>
      <c r="G42" s="375" t="s">
        <v>3404</v>
      </c>
      <c r="I42" s="307" t="s">
        <v>491</v>
      </c>
      <c r="J42">
        <f>'DAP4'!K8</f>
        <v>0</v>
      </c>
      <c r="K42" s="314" t="s">
        <v>3392</v>
      </c>
      <c r="M42" s="307" t="s">
        <v>513</v>
      </c>
      <c r="N42" s="368">
        <f>'1Př1'!F22</f>
        <v>0</v>
      </c>
      <c r="O42" s="314" t="s">
        <v>3392</v>
      </c>
      <c r="R42" s="368" t="str">
        <f>IF('1Př2'!F21&lt;&gt;"",'1Př2'!F21,"")</f>
        <v/>
      </c>
      <c r="S42" s="308" t="str">
        <f>IF('1Př2'!B21&lt;&gt;"",'1Př2'!B21,"")</f>
        <v/>
      </c>
    </row>
    <row r="43" spans="1:19" ht="14.25">
      <c r="A43" s="307" t="s">
        <v>360</v>
      </c>
      <c r="B43" s="368">
        <f>'DAP3'!D31</f>
        <v>0</v>
      </c>
      <c r="C43" s="314" t="s">
        <v>3392</v>
      </c>
      <c r="E43" s="307" t="s">
        <v>430</v>
      </c>
      <c r="F43" s="308" t="str">
        <f>IF(AND(OR(F40&lt;&gt;"",F41&lt;&gt;""),ZAKL_DATA!D20&lt;&gt;""),ZAKL_DATA!D20,"")</f>
        <v/>
      </c>
      <c r="G43" s="375" t="s">
        <v>3404</v>
      </c>
      <c r="I43" s="307" t="s">
        <v>492</v>
      </c>
      <c r="J43">
        <f>'DAP4'!K12</f>
        <v>0</v>
      </c>
      <c r="K43" s="314" t="s">
        <v>3392</v>
      </c>
      <c r="M43" s="307" t="s">
        <v>514</v>
      </c>
      <c r="N43" s="368">
        <f>'1Př1'!F17</f>
        <v>0</v>
      </c>
      <c r="O43" s="314" t="s">
        <v>3392</v>
      </c>
      <c r="R43" s="368" t="str">
        <f>IF('1Př2'!F22&lt;&gt;"",'1Př2'!F22,"")</f>
        <v/>
      </c>
      <c r="S43" s="308" t="str">
        <f>IF('1Př2'!B22&lt;&gt;"",'1Př2'!B22,"")</f>
        <v/>
      </c>
    </row>
    <row r="44" spans="1:19" ht="14.25">
      <c r="A44" s="307" t="s">
        <v>361</v>
      </c>
      <c r="B44" s="368">
        <f>'DAP3'!D42</f>
        <v>0</v>
      </c>
      <c r="C44" s="314" t="s">
        <v>3392</v>
      </c>
      <c r="E44" s="307" t="s">
        <v>431</v>
      </c>
      <c r="F44" s="308" t="str">
        <f>IF('DAP4'!C27&lt;&gt;0,'DAP4'!C27,"")</f>
        <v/>
      </c>
      <c r="G44" s="375" t="s">
        <v>3404</v>
      </c>
      <c r="I44" s="307" t="s">
        <v>493</v>
      </c>
      <c r="J44">
        <f>'DAP4'!K6</f>
        <v>0</v>
      </c>
      <c r="K44" s="314" t="s">
        <v>3392</v>
      </c>
      <c r="M44" s="307" t="s">
        <v>515</v>
      </c>
      <c r="N44" s="368">
        <f>'1Př1'!F19</f>
        <v>0</v>
      </c>
      <c r="O44" s="314" t="s">
        <v>3392</v>
      </c>
      <c r="R44" s="368" t="str">
        <f>IF('1Př2'!F23&lt;&gt;"",'1Př2'!F23,"")</f>
        <v/>
      </c>
      <c r="S44" s="308" t="str">
        <f>IF('1Př2'!B23&lt;&gt;"",'1Př2'!B23,"")</f>
        <v/>
      </c>
    </row>
    <row r="45" spans="1:15" ht="14.25">
      <c r="A45" s="307" t="s">
        <v>362</v>
      </c>
      <c r="B45" s="368">
        <f>'DAP3'!D41</f>
        <v>0</v>
      </c>
      <c r="C45" s="314" t="s">
        <v>3392</v>
      </c>
      <c r="E45" s="307" t="s">
        <v>432</v>
      </c>
      <c r="F45" s="308" t="str">
        <f>'DAP4'!A29</f>
        <v xml:space="preserve">  </v>
      </c>
      <c r="G45" s="375" t="s">
        <v>3404</v>
      </c>
      <c r="I45" s="307" t="s">
        <v>494</v>
      </c>
      <c r="J45">
        <v>0</v>
      </c>
      <c r="K45" s="378" t="s">
        <v>3637</v>
      </c>
      <c r="M45" s="307" t="s">
        <v>516</v>
      </c>
      <c r="N45" s="368">
        <f>'1Př1'!F11</f>
        <v>0</v>
      </c>
      <c r="O45" s="314" t="s">
        <v>3392</v>
      </c>
    </row>
    <row r="46" spans="1:19" ht="14.25">
      <c r="A46" s="307" t="s">
        <v>363</v>
      </c>
      <c r="B46" s="368">
        <f>'DAP3'!D50</f>
        <v>0</v>
      </c>
      <c r="C46" s="314" t="s">
        <v>3392</v>
      </c>
      <c r="E46" s="307" t="s">
        <v>433</v>
      </c>
      <c r="F46" s="308" t="str">
        <f>IF(AND(OR(F40&lt;&gt;"",F41&lt;&gt;""),ZAKL_DATA!D21&lt;&gt;""),ZAKL_DATA!D21,"")</f>
        <v/>
      </c>
      <c r="G46" s="375" t="s">
        <v>3404</v>
      </c>
      <c r="I46" s="307" t="s">
        <v>495</v>
      </c>
      <c r="J46" t="str">
        <f>IF((ABS('6Př'!E20)+ABS('6Př'!F20))&lt;&gt;0,"1","0")</f>
        <v>0</v>
      </c>
      <c r="K46" s="1"/>
      <c r="M46" s="307" t="s">
        <v>517</v>
      </c>
      <c r="N46" s="368">
        <f>'1Př1'!F16</f>
        <v>0</v>
      </c>
      <c r="O46" s="314" t="s">
        <v>3392</v>
      </c>
      <c r="R46" s="314" t="s">
        <v>3392</v>
      </c>
      <c r="S46" s="314" t="s">
        <v>3392</v>
      </c>
    </row>
    <row r="47" spans="1:15" ht="14.25">
      <c r="A47" s="307" t="s">
        <v>364</v>
      </c>
      <c r="B47" s="368" t="str">
        <f>IF(AND('DAP3'!D35&lt;&gt;"",'DAP3'!D35&lt;&gt;0),'DAP3'!D35,"")</f>
        <v/>
      </c>
      <c r="C47" s="314" t="s">
        <v>3392</v>
      </c>
      <c r="E47" s="307" t="s">
        <v>434</v>
      </c>
      <c r="F47" s="308" t="str">
        <f>IF(OR('DAP4'!C27="4a",'DAP4'!C27="4b"),"F",IF(OR('DAP4'!C27="4c",'DAP4'!C27="4d"),"P",""))</f>
        <v/>
      </c>
      <c r="G47" s="375" t="s">
        <v>3404</v>
      </c>
      <c r="I47" s="307" t="s">
        <v>496</v>
      </c>
      <c r="J47">
        <f>IF('DAP4'!K24&lt;&gt;"",'DAP4'!K24,"")</f>
        <v>0</v>
      </c>
      <c r="K47" s="1"/>
      <c r="M47" s="307" t="s">
        <v>518</v>
      </c>
      <c r="N47" s="368">
        <f>'1Př1'!F15</f>
        <v>0</v>
      </c>
      <c r="O47" s="314" t="s">
        <v>3392</v>
      </c>
    </row>
    <row r="48" spans="1:15" ht="14.25">
      <c r="A48" s="307" t="s">
        <v>365</v>
      </c>
      <c r="B48" s="368" t="str">
        <f>IF(AND('DAP3'!D38&lt;&gt;"",'DAP3'!D38&lt;&gt;0),'DAP3'!D38,"")</f>
        <v/>
      </c>
      <c r="C48" s="314" t="s">
        <v>3392</v>
      </c>
      <c r="I48" s="307" t="s">
        <v>497</v>
      </c>
      <c r="J48" s="365">
        <f>'DAP4'!K4</f>
        <v>0</v>
      </c>
      <c r="K48" s="314" t="s">
        <v>3392</v>
      </c>
      <c r="M48" s="307" t="s">
        <v>519</v>
      </c>
      <c r="N48" s="368">
        <f>'1Př1'!F12</f>
        <v>0</v>
      </c>
      <c r="O48" s="314" t="s">
        <v>3392</v>
      </c>
    </row>
    <row r="49" spans="1:15" ht="14.25">
      <c r="A49" s="307" t="s">
        <v>366</v>
      </c>
      <c r="B49" s="365" t="str">
        <f>IF('DAP1'!F41&lt;&gt;"",'DAP1'!F41,"")</f>
        <v/>
      </c>
      <c r="C49" s="314" t="s">
        <v>3392</v>
      </c>
      <c r="I49" s="307" t="s">
        <v>498</v>
      </c>
      <c r="J49" s="365">
        <f>'DAP4'!K5</f>
        <v>0</v>
      </c>
      <c r="K49" s="314" t="s">
        <v>3392</v>
      </c>
      <c r="M49" s="307" t="s">
        <v>520</v>
      </c>
      <c r="N49" s="368">
        <f>'1Př1'!F18</f>
        <v>0</v>
      </c>
      <c r="O49" s="314" t="s">
        <v>3392</v>
      </c>
    </row>
    <row r="50" spans="1:19" ht="14.25">
      <c r="A50" s="307" t="s">
        <v>367</v>
      </c>
      <c r="B50">
        <f>'DAP3'!D8</f>
        <v>0</v>
      </c>
      <c r="C50" s="314" t="s">
        <v>3392</v>
      </c>
      <c r="E50" s="307" t="s">
        <v>3632</v>
      </c>
      <c r="F50" s="308" t="e">
        <f>IF(#REF!&lt;&gt;"",IF(#REF!&gt;0,"P","Z"),"")</f>
        <v>#REF!</v>
      </c>
      <c r="I50" s="307" t="s">
        <v>499</v>
      </c>
      <c r="J50">
        <f>'DAP4'!K20</f>
        <v>0</v>
      </c>
      <c r="K50" s="314" t="s">
        <v>3392</v>
      </c>
      <c r="M50" s="307" t="s">
        <v>521</v>
      </c>
      <c r="N50" s="368">
        <f>'1Př1'!F20</f>
        <v>0</v>
      </c>
      <c r="O50" s="314" t="s">
        <v>3392</v>
      </c>
      <c r="Q50" t="s">
        <v>557</v>
      </c>
      <c r="R50" s="307" t="s">
        <v>558</v>
      </c>
      <c r="S50" s="310" t="s">
        <v>556</v>
      </c>
    </row>
    <row r="51" spans="1:19" ht="14.25">
      <c r="A51" s="307" t="s">
        <v>3524</v>
      </c>
      <c r="B51">
        <f>'DAP3'!F24</f>
        <v>0</v>
      </c>
      <c r="C51" s="314" t="s">
        <v>3392</v>
      </c>
      <c r="E51" s="307" t="s">
        <v>3632</v>
      </c>
      <c r="F51" s="308" t="e">
        <f>IF(#REF!&lt;&gt;"",IF(#REF!&gt;0,"P","Z"),"")</f>
        <v>#REF!</v>
      </c>
      <c r="I51" s="307" t="s">
        <v>500</v>
      </c>
      <c r="J51">
        <f>'DAP4'!K19</f>
        <v>0</v>
      </c>
      <c r="K51" s="314" t="s">
        <v>3392</v>
      </c>
      <c r="M51" s="307" t="s">
        <v>522</v>
      </c>
      <c r="N51" s="368">
        <f>'1Př1'!F23</f>
        <v>0</v>
      </c>
      <c r="O51" s="314" t="s">
        <v>3392</v>
      </c>
      <c r="R51" t="str">
        <f>IF('1Př2'!F26&lt;&gt;"",'1Př2'!F26,"")</f>
        <v/>
      </c>
      <c r="S51" s="365" t="str">
        <f>IF('1Př2'!B26&lt;&gt;"",'1Př2'!B26,"")</f>
        <v/>
      </c>
    </row>
    <row r="52" spans="1:19" ht="14.25">
      <c r="A52" s="307" t="s">
        <v>3525</v>
      </c>
      <c r="B52">
        <f>'DAP3'!G24</f>
        <v>0</v>
      </c>
      <c r="C52" s="314" t="s">
        <v>3392</v>
      </c>
      <c r="E52" s="307" t="s">
        <v>3632</v>
      </c>
      <c r="F52" s="308" t="e">
        <f>IF(#REF!&lt;&gt;"",IF(#REF!&gt;0,"P","Z"),"")</f>
        <v>#REF!</v>
      </c>
      <c r="I52" s="307" t="s">
        <v>3534</v>
      </c>
      <c r="J52" t="str">
        <f>IF('DAP4'!K15&lt;&gt;"",'DAP4'!K15,"")</f>
        <v/>
      </c>
      <c r="K52" s="384"/>
      <c r="M52" s="307" t="s">
        <v>523</v>
      </c>
      <c r="N52" s="368">
        <f>'1Př1'!F24</f>
        <v>0</v>
      </c>
      <c r="O52" s="314" t="s">
        <v>3392</v>
      </c>
      <c r="R52" t="str">
        <f>IF('1Př2'!F27&lt;&gt;"",'1Př2'!F27,"")</f>
        <v/>
      </c>
      <c r="S52" s="308" t="str">
        <f>IF('1Př2'!B27&lt;&gt;"",'1Př2'!B27,"")</f>
        <v/>
      </c>
    </row>
    <row r="53" spans="1:19" ht="14.25">
      <c r="A53" s="307" t="s">
        <v>368</v>
      </c>
      <c r="B53">
        <f>'DAP3'!D9</f>
        <v>0</v>
      </c>
      <c r="C53" s="314" t="s">
        <v>3392</v>
      </c>
      <c r="M53" s="307" t="s">
        <v>524</v>
      </c>
      <c r="N53">
        <f>'1Př2'!G3</f>
        <v>12</v>
      </c>
      <c r="O53" s="314" t="s">
        <v>3392</v>
      </c>
      <c r="R53" t="str">
        <f>IF('1Př2'!F28&lt;&gt;"",'1Př2'!F28,"")</f>
        <v/>
      </c>
      <c r="S53" s="308" t="str">
        <f>IF('1Př2'!B28&lt;&gt;"",'1Př2'!B28,"")</f>
        <v/>
      </c>
    </row>
    <row r="54" spans="1:19" ht="14.25">
      <c r="A54" s="307" t="s">
        <v>369</v>
      </c>
      <c r="B54">
        <f>'DAP3'!D7</f>
        <v>0</v>
      </c>
      <c r="C54" s="314" t="s">
        <v>3392</v>
      </c>
      <c r="M54" s="307" t="s">
        <v>525</v>
      </c>
      <c r="N54" s="368">
        <f>'1Př1'!F31</f>
        <v>0</v>
      </c>
      <c r="O54" s="314" t="s">
        <v>3392</v>
      </c>
      <c r="R54" t="str">
        <f>IF('1Př2'!F29&lt;&gt;"",'1Př2'!F29,"")</f>
        <v/>
      </c>
      <c r="S54" s="308" t="str">
        <f>IF('1Př2'!B29&lt;&gt;"",'1Př2'!B29,"")</f>
        <v/>
      </c>
    </row>
    <row r="55" spans="1:15" ht="14.25">
      <c r="A55" s="307" t="s">
        <v>370</v>
      </c>
      <c r="B55">
        <f>'DAP3'!D11</f>
        <v>0</v>
      </c>
      <c r="C55" s="314" t="s">
        <v>3392</v>
      </c>
      <c r="I55" s="307"/>
      <c r="M55" s="307" t="s">
        <v>526</v>
      </c>
      <c r="N55" s="373" t="str">
        <f>IF(AND('1Př1'!E31*100&lt;&gt;0,'1Př1'!E31&lt;&gt;""),'1Př1'!E31*100,"")</f>
        <v/>
      </c>
      <c r="O55" s="314" t="s">
        <v>3392</v>
      </c>
    </row>
    <row r="56" spans="1:19" ht="14.25">
      <c r="A56" s="307" t="s">
        <v>371</v>
      </c>
      <c r="B56">
        <f>'DAP3'!D6</f>
        <v>0</v>
      </c>
      <c r="C56" s="314" t="s">
        <v>3392</v>
      </c>
      <c r="M56" s="307" t="s">
        <v>527</v>
      </c>
      <c r="N56" s="368">
        <f>'1Př1'!H31</f>
        <v>0</v>
      </c>
      <c r="O56" s="314" t="s">
        <v>3392</v>
      </c>
      <c r="R56" s="314" t="s">
        <v>3392</v>
      </c>
      <c r="S56" s="314" t="s">
        <v>3392</v>
      </c>
    </row>
    <row r="57" spans="1:15" ht="14.25">
      <c r="A57" s="307" t="s">
        <v>372</v>
      </c>
      <c r="B57">
        <f>'DAP3'!D10</f>
        <v>0</v>
      </c>
      <c r="C57" s="314" t="s">
        <v>3392</v>
      </c>
      <c r="M57" s="307" t="s">
        <v>528</v>
      </c>
      <c r="N57" s="365">
        <f>IF(AND('1Př1'!C8&lt;&gt;"",'1Př1'!G8=""),1,IF(AND('1Př1'!C8="",'1Př1'!G8&lt;&gt;""),2,""))</f>
        <v>1</v>
      </c>
      <c r="O57" s="314" t="s">
        <v>3392</v>
      </c>
    </row>
    <row r="58" spans="1:14" ht="14.25">
      <c r="A58" s="307" t="s">
        <v>373</v>
      </c>
      <c r="B58" s="365" t="str">
        <f>IF(ISNUMBER(FIND(" ",'DAP3'!C2)),MID('DAP3'!C2,(FIND(" ",'DAP3'!C2,1))+1,IF(ISNUMBER(FIND(" ",'DAP3'!C2,FIND(" ",'DAP3'!C2,1)+1)),FIND(" ",'DAP3'!C2,LEN(LEFT('DAP3'!C2,(FIND(" ",'DAP3'!C2,1))))+1)-LEN(LEFT('DAP3'!C2,(FIND(" ",'DAP3'!C2,1)))),LEN('DAP3'!C2)-LEN(LEFT('DAP3'!C2,(FIND(" ",'DAP3'!C2,1)))))),"")</f>
        <v/>
      </c>
      <c r="C58" s="314" t="s">
        <v>3392</v>
      </c>
      <c r="M58" s="307" t="s">
        <v>529</v>
      </c>
      <c r="N58" s="365" t="str">
        <f>IF('1Př1'!K8&lt;&gt;"","A","N")</f>
        <v>N</v>
      </c>
    </row>
    <row r="59" spans="1:14" ht="14.25">
      <c r="A59" s="307" t="s">
        <v>374</v>
      </c>
      <c r="B59" s="365" t="str">
        <f>IF(ISNUMBER(FIND(" ",'DAP3'!C2)),LEFT('DAP3'!C2,(FIND(" ",'DAP3'!C2,1))-1),"")</f>
        <v/>
      </c>
      <c r="C59" s="314" t="s">
        <v>3392</v>
      </c>
      <c r="M59" s="307" t="s">
        <v>3653</v>
      </c>
      <c r="N59" s="308" t="e">
        <f>IF('1Př1'!#REF!&lt;&gt;"","A","N")</f>
        <v>#REF!</v>
      </c>
    </row>
    <row r="60" spans="1:22" ht="14.25">
      <c r="A60" s="307" t="s">
        <v>375</v>
      </c>
      <c r="B60" s="365" t="str">
        <f>IF('DAP3'!H2&lt;&gt;"",'DAP3'!H2,"")</f>
        <v/>
      </c>
      <c r="C60" s="314" t="s">
        <v>3392</v>
      </c>
      <c r="E60" t="s">
        <v>535</v>
      </c>
      <c r="I60" t="s">
        <v>572</v>
      </c>
      <c r="N60" t="str">
        <f>IF(OR(N57="2",N58="A"),"A","N")</f>
        <v>N</v>
      </c>
      <c r="Q60" t="s">
        <v>560</v>
      </c>
      <c r="R60" s="307" t="s">
        <v>559</v>
      </c>
      <c r="S60" s="310" t="s">
        <v>561</v>
      </c>
      <c r="T60" s="310" t="s">
        <v>562</v>
      </c>
      <c r="U60" s="310" t="s">
        <v>563</v>
      </c>
      <c r="V60" s="310" t="s">
        <v>564</v>
      </c>
    </row>
    <row r="61" spans="1:22" ht="14.25">
      <c r="A61" s="307" t="s">
        <v>376</v>
      </c>
      <c r="B61" s="365" t="str">
        <f>IF(ISNUMBER(FIND(" ",'DAP3'!C2,FIND(" ",'DAP3'!C2,1)+1)),MID('DAP3'!C2,FIND(" ",'DAP3'!C2,LEN(LEFT('DAP3'!C2,(FIND(" ",'DAP3'!C2,1))))+1)+1,LEN('DAP3'!C2)-LEN(LEFT('DAP3'!C2,(FIND(" ",'DAP3'!C2,1))))+1),"")</f>
        <v/>
      </c>
      <c r="C61" s="314" t="s">
        <v>3392</v>
      </c>
      <c r="E61" s="307" t="s">
        <v>536</v>
      </c>
      <c r="F61" s="368">
        <f>IF(OR(N57=2,N58="A"),"",'1Př2'!F7)</f>
        <v>0</v>
      </c>
      <c r="G61" t="s">
        <v>3392</v>
      </c>
      <c r="I61" s="307" t="s">
        <v>579</v>
      </c>
      <c r="J61" s="368">
        <f>'2Př'!G11</f>
        <v>0</v>
      </c>
      <c r="K61" s="314" t="s">
        <v>3392</v>
      </c>
      <c r="R61" s="365" t="str">
        <f>IF('1Př2'!E33&lt;&gt;"",MID('1Př2'!E33,3,LEN('1Př2'!E33)-2),"")</f>
        <v/>
      </c>
      <c r="S61" s="365" t="str">
        <f>IF('1Př2'!B33&lt;&gt;"",'1Př2'!B33,"")</f>
        <v/>
      </c>
      <c r="T61" t="str">
        <f>IF('1Př2'!F33&lt;&gt;"",'1Př2'!F33*100,"")</f>
        <v/>
      </c>
      <c r="U61" t="str">
        <f>IF('1Př2'!G33&lt;&gt;"",'1Př2'!G33*100,"")</f>
        <v/>
      </c>
      <c r="V61" s="365" t="str">
        <f>IF('1Př2'!C33&lt;&gt;"",'1Př2'!C33,"")</f>
        <v/>
      </c>
    </row>
    <row r="62" spans="1:22" ht="14.25">
      <c r="A62" s="307" t="s">
        <v>377</v>
      </c>
      <c r="B62" s="365" t="str">
        <f>IF(AND('DAP1'!J17&lt;&gt;"",'DAP1'!L17=""),"A",IF(AND('DAP1'!J17="",'DAP1'!L17&lt;&gt;""),"N",""))</f>
        <v>N</v>
      </c>
      <c r="C62" s="314" t="s">
        <v>3392</v>
      </c>
      <c r="E62" s="307" t="s">
        <v>537</v>
      </c>
      <c r="F62" s="368">
        <f>IF(OR(N57=2,N58="A"),"",'1Př2'!F10)</f>
        <v>0</v>
      </c>
      <c r="G62" t="s">
        <v>3392</v>
      </c>
      <c r="I62" s="307" t="s">
        <v>580</v>
      </c>
      <c r="J62" s="368">
        <f>'2Př'!G33</f>
        <v>0</v>
      </c>
      <c r="K62" s="314" t="s">
        <v>3392</v>
      </c>
      <c r="R62" s="308" t="str">
        <f>IF('1Př2'!E34&lt;&gt;"",MID('1Př2'!E34,3,LEN('1Př2'!E34)-2),"")</f>
        <v/>
      </c>
      <c r="S62" s="308" t="str">
        <f>IF('1Př2'!B34&lt;&gt;"",'1Př2'!B34,"")</f>
        <v/>
      </c>
      <c r="T62" t="str">
        <f>IF('1Př2'!F34&lt;&gt;"",'1Př2'!F34*100,"")</f>
        <v/>
      </c>
      <c r="U62" t="str">
        <f>IF('1Př2'!G34&lt;&gt;"",'1Př2'!G34*100,"")</f>
        <v/>
      </c>
      <c r="V62" s="308" t="str">
        <f>IF('1Př2'!C34&lt;&gt;"",'1Př2'!C34,"")</f>
        <v/>
      </c>
    </row>
    <row r="63" spans="1:22" ht="14.25">
      <c r="A63" s="307" t="s">
        <v>378</v>
      </c>
      <c r="B63" s="365" t="str">
        <f>IF(AND('DAP1'!F43&lt;&gt;"",'DAP1'!H43=""),"A",IF(AND('DAP1'!F43="",'DAP1'!H43&lt;&gt;""),"N",""))</f>
        <v>N</v>
      </c>
      <c r="C63" s="314" t="s">
        <v>3392</v>
      </c>
      <c r="E63" s="307" t="s">
        <v>538</v>
      </c>
      <c r="F63" s="368">
        <f>IF(OR(N57=2,N58="A"),"",'1Př2'!F11)</f>
        <v>0</v>
      </c>
      <c r="G63" t="s">
        <v>3392</v>
      </c>
      <c r="I63" s="307" t="s">
        <v>581</v>
      </c>
      <c r="J63" s="368">
        <f>'2Př'!G10</f>
        <v>0</v>
      </c>
      <c r="K63" s="314" t="s">
        <v>3392</v>
      </c>
      <c r="R63" s="308" t="str">
        <f>IF('1Př2'!E35&lt;&gt;"",MID('1Př2'!E35,3,LEN('1Př2'!E35)-2),"")</f>
        <v/>
      </c>
      <c r="S63" s="308" t="str">
        <f>IF('1Př2'!B35&lt;&gt;"",'1Př2'!B35,"")</f>
        <v/>
      </c>
      <c r="T63" t="str">
        <f>IF('1Př2'!F35&lt;&gt;"",'1Př2'!F35*100,"")</f>
        <v/>
      </c>
      <c r="U63" t="str">
        <f>IF('1Př2'!G35&lt;&gt;"",'1Př2'!G35*100,"")</f>
        <v/>
      </c>
      <c r="V63" s="308" t="str">
        <f>IF('1Př2'!C35&lt;&gt;"",'1Př2'!C35,"")</f>
        <v/>
      </c>
    </row>
    <row r="64" spans="1:11" ht="14.25">
      <c r="A64" s="307" t="s">
        <v>379</v>
      </c>
      <c r="B64">
        <f>'DAP1'!F24</f>
        <v>2020</v>
      </c>
      <c r="C64" s="314" t="s">
        <v>3392</v>
      </c>
      <c r="E64" s="307" t="s">
        <v>539</v>
      </c>
      <c r="F64" s="368">
        <f>IF(OR(N57=2,N58="A"),"",'1Př2'!F8)</f>
        <v>0</v>
      </c>
      <c r="G64" t="s">
        <v>3392</v>
      </c>
      <c r="I64" s="307" t="s">
        <v>582</v>
      </c>
      <c r="J64" s="368">
        <f>'2Př'!H18</f>
        <v>0</v>
      </c>
      <c r="K64" s="314" t="s">
        <v>3392</v>
      </c>
    </row>
    <row r="65" spans="1:22" ht="14.25">
      <c r="A65" s="307" t="s">
        <v>380</v>
      </c>
      <c r="B65" s="368">
        <f>'DAP2'!F45</f>
        <v>0</v>
      </c>
      <c r="C65" s="314" t="s">
        <v>3392</v>
      </c>
      <c r="E65" s="307" t="s">
        <v>540</v>
      </c>
      <c r="F65" s="368">
        <f>IF(OR(N57=2,N58="A"),"",'1Př2'!F9)</f>
        <v>0</v>
      </c>
      <c r="G65" t="s">
        <v>3392</v>
      </c>
      <c r="I65" s="307" t="s">
        <v>583</v>
      </c>
      <c r="J65" s="368">
        <f>'2Př'!C18</f>
        <v>0</v>
      </c>
      <c r="K65" s="314" t="s">
        <v>3392</v>
      </c>
      <c r="R65" s="314" t="s">
        <v>3392</v>
      </c>
      <c r="S65" s="314" t="s">
        <v>3392</v>
      </c>
      <c r="T65" s="314" t="s">
        <v>3392</v>
      </c>
      <c r="U65" s="314" t="s">
        <v>3392</v>
      </c>
      <c r="V65" s="314" t="s">
        <v>3392</v>
      </c>
    </row>
    <row r="66" spans="1:11" ht="14.25">
      <c r="A66" s="307" t="s">
        <v>381</v>
      </c>
      <c r="B66" s="308"/>
      <c r="C66" s="314" t="s">
        <v>3396</v>
      </c>
      <c r="E66" s="307" t="s">
        <v>541</v>
      </c>
      <c r="F66" s="368">
        <f>IF(OR(N57=2,N58="A"),"",'1Př2'!F12)</f>
        <v>0</v>
      </c>
      <c r="G66" t="s">
        <v>3392</v>
      </c>
      <c r="I66" s="307" t="s">
        <v>584</v>
      </c>
      <c r="J66" s="368">
        <f>'2Př'!G13</f>
        <v>0</v>
      </c>
      <c r="K66" s="314" t="s">
        <v>3392</v>
      </c>
    </row>
    <row r="67" spans="1:11" ht="14.25">
      <c r="A67" s="307" t="s">
        <v>382</v>
      </c>
      <c r="B67" s="368">
        <f>'DAP3'!E14</f>
        <v>24840</v>
      </c>
      <c r="E67" s="307" t="s">
        <v>542</v>
      </c>
      <c r="F67" s="368">
        <f>IF(OR(N57=2,N58="A"),"",'1Př2'!F13)</f>
        <v>0</v>
      </c>
      <c r="G67" s="1" t="s">
        <v>3392</v>
      </c>
      <c r="I67" s="307" t="s">
        <v>585</v>
      </c>
      <c r="J67" s="368">
        <f>'2Př'!G15</f>
        <v>0</v>
      </c>
      <c r="K67" s="314" t="s">
        <v>3392</v>
      </c>
    </row>
    <row r="68" spans="1:11" ht="14.25">
      <c r="A68" s="307" t="s">
        <v>383</v>
      </c>
      <c r="B68" s="365" t="str">
        <f>IF(CONCATENATE('DAP1'!J28,'DAP1'!B28)&lt;&gt;"00",CONCATENATE('DAP1'!J28," ",'DAP1'!B28),"")</f>
        <v/>
      </c>
      <c r="C68" s="374" t="s">
        <v>3392</v>
      </c>
      <c r="E68" s="307" t="s">
        <v>543</v>
      </c>
      <c r="F68" s="368">
        <f>IF(OR(N57=2,N58="A"),"",'1Př2'!F14)</f>
        <v>0</v>
      </c>
      <c r="G68" s="1" t="s">
        <v>3392</v>
      </c>
      <c r="I68" s="307" t="s">
        <v>586</v>
      </c>
      <c r="J68" s="368">
        <f>'2Př'!G34</f>
        <v>0</v>
      </c>
      <c r="K68" s="314" t="s">
        <v>3392</v>
      </c>
    </row>
    <row r="69" spans="1:11" ht="14.25">
      <c r="A69" s="307" t="s">
        <v>384</v>
      </c>
      <c r="B69" s="308" t="e">
        <f>IF(#REF!&lt;&gt;"",IF(#REF!&gt;0,"P","Z"),"")</f>
        <v>#REF!</v>
      </c>
      <c r="C69" s="374" t="s">
        <v>3401</v>
      </c>
      <c r="E69" s="307" t="s">
        <v>544</v>
      </c>
      <c r="F69" s="368">
        <f>IF(OR(N57=2,N58="A"),"",'1Př2'!C16)</f>
        <v>0</v>
      </c>
      <c r="G69" s="1" t="s">
        <v>3392</v>
      </c>
      <c r="I69" s="307" t="s">
        <v>587</v>
      </c>
      <c r="J69" s="368">
        <f>'2Př'!G12</f>
        <v>0</v>
      </c>
      <c r="K69" s="314" t="s">
        <v>3392</v>
      </c>
    </row>
    <row r="70" spans="1:21" ht="14.25">
      <c r="A70" s="307" t="s">
        <v>385</v>
      </c>
      <c r="B70">
        <v>500</v>
      </c>
      <c r="C70" s="374" t="s">
        <v>3394</v>
      </c>
      <c r="E70" s="307" t="s">
        <v>545</v>
      </c>
      <c r="F70" s="368">
        <f>IF(OR(N57=2,N58="A"),"",'1Př2'!G7)</f>
        <v>0</v>
      </c>
      <c r="G70" s="1" t="s">
        <v>3392</v>
      </c>
      <c r="I70" s="307" t="s">
        <v>588</v>
      </c>
      <c r="J70" s="368">
        <f>'2Př'!G35</f>
        <v>0</v>
      </c>
      <c r="K70" s="314" t="s">
        <v>3392</v>
      </c>
      <c r="M70" t="s">
        <v>597</v>
      </c>
      <c r="Q70" t="s">
        <v>565</v>
      </c>
      <c r="R70" s="307" t="s">
        <v>566</v>
      </c>
      <c r="S70" s="310" t="s">
        <v>567</v>
      </c>
      <c r="T70" s="310" t="s">
        <v>568</v>
      </c>
      <c r="U70" s="310" t="s">
        <v>569</v>
      </c>
    </row>
    <row r="71" spans="1:21" ht="14.25">
      <c r="A71" s="307" t="s">
        <v>386</v>
      </c>
      <c r="B71" s="365" t="str">
        <f>CONCATENATE("31.12.",'DAP1'!F24)</f>
        <v>31.12.2020</v>
      </c>
      <c r="E71" s="307" t="s">
        <v>546</v>
      </c>
      <c r="F71" s="368">
        <f>IF(OR(N57=2,N58="A"),"",'1Př2'!G10)</f>
        <v>0</v>
      </c>
      <c r="G71" s="1" t="s">
        <v>3392</v>
      </c>
      <c r="I71" s="307" t="s">
        <v>589</v>
      </c>
      <c r="J71" s="368">
        <f>'2Př'!G16</f>
        <v>0</v>
      </c>
      <c r="K71" s="314" t="s">
        <v>3392</v>
      </c>
      <c r="M71" s="307" t="s">
        <v>605</v>
      </c>
      <c r="N71" s="369">
        <f>'3Př'!F20</f>
        <v>0</v>
      </c>
      <c r="O71" s="314" t="s">
        <v>3392</v>
      </c>
      <c r="R71" s="365" t="str">
        <f>IF('1Př2'!F39&lt;&gt;"",IF(OR(ISNUMBER('1Př2'!F39),ISNUMBER(FIND("/",('1Př2'!F39)))),'1Př2'!F39,MID('1Př2'!F39,3,(LEN('1Př2'!F39)-2))),"")</f>
        <v/>
      </c>
      <c r="S71" s="365" t="str">
        <f>IF('1Př2'!B39&lt;&gt;"",'1Př2'!B39,"")</f>
        <v/>
      </c>
      <c r="T71" t="str">
        <f>IF('1Př2'!G39&lt;&gt;"",('1Př2'!G39)*100,"")</f>
        <v/>
      </c>
      <c r="U71" s="365" t="str">
        <f>IF('1Př2'!D39&lt;&gt;"",'1Př2'!D39,"")</f>
        <v/>
      </c>
    </row>
    <row r="72" spans="1:21" ht="14.25">
      <c r="A72" s="307" t="s">
        <v>387</v>
      </c>
      <c r="B72" s="365" t="str">
        <f>CONCATENATE("01.01.",'DAP1'!F24)</f>
        <v>01.01.2020</v>
      </c>
      <c r="E72" s="307" t="s">
        <v>547</v>
      </c>
      <c r="F72" s="368">
        <f>IF(OR(N57=2,N58="A"),"",'1Př2'!G11)</f>
        <v>0</v>
      </c>
      <c r="G72" s="1" t="s">
        <v>3392</v>
      </c>
      <c r="I72" s="307" t="s">
        <v>590</v>
      </c>
      <c r="J72" s="368">
        <f>'2Př'!G14</f>
        <v>0</v>
      </c>
      <c r="K72" s="314" t="s">
        <v>3392</v>
      </c>
      <c r="M72" s="307" t="s">
        <v>606</v>
      </c>
      <c r="N72" s="369">
        <f>'3Př'!F18</f>
        <v>0</v>
      </c>
      <c r="O72" s="314" t="s">
        <v>3392</v>
      </c>
      <c r="R72" s="308" t="str">
        <f>IF('1Př2'!F40&lt;&gt;"",IF(OR(ISNUMBER('1Př2'!F40),ISNUMBER(FIND("/",('1Př2'!F40)))),'1Př2'!F40,MID('1Př2'!F40,3,(LEN('1Př2'!F40)-2))),"")</f>
        <v/>
      </c>
      <c r="S72" s="308" t="str">
        <f>IF('1Př2'!B40&lt;&gt;"",'1Př2'!B40,"")</f>
        <v/>
      </c>
      <c r="T72" t="str">
        <f>IF('1Př2'!G40&lt;&gt;"",('1Př2'!G40)*100,"")</f>
        <v/>
      </c>
      <c r="U72" s="308" t="str">
        <f>IF('1Př2'!D40&lt;&gt;"",'1Př2'!D40,"")</f>
        <v/>
      </c>
    </row>
    <row r="73" spans="1:15" ht="14.25">
      <c r="A73" s="307" t="s">
        <v>3522</v>
      </c>
      <c r="B73">
        <f>'DAP3'!H24</f>
        <v>0</v>
      </c>
      <c r="E73" s="307" t="s">
        <v>548</v>
      </c>
      <c r="F73" s="368">
        <f>IF(OR(N57=2,N58="A"),"",'1Př2'!G8)</f>
        <v>0</v>
      </c>
      <c r="G73" s="1" t="s">
        <v>3392</v>
      </c>
      <c r="I73" s="307" t="s">
        <v>591</v>
      </c>
      <c r="J73" s="365" t="str">
        <f>IF('2Př'!J7&lt;&gt;"","A","N")</f>
        <v>N</v>
      </c>
      <c r="K73" s="314" t="s">
        <v>3392</v>
      </c>
      <c r="M73" s="307" t="s">
        <v>607</v>
      </c>
      <c r="N73" s="369">
        <f>'3Př'!F17</f>
        <v>0</v>
      </c>
      <c r="O73" s="314" t="s">
        <v>3392</v>
      </c>
    </row>
    <row r="74" spans="1:21" ht="14.25">
      <c r="A74" s="307" t="s">
        <v>3523</v>
      </c>
      <c r="B74">
        <f>'DAP3'!J24</f>
        <v>0</v>
      </c>
      <c r="E74" s="307" t="s">
        <v>549</v>
      </c>
      <c r="F74" s="368">
        <f>IF(OR(N57=2,N58="A"),"",'1Př2'!G9)</f>
        <v>0</v>
      </c>
      <c r="G74" s="1" t="s">
        <v>3392</v>
      </c>
      <c r="I74" s="307" t="s">
        <v>592</v>
      </c>
      <c r="J74" s="368">
        <f>'2Př'!G33</f>
        <v>0</v>
      </c>
      <c r="K74" s="314" t="s">
        <v>3392</v>
      </c>
      <c r="R74" s="314" t="s">
        <v>3392</v>
      </c>
      <c r="S74" s="314" t="s">
        <v>3392</v>
      </c>
      <c r="T74" s="314" t="s">
        <v>3392</v>
      </c>
      <c r="U74" s="314" t="s">
        <v>3392</v>
      </c>
    </row>
    <row r="75" spans="1:11" ht="14.25">
      <c r="A75" t="s">
        <v>3526</v>
      </c>
      <c r="B75">
        <f>'DAP3'!I24</f>
        <v>0</v>
      </c>
      <c r="E75" s="307" t="s">
        <v>550</v>
      </c>
      <c r="F75" s="368">
        <f>IF(OR(N57=2,N58="A"),"",'1Př2'!G12)</f>
        <v>0</v>
      </c>
      <c r="G75" s="1" t="s">
        <v>3392</v>
      </c>
      <c r="I75" s="307" t="s">
        <v>593</v>
      </c>
      <c r="J75" s="368">
        <f>'2Př'!G35</f>
        <v>0</v>
      </c>
      <c r="K75" s="314" t="s">
        <v>3392</v>
      </c>
    </row>
    <row r="76" spans="1:11" ht="14.25">
      <c r="A76" s="307" t="s">
        <v>3527</v>
      </c>
      <c r="B76">
        <f>'DAP3'!K24</f>
        <v>0</v>
      </c>
      <c r="E76" s="307" t="s">
        <v>551</v>
      </c>
      <c r="F76" s="368">
        <f>IF(OR(N57=2,N58="A"),"",'1Př2'!G13)</f>
        <v>0</v>
      </c>
      <c r="G76" s="1" t="s">
        <v>3392</v>
      </c>
      <c r="I76" s="307" t="s">
        <v>594</v>
      </c>
      <c r="J76" s="368">
        <f>'2Př'!G34</f>
        <v>0</v>
      </c>
      <c r="K76" s="314" t="s">
        <v>3392</v>
      </c>
    </row>
    <row r="77" spans="1:11" ht="14.25">
      <c r="A77" s="307" t="s">
        <v>3528</v>
      </c>
      <c r="B77" s="365" t="str">
        <f>IF('DAP3'!H2&lt;&gt;"",CONCATENATE(MID('DAP3'!H2,5,2),".",IF(MID('DAP3'!H2,3,2)&lt;13,MID('DAP3'!H2,3,2),MID('DAP3'!H2,3,2)-50),".",IF(MID('DAP3'!H2,1,2)&lt;"5","20","19"),MID('DAP3'!H2,1,2)),"")</f>
        <v/>
      </c>
      <c r="E77" s="307" t="s">
        <v>552</v>
      </c>
      <c r="F77" s="368">
        <f>IF(OR(N57=2,N58="A"),"",'1Př2'!G14)</f>
        <v>0</v>
      </c>
      <c r="G77" s="1" t="s">
        <v>3392</v>
      </c>
      <c r="I77" s="307" t="s">
        <v>595</v>
      </c>
      <c r="J77" s="365" t="str">
        <f>IF('2Př'!D7&lt;&gt;"","A","N")</f>
        <v>N</v>
      </c>
      <c r="K77" s="314" t="s">
        <v>3392</v>
      </c>
    </row>
    <row r="78" spans="1:10" ht="14.25">
      <c r="A78" s="307" t="s">
        <v>3631</v>
      </c>
      <c r="B78">
        <f>IF('DAP3'!E13&lt;&gt;"",'DAP3'!E13,"")</f>
        <v>0</v>
      </c>
      <c r="I78" s="307" t="s">
        <v>3654</v>
      </c>
      <c r="J78" s="308" t="e">
        <f>IF('2Př'!#REF!&lt;&gt;"","A","N")</f>
        <v>#REF!</v>
      </c>
    </row>
    <row r="79" spans="1:2" ht="14.25">
      <c r="A79" s="307" t="s">
        <v>355</v>
      </c>
      <c r="B79" s="368">
        <f>'DAP3'!D48</f>
        <v>0</v>
      </c>
    </row>
    <row r="80" spans="1:21" ht="14.25">
      <c r="A80" s="364" t="s">
        <v>628</v>
      </c>
      <c r="Q80" t="s">
        <v>570</v>
      </c>
      <c r="R80" s="307" t="s">
        <v>573</v>
      </c>
      <c r="S80" s="310" t="s">
        <v>574</v>
      </c>
      <c r="T80" s="310" t="s">
        <v>575</v>
      </c>
      <c r="U80" s="310" t="s">
        <v>576</v>
      </c>
    </row>
    <row r="81" spans="1:21" ht="14.25">
      <c r="A81" s="307" t="s">
        <v>629</v>
      </c>
      <c r="B81" s="308"/>
      <c r="R81" s="365" t="str">
        <f>IF('1Př2'!F44&lt;&gt;"",MID('1Př2'!F44,3,LEN('1Př2'!F44)-2),"")</f>
        <v/>
      </c>
      <c r="S81" s="365" t="str">
        <f>IF('1Př2'!B44&lt;&gt;"",'1Př2'!B44,"")</f>
        <v/>
      </c>
      <c r="T81" t="str">
        <f>IF('1Př2'!G44&lt;&gt;"",'1Př2'!G44*100,"")</f>
        <v/>
      </c>
      <c r="U81" s="365" t="str">
        <f>IF('1Př2'!D44&lt;&gt;"",'1Př2'!D44,"")</f>
        <v/>
      </c>
    </row>
    <row r="82" spans="1:3" ht="14.25">
      <c r="A82" s="307" t="s">
        <v>630</v>
      </c>
      <c r="B82" s="365" t="str">
        <f>IF('DAP4'!D51&lt;&gt;0,+CONCATENATE(ZAKL_DATA!B33),"")</f>
        <v/>
      </c>
      <c r="C82" s="314" t="s">
        <v>3404</v>
      </c>
    </row>
    <row r="83" spans="1:21" ht="14.25">
      <c r="A83" s="307" t="s">
        <v>631</v>
      </c>
      <c r="B83" s="308"/>
      <c r="K83" s="372"/>
      <c r="R83" s="314" t="s">
        <v>3392</v>
      </c>
      <c r="S83" s="314" t="s">
        <v>3392</v>
      </c>
      <c r="T83" s="314" t="s">
        <v>3392</v>
      </c>
      <c r="U83" s="314" t="s">
        <v>3392</v>
      </c>
    </row>
    <row r="84" spans="1:2" ht="14.25">
      <c r="A84" s="307" t="s">
        <v>632</v>
      </c>
      <c r="B84" s="308"/>
    </row>
    <row r="85" spans="1:3" ht="14.25">
      <c r="A85" s="307" t="s">
        <v>633</v>
      </c>
      <c r="B85" t="str">
        <f>IF('DAP4'!D51&lt;&gt;0,'DAP4'!D51,"")</f>
        <v/>
      </c>
      <c r="C85" s="314" t="s">
        <v>3404</v>
      </c>
    </row>
    <row r="86" spans="1:2" ht="14.25">
      <c r="A86" s="307" t="s">
        <v>634</v>
      </c>
      <c r="B86" s="308"/>
    </row>
    <row r="87" spans="1:3" ht="14.25">
      <c r="A87" s="307" t="s">
        <v>635</v>
      </c>
      <c r="B87" s="365" t="str">
        <f>IF('DAP4'!D51&lt;&gt;0,ZAKL_DATA!B18,"")</f>
        <v/>
      </c>
      <c r="C87" s="314" t="s">
        <v>3404</v>
      </c>
    </row>
    <row r="88" spans="1:2" ht="14.25">
      <c r="A88" s="307" t="s">
        <v>636</v>
      </c>
      <c r="B88" s="308"/>
    </row>
    <row r="89" spans="1:3" ht="14.25">
      <c r="A89" s="307" t="s">
        <v>637</v>
      </c>
      <c r="B89" s="365" t="str">
        <f>IF('DAP4'!D51&lt;&gt;0,+CONCATENATE('DAP1'!B28," ",'DAP1'!J28),"")</f>
        <v/>
      </c>
      <c r="C89" s="314" t="s">
        <v>3404</v>
      </c>
    </row>
    <row r="90" spans="1:19" ht="14.25">
      <c r="A90" s="307" t="s">
        <v>638</v>
      </c>
      <c r="B90" s="308"/>
      <c r="Q90" t="s">
        <v>571</v>
      </c>
      <c r="R90" s="307" t="s">
        <v>577</v>
      </c>
      <c r="S90" s="310" t="s">
        <v>578</v>
      </c>
    </row>
    <row r="91" spans="1:19" ht="14.25">
      <c r="A91" s="307" t="s">
        <v>639</v>
      </c>
      <c r="B91" s="365" t="str">
        <f>IF('DAP4'!D51&lt;&gt;0,ZAKL_DATA!B19,"")</f>
        <v/>
      </c>
      <c r="C91" s="314" t="s">
        <v>3404</v>
      </c>
      <c r="R91" s="365" t="str">
        <f>IF('1Př2'!F47&lt;&gt;"",MID('1Př2'!F47,3,LEN('1Př2'!F47)-2),"")</f>
        <v/>
      </c>
      <c r="S91" t="str">
        <f>IF('1Př2'!G47&lt;&gt;"",'1Př2'!G47*100,"")</f>
        <v/>
      </c>
    </row>
    <row r="92" spans="1:2" ht="14.25">
      <c r="A92" s="307" t="s">
        <v>640</v>
      </c>
      <c r="B92" s="308"/>
    </row>
    <row r="93" spans="1:19" ht="14.25">
      <c r="A93" s="307" t="s">
        <v>641</v>
      </c>
      <c r="B93" s="365" t="str">
        <f>IF('DAP4'!D51&lt;&gt;0,ZAKL_DATA!B18,"")</f>
        <v/>
      </c>
      <c r="C93" s="314" t="s">
        <v>3404</v>
      </c>
      <c r="R93" s="314" t="s">
        <v>3392</v>
      </c>
      <c r="S93" s="314" t="s">
        <v>3392</v>
      </c>
    </row>
    <row r="94" spans="1:3" ht="14.25">
      <c r="A94" s="307" t="s">
        <v>642</v>
      </c>
      <c r="B94" s="365" t="str">
        <f>IF('DAP4'!D51&lt;&gt;0,IF(ZAKL_DATA!B20&lt;&gt;"",VLOOKUP(ZAKL_DATA!B20,FU!J3:K253,2,FALSE),"CZ"),"")</f>
        <v/>
      </c>
      <c r="C94" s="314" t="s">
        <v>3404</v>
      </c>
    </row>
    <row r="95" spans="1:2" ht="14.25">
      <c r="A95" s="307" t="s">
        <v>643</v>
      </c>
      <c r="B95" s="308"/>
    </row>
    <row r="96" spans="1:2" ht="14.25">
      <c r="A96" s="307" t="s">
        <v>644</v>
      </c>
      <c r="B96" s="308"/>
    </row>
    <row r="97" spans="1:3" ht="14.25">
      <c r="A97" s="307" t="s">
        <v>645</v>
      </c>
      <c r="B97" s="308" t="str">
        <f>IF('DAP4'!D51&lt;&gt;0,ZAKL_DATA!B16,"")</f>
        <v/>
      </c>
      <c r="C97" s="314" t="s">
        <v>3404</v>
      </c>
    </row>
    <row r="98" spans="1:3" ht="14.25">
      <c r="A98" s="307" t="s">
        <v>646</v>
      </c>
      <c r="B98" s="365" t="str">
        <f>IF('DAP4'!D51&lt;&gt;0,IF('DAP4'!G53&lt;&gt;"","U","A"),"")</f>
        <v/>
      </c>
      <c r="C98" s="314" t="s">
        <v>3404</v>
      </c>
    </row>
    <row r="99" spans="1:3" ht="14.25">
      <c r="A99" s="307" t="s">
        <v>647</v>
      </c>
      <c r="B99" s="365" t="str">
        <f>IF('DAP4'!D51&lt;&gt;0,IF(ISNUMBER(FIND("-",ZAKL_DATA!B32)),MID(ZAKL_DATA!B32,(FIND("-",ZAKL_DATA!B32,1))+1,LEN(ZAKL_DATA!B32)),ZAKL_DATA!B32),"")</f>
        <v/>
      </c>
      <c r="C99" s="314" t="s">
        <v>3404</v>
      </c>
    </row>
    <row r="100" spans="1:23" ht="14.25">
      <c r="A100" s="307" t="s">
        <v>648</v>
      </c>
      <c r="B100" s="372"/>
      <c r="C100" s="314" t="s">
        <v>3404</v>
      </c>
      <c r="Q100" t="s">
        <v>596</v>
      </c>
      <c r="R100" s="307" t="s">
        <v>599</v>
      </c>
      <c r="S100" s="310" t="s">
        <v>600</v>
      </c>
      <c r="T100" s="310" t="s">
        <v>601</v>
      </c>
      <c r="U100" s="310" t="s">
        <v>602</v>
      </c>
      <c r="V100" s="310" t="s">
        <v>603</v>
      </c>
      <c r="W100" s="310" t="s">
        <v>604</v>
      </c>
    </row>
    <row r="101" spans="1:23" ht="14.25">
      <c r="A101" s="307" t="s">
        <v>649</v>
      </c>
      <c r="B101" s="365" t="str">
        <f>IF('DAP4'!D51&lt;&gt;0,IF(ISNUMBER(FIND("/",ZAKL_DATA!B17)),MID(ZAKL_DATA!B17,(FIND("/",ZAKL_DATA!B17,1))+1,LEN(ZAKL_DATA!B17)),""),"")</f>
        <v/>
      </c>
      <c r="C101" s="314" t="s">
        <v>3404</v>
      </c>
      <c r="R101" s="365" t="str">
        <f>IF('2Př'!B24&lt;&gt;"",'2Př'!B24,"")</f>
        <v/>
      </c>
      <c r="S101" s="365" t="str">
        <f>IF('2Př'!J24&lt;&gt;"",'2Př'!J24,"")</f>
        <v/>
      </c>
      <c r="T101" s="365" t="str">
        <f>IF('2Př'!B24&lt;&gt;"",MID('2Př'!B24,1,1),"")</f>
        <v/>
      </c>
      <c r="U101" t="str">
        <f>IF(AND('2Př'!D24&lt;&gt;"",'2Př'!D24&lt;&gt;0),'2Př'!D24,"")</f>
        <v/>
      </c>
      <c r="V101">
        <f>IF('2Př'!H24&lt;&gt;"",'2Př'!H24,"")</f>
        <v>0</v>
      </c>
      <c r="W101" t="str">
        <f>IF(AND('2Př'!F24&lt;&gt;"",'2Př'!F24&lt;&gt;0),'2Př'!F24,"")</f>
        <v/>
      </c>
    </row>
    <row r="102" spans="1:23" ht="14.25">
      <c r="A102" s="307" t="s">
        <v>650</v>
      </c>
      <c r="B102" s="372" t="str">
        <f>IF('DAP4'!D51&lt;&gt;0,IF(ISNUMBER(FIND("/",ZAKL_DATA!B17)),LEFT(ZAKL_DATA!B17,(FIND("/",ZAKL_DATA!B17,1))-1),ZAKL_DATA!B17),"")</f>
        <v/>
      </c>
      <c r="C102" s="314" t="s">
        <v>3404</v>
      </c>
      <c r="R102" s="308" t="str">
        <f>IF('2Př'!B25&lt;&gt;"",'2Př'!B25,"")</f>
        <v/>
      </c>
      <c r="S102" s="308" t="str">
        <f>IF('2Př'!J25&lt;&gt;"",'2Př'!J25,"")</f>
        <v/>
      </c>
      <c r="T102" s="308" t="str">
        <f>IF('2Př'!B25&lt;&gt;"",MID('2Př'!B25,1,1),"")</f>
        <v/>
      </c>
      <c r="U102" t="str">
        <f>IF(AND('2Př'!D25&lt;&gt;"",'2Př'!D25&lt;&gt;0),'2Př'!D25,"")</f>
        <v/>
      </c>
      <c r="V102">
        <f>IF('2Př'!H25&lt;&gt;"",'2Př'!H25,"")</f>
        <v>0</v>
      </c>
      <c r="W102" t="str">
        <f>IF(AND('2Př'!F25&lt;&gt;"",'2Př'!F25&lt;&gt;0),'2Př'!F25,"")</f>
        <v/>
      </c>
    </row>
    <row r="103" spans="1:23" ht="14.25">
      <c r="A103" s="307" t="s">
        <v>651</v>
      </c>
      <c r="B103" s="365" t="str">
        <f>IF('DAP4'!D51&lt;&gt;0,ZAKL_DATA!B4,"")</f>
        <v/>
      </c>
      <c r="C103" s="314" t="s">
        <v>3404</v>
      </c>
      <c r="R103" s="308" t="str">
        <f>IF('2Př'!B26&lt;&gt;"",'2Př'!B26,"")</f>
        <v/>
      </c>
      <c r="S103" s="308" t="str">
        <f>IF('2Př'!J26&lt;&gt;"",'2Př'!J26,"")</f>
        <v/>
      </c>
      <c r="T103" s="308" t="str">
        <f>IF('2Př'!B26&lt;&gt;"",MID('2Př'!B26,1,1),"")</f>
        <v/>
      </c>
      <c r="U103" t="str">
        <f>IF(AND('2Př'!D26&lt;&gt;"",'2Př'!D26&lt;&gt;0),'2Př'!D26,"")</f>
        <v/>
      </c>
      <c r="V103">
        <f>IF('2Př'!H26&lt;&gt;"",'2Př'!H26,"")</f>
        <v>0</v>
      </c>
      <c r="W103" t="str">
        <f>IF(AND('2Př'!F26&lt;&gt;"",'2Př'!F26&lt;&gt;0),'2Př'!F26,"")</f>
        <v/>
      </c>
    </row>
    <row r="104" spans="1:23" ht="14.25">
      <c r="A104" s="307" t="s">
        <v>652</v>
      </c>
      <c r="B104" s="372" t="str">
        <f>IF('DAP4'!D51&lt;&gt;0,ZAKL_DATA!B33,"")</f>
        <v/>
      </c>
      <c r="C104" s="314" t="s">
        <v>3404</v>
      </c>
      <c r="R104" s="308" t="str">
        <f>IF('2Př'!B27&lt;&gt;"",'2Př'!B27,"")</f>
        <v/>
      </c>
      <c r="S104" s="308" t="str">
        <f>IF('2Př'!J27&lt;&gt;"",'2Př'!J27,"")</f>
        <v/>
      </c>
      <c r="T104" s="308" t="str">
        <f>IF('2Př'!B27&lt;&gt;"",MID('2Př'!B27,1,1),"")</f>
        <v/>
      </c>
      <c r="U104" t="str">
        <f>IF(AND('2Př'!D27&lt;&gt;"",'2Př'!D27&lt;&gt;0),'2Př'!D27,"")</f>
        <v/>
      </c>
      <c r="V104">
        <f>IF('2Př'!H27&lt;&gt;"",'2Př'!H27,"")</f>
        <v>0</v>
      </c>
      <c r="W104" t="str">
        <f>IF(AND('2Př'!F27&lt;&gt;"",'2Př'!F27&lt;&gt;0),'2Př'!F27,"")</f>
        <v/>
      </c>
    </row>
    <row r="105" spans="1:3" ht="14.25">
      <c r="A105" s="307" t="s">
        <v>653</v>
      </c>
      <c r="B105" s="365" t="str">
        <f>IF('DAP4'!D51&lt;&gt;0,ZAKL_DATA!B34,"")</f>
        <v/>
      </c>
      <c r="C105" s="314" t="s">
        <v>3404</v>
      </c>
    </row>
    <row r="106" spans="1:20" ht="14.25">
      <c r="A106" s="307" t="s">
        <v>654</v>
      </c>
      <c r="B106" s="365" t="str">
        <f>IF('DAP4'!D51&lt;&gt;0,ZAKL_DATA!B18,"")</f>
        <v/>
      </c>
      <c r="C106" s="314" t="s">
        <v>3404</v>
      </c>
      <c r="T106" s="375"/>
    </row>
    <row r="107" spans="1:3" ht="14.25">
      <c r="A107" s="307" t="s">
        <v>655</v>
      </c>
      <c r="B107" s="372" t="str">
        <f>IF('DAP4'!D51&lt;&gt;0,IF(ISNUMBER(FIND("-",ZAKL_DATA!B32)),LEFT(ZAKL_DATA!B32,(FIND("-",ZAKL_DATA!B32,1))-1),""),"")</f>
        <v/>
      </c>
      <c r="C107" s="314" t="s">
        <v>3404</v>
      </c>
    </row>
    <row r="108" spans="1:3" ht="14.25">
      <c r="A108" s="307" t="s">
        <v>656</v>
      </c>
      <c r="B108" s="365" t="str">
        <f>IF('DAP4'!D51&lt;&gt;0,ZAKL_DATA!B5,"")</f>
        <v/>
      </c>
      <c r="C108" s="314" t="s">
        <v>3404</v>
      </c>
    </row>
    <row r="109" spans="1:3" ht="14.25">
      <c r="A109" s="307" t="s">
        <v>657</v>
      </c>
      <c r="B109" s="372" t="str">
        <f>IF('DAP4'!D51&lt;&gt;0,ZAKL_DATA!B19,"")</f>
        <v/>
      </c>
      <c r="C109" s="314" t="s">
        <v>3404</v>
      </c>
    </row>
    <row r="110" spans="1:20" ht="14.25">
      <c r="A110" s="307" t="s">
        <v>658</v>
      </c>
      <c r="B110" s="365" t="str">
        <f>IF('DAP4'!D51&lt;&gt;0,'DAP4'!H54,"")</f>
        <v/>
      </c>
      <c r="C110" s="314" t="s">
        <v>3404</v>
      </c>
      <c r="Q110" t="s">
        <v>598</v>
      </c>
      <c r="R110" s="307" t="s">
        <v>608</v>
      </c>
      <c r="S110" s="310" t="s">
        <v>609</v>
      </c>
      <c r="T110" s="310" t="s">
        <v>610</v>
      </c>
    </row>
    <row r="111" spans="1:20" ht="14.25">
      <c r="A111" s="307" t="s">
        <v>659</v>
      </c>
      <c r="B111" s="365" t="str">
        <f>IF('DAP4'!D51&lt;&gt;0,ZAKL_DATA!B7,"")</f>
        <v/>
      </c>
      <c r="C111" s="314" t="s">
        <v>3404</v>
      </c>
      <c r="R111" s="308"/>
      <c r="T111" s="308"/>
    </row>
    <row r="112" spans="1:3" ht="14.25">
      <c r="A112" s="307" t="s">
        <v>660</v>
      </c>
      <c r="B112" s="365" t="str">
        <f>IF('DAP4'!D51&lt;&gt;0,ZAKL_DATA!B16,"")</f>
        <v/>
      </c>
      <c r="C112" s="314" t="s">
        <v>3404</v>
      </c>
    </row>
    <row r="113" spans="17:20" ht="12.75">
      <c r="Q113" s="314" t="s">
        <v>3402</v>
      </c>
      <c r="R113" s="371" t="s">
        <v>3398</v>
      </c>
      <c r="S113" s="367"/>
      <c r="T113" s="367"/>
    </row>
    <row r="120" spans="17:27" ht="14.25">
      <c r="Q120" t="s">
        <v>611</v>
      </c>
      <c r="R120" s="307" t="s">
        <v>613</v>
      </c>
      <c r="S120" s="310" t="s">
        <v>614</v>
      </c>
      <c r="T120" s="310" t="s">
        <v>615</v>
      </c>
      <c r="U120" s="310" t="s">
        <v>616</v>
      </c>
      <c r="V120" s="310" t="s">
        <v>617</v>
      </c>
      <c r="W120" s="310" t="s">
        <v>618</v>
      </c>
      <c r="X120" s="310" t="s">
        <v>619</v>
      </c>
      <c r="Y120" s="310" t="s">
        <v>620</v>
      </c>
      <c r="Z120" s="310" t="s">
        <v>621</v>
      </c>
      <c r="AA120" s="310" t="s">
        <v>622</v>
      </c>
    </row>
    <row r="121" spans="18:27" ht="12.75">
      <c r="R121" s="369">
        <f>'3Př_a'!F17</f>
        <v>0</v>
      </c>
      <c r="S121" s="368">
        <f>'3Př_a'!F14</f>
        <v>0</v>
      </c>
      <c r="T121" s="368">
        <f>'3Př_a'!F12</f>
        <v>0</v>
      </c>
      <c r="U121" s="368">
        <f>'3Př_a'!F13</f>
        <v>0</v>
      </c>
      <c r="V121" s="369">
        <f>'3Př_a'!F16</f>
        <v>0</v>
      </c>
      <c r="W121" s="368">
        <f>'3Př_a'!F12</f>
        <v>0</v>
      </c>
      <c r="X121" s="368">
        <f>'3Př_a'!F13</f>
        <v>0</v>
      </c>
      <c r="Y121" s="365" t="str">
        <f>IF('3Př_a'!C8&lt;&gt;"",'3Př_a'!C8,"")</f>
        <v/>
      </c>
      <c r="Z121" s="372">
        <f>'3Př_a'!F15*100</f>
        <v>0</v>
      </c>
      <c r="AA121" s="369">
        <f>'3Př_a'!F18</f>
        <v>0</v>
      </c>
    </row>
    <row r="123" spans="20:21" ht="12.75">
      <c r="T123" s="371" t="s">
        <v>3399</v>
      </c>
      <c r="U123" s="367"/>
    </row>
    <row r="124" spans="20:20" ht="12.75">
      <c r="T124" s="314" t="s">
        <v>3403</v>
      </c>
    </row>
    <row r="130" spans="17:22" ht="14.25">
      <c r="Q130" t="s">
        <v>612</v>
      </c>
      <c r="R130" s="307" t="s">
        <v>623</v>
      </c>
      <c r="S130" s="310" t="s">
        <v>624</v>
      </c>
      <c r="T130" s="310" t="s">
        <v>625</v>
      </c>
      <c r="U130" s="310" t="s">
        <v>626</v>
      </c>
      <c r="V130" s="310" t="s">
        <v>627</v>
      </c>
    </row>
    <row r="131" spans="18:24" ht="12.75">
      <c r="R131" s="365">
        <f>IF('6Př'!B12&lt;&gt;"",'6Př'!B12,"")</f>
        <v>2019</v>
      </c>
      <c r="S131">
        <f>IF('6Př'!C12&lt;&gt;"",'6Př'!C12,"")</f>
        <v>0</v>
      </c>
      <c r="T131">
        <f>IF('6Př'!D12&lt;&gt;"",'6Př'!D12,"")</f>
        <v>0</v>
      </c>
      <c r="U131">
        <f>IF('6Př'!E12&lt;&gt;"",'6Př'!E12,"")</f>
        <v>0</v>
      </c>
      <c r="V131">
        <f>IF('6Př'!F12&lt;&gt;"",'6Př'!F12,"")</f>
        <v>0</v>
      </c>
      <c r="X131" s="314" t="s">
        <v>3392</v>
      </c>
    </row>
    <row r="132" spans="18:22" ht="12.75">
      <c r="R132" s="308" t="str">
        <f>IF('6Př'!B13&lt;&gt;"",'6Př'!B13,"")</f>
        <v/>
      </c>
      <c r="S132" t="str">
        <f>IF('6Př'!C13&lt;&gt;"",'6Př'!C13,"")</f>
        <v/>
      </c>
      <c r="T132" t="str">
        <f>IF('6Př'!D13&lt;&gt;"",'6Př'!D13,"")</f>
        <v/>
      </c>
      <c r="U132" t="str">
        <f>IF('6Př'!E13&lt;&gt;"",'6Př'!E13,"")</f>
        <v/>
      </c>
      <c r="V132">
        <f>IF('6Př'!F13&lt;&gt;"",'6Př'!F13,"")</f>
        <v>0</v>
      </c>
    </row>
    <row r="133" spans="18:22" ht="12.75">
      <c r="R133" s="308" t="str">
        <f>IF('6Př'!B14&lt;&gt;"",'6Př'!B14,"")</f>
        <v/>
      </c>
      <c r="S133" t="str">
        <f>IF('6Př'!C14&lt;&gt;"",'6Př'!C14,"")</f>
        <v/>
      </c>
      <c r="T133" t="str">
        <f>IF('6Př'!D14&lt;&gt;"",'6Př'!D14,"")</f>
        <v/>
      </c>
      <c r="U133" t="str">
        <f>IF('6Př'!E14&lt;&gt;"",'6Př'!E14,"")</f>
        <v/>
      </c>
      <c r="V133">
        <f>IF('6Př'!F14&lt;&gt;"",'6Př'!F14,"")</f>
        <v>0</v>
      </c>
    </row>
    <row r="134" spans="18:22" ht="12.75">
      <c r="R134" s="308" t="str">
        <f>IF('6Př'!B15&lt;&gt;"",'6Př'!B15,"")</f>
        <v/>
      </c>
      <c r="S134" t="str">
        <f>IF('6Př'!C15&lt;&gt;"",'6Př'!C15,"")</f>
        <v/>
      </c>
      <c r="T134" t="str">
        <f>IF('6Př'!D15&lt;&gt;"",'6Př'!D15,"")</f>
        <v/>
      </c>
      <c r="U134" t="str">
        <f>IF('6Př'!E15&lt;&gt;"",'6Př'!E15,"")</f>
        <v/>
      </c>
      <c r="V134">
        <f>IF('6Př'!F15&lt;&gt;"",'6Př'!F15,"")</f>
        <v>0</v>
      </c>
    </row>
    <row r="135" spans="18:22" ht="12.75">
      <c r="R135" s="308" t="str">
        <f>IF('6Př'!B16&lt;&gt;"",'6Př'!B16,"")</f>
        <v/>
      </c>
      <c r="S135" t="str">
        <f>IF('6Př'!C16&lt;&gt;"",'6Př'!C16,"")</f>
        <v/>
      </c>
      <c r="T135" t="str">
        <f>IF('6Př'!D16&lt;&gt;"",'6Př'!D16,"")</f>
        <v/>
      </c>
      <c r="U135" t="str">
        <f>IF('6Př'!E16&lt;&gt;"",'6Př'!E16,"")</f>
        <v/>
      </c>
      <c r="V135">
        <f>IF('6Př'!F16&lt;&gt;"",'6Př'!F16,"")</f>
        <v>0</v>
      </c>
    </row>
    <row r="136" spans="18:22" ht="12.75">
      <c r="R136" s="308" t="str">
        <f>IF('6Př'!B17&lt;&gt;"",'6Př'!B17,"")</f>
        <v/>
      </c>
      <c r="S136" t="str">
        <f>IF('6Př'!C17&lt;&gt;"",'6Př'!C17,"")</f>
        <v/>
      </c>
      <c r="T136" t="str">
        <f>IF('6Př'!D17&lt;&gt;"",'6Př'!D17,"")</f>
        <v/>
      </c>
      <c r="U136" t="str">
        <f>IF('6Př'!E17&lt;&gt;"",'6Př'!E17,"")</f>
        <v/>
      </c>
      <c r="V136">
        <f>IF('6Př'!F17&lt;&gt;"",'6Př'!F17,"")</f>
        <v>0</v>
      </c>
    </row>
    <row r="137" spans="18:22" ht="12.75">
      <c r="R137" s="308" t="str">
        <f>IF('6Př'!B18&lt;&gt;"",'6Př'!B18,"")</f>
        <v/>
      </c>
      <c r="S137" t="str">
        <f>IF('6Př'!C18&lt;&gt;"",'6Př'!C18,"")</f>
        <v/>
      </c>
      <c r="T137" t="str">
        <f>IF('6Př'!D18&lt;&gt;"",'6Př'!D18,"")</f>
        <v/>
      </c>
      <c r="U137" t="str">
        <f>IF('6Př'!E18&lt;&gt;"",'6Př'!E18,"")</f>
        <v/>
      </c>
      <c r="V137">
        <f>IF('6Př'!F18&lt;&gt;"",'6Př'!F18,"")</f>
        <v>0</v>
      </c>
    </row>
    <row r="138" spans="18:22" ht="12.75">
      <c r="R138" s="308" t="str">
        <f>IF('6Př'!B19&lt;&gt;"",'6Př'!B19,"")</f>
        <v/>
      </c>
      <c r="S138" t="str">
        <f>IF('6Př'!C19&lt;&gt;"",'6Př'!C19,"")</f>
        <v/>
      </c>
      <c r="T138" t="str">
        <f>IF('6Př'!D19&lt;&gt;"",'6Př'!D19,"")</f>
        <v/>
      </c>
      <c r="U138" t="str">
        <f>IF('6Př'!E19&lt;&gt;"",'6Př'!E19,"")</f>
        <v/>
      </c>
      <c r="V138">
        <f>IF('6Př'!F19&lt;&gt;"",'6Př'!F19,"")</f>
        <v>0</v>
      </c>
    </row>
    <row r="140" spans="18:22" ht="12.75">
      <c r="R140" s="314" t="s">
        <v>3392</v>
      </c>
      <c r="S140" s="314" t="s">
        <v>3392</v>
      </c>
      <c r="T140" s="314" t="s">
        <v>3392</v>
      </c>
      <c r="U140" s="314" t="s">
        <v>3392</v>
      </c>
      <c r="V140" s="314" t="s">
        <v>3392</v>
      </c>
    </row>
    <row r="143" spans="17:55" ht="14.25">
      <c r="Q143" t="s">
        <v>661</v>
      </c>
      <c r="R143" s="307" t="s">
        <v>663</v>
      </c>
      <c r="S143" s="310" t="s">
        <v>664</v>
      </c>
      <c r="T143" s="310" t="s">
        <v>665</v>
      </c>
      <c r="U143" s="310" t="s">
        <v>666</v>
      </c>
      <c r="V143" s="310" t="s">
        <v>667</v>
      </c>
      <c r="W143" s="307" t="s">
        <v>3535</v>
      </c>
      <c r="AL143" s="307"/>
      <c r="AM143" s="307"/>
      <c r="AN143" s="307"/>
      <c r="AO143" s="307"/>
      <c r="AP143" s="307"/>
      <c r="AQ143" s="307"/>
      <c r="AR143" s="307"/>
      <c r="AS143" s="307"/>
      <c r="AT143" s="307"/>
      <c r="AU143" s="307"/>
      <c r="AV143" s="307"/>
      <c r="AW143" s="307"/>
      <c r="AX143" s="307"/>
      <c r="AY143" s="307"/>
      <c r="AZ143" s="307"/>
      <c r="BA143" s="307"/>
      <c r="BB143" s="307"/>
      <c r="BC143" s="307"/>
    </row>
    <row r="144" spans="18:18" ht="12.75">
      <c r="R144" s="368"/>
    </row>
    <row r="146" spans="18:22" ht="12.75">
      <c r="R146" s="371" t="s">
        <v>3400</v>
      </c>
      <c r="S146" s="367"/>
      <c r="T146" s="367"/>
      <c r="U146" s="367"/>
      <c r="V146" s="367"/>
    </row>
    <row r="153" spans="17:22" ht="14.25">
      <c r="Q153" t="s">
        <v>662</v>
      </c>
      <c r="R153" s="307" t="s">
        <v>668</v>
      </c>
      <c r="S153" s="310" t="s">
        <v>669</v>
      </c>
      <c r="T153" s="310" t="s">
        <v>670</v>
      </c>
      <c r="U153" s="310" t="s">
        <v>671</v>
      </c>
      <c r="V153" s="310" t="s">
        <v>672</v>
      </c>
    </row>
    <row r="154" spans="18:22" ht="12.75">
      <c r="R154" t="str">
        <f>IF(Př_b!E10&lt;&gt;"",Př_b!E10,"")</f>
        <v/>
      </c>
      <c r="S154" s="365" t="str">
        <f>IF(AND(Př_b!B10&lt;&gt;"",Př_b!B10&lt;&gt;0),Př_b!B10,"")</f>
        <v/>
      </c>
      <c r="T154" s="365" t="str">
        <f>IF(AND(Př_b!C10&lt;&gt;"",Př_b!C10&lt;&gt;0),VLOOKUP(Př_b!C10,FU!$J$3:$K$253,2,FALSE),"")</f>
        <v/>
      </c>
      <c r="U154" t="str">
        <f>IF(Př_b!F10&lt;&gt;"",Př_b!F10,"")</f>
        <v/>
      </c>
      <c r="V154" s="314" t="str">
        <f>IF(Př_b!D10&lt;&gt;"",Př_b!D10,"")</f>
        <v/>
      </c>
    </row>
    <row r="155" spans="18:22" ht="12.75">
      <c r="R155" t="str">
        <f>IF(Př_b!E11&lt;&gt;"",Př_b!E11,"")</f>
        <v/>
      </c>
      <c r="S155" s="308" t="str">
        <f>IF(AND(Př_b!B11&lt;&gt;"",Př_b!B11&lt;&gt;0),Př_b!B11,"")</f>
        <v/>
      </c>
      <c r="T155" s="308" t="str">
        <f>IF(AND(Př_b!C11&lt;&gt;"",Př_b!C11&lt;&gt;0),VLOOKUP(Př_b!C11,FU!$J$3:$K$253,2,FALSE),"")</f>
        <v/>
      </c>
      <c r="U155" t="str">
        <f>IF(Př_b!F11&lt;&gt;"",Př_b!F11,"")</f>
        <v/>
      </c>
      <c r="V155" t="str">
        <f>IF(Př_b!D11&lt;&gt;"",Př_b!D11,"")</f>
        <v/>
      </c>
    </row>
    <row r="156" spans="18:22" ht="12.75">
      <c r="R156" t="str">
        <f>IF(Př_b!E12&lt;&gt;"",Př_b!E12,"")</f>
        <v/>
      </c>
      <c r="S156" s="308" t="str">
        <f>IF(AND(Př_b!B12&lt;&gt;"",Př_b!B12&lt;&gt;0),Př_b!B12,"")</f>
        <v/>
      </c>
      <c r="T156" s="308" t="str">
        <f>IF(AND(Př_b!C12&lt;&gt;"",Př_b!C12&lt;&gt;0),VLOOKUP(Př_b!C12,FU!$J$3:$K$253,2,FALSE),"")</f>
        <v/>
      </c>
      <c r="U156" t="str">
        <f>IF(Př_b!F12&lt;&gt;"",Př_b!F12,"")</f>
        <v/>
      </c>
      <c r="V156" t="str">
        <f>IF(Př_b!D12&lt;&gt;"",Př_b!D12,"")</f>
        <v/>
      </c>
    </row>
    <row r="157" spans="18:22" ht="12.75">
      <c r="R157" t="str">
        <f>IF(Př_b!E13&lt;&gt;"",Př_b!E13,"")</f>
        <v/>
      </c>
      <c r="S157" s="308" t="str">
        <f>IF(AND(Př_b!B13&lt;&gt;"",Př_b!B13&lt;&gt;0),Př_b!B13,"")</f>
        <v/>
      </c>
      <c r="T157" s="308" t="str">
        <f>IF(AND(Př_b!C13&lt;&gt;"",Př_b!C13&lt;&gt;0),VLOOKUP(Př_b!C13,FU!$J$3:$K$253,2,FALSE),"")</f>
        <v/>
      </c>
      <c r="U157" t="str">
        <f>IF(Př_b!F13&lt;&gt;"",Př_b!F13,"")</f>
        <v/>
      </c>
      <c r="V157" t="str">
        <f>IF(Př_b!D13&lt;&gt;"",Př_b!D13,"")</f>
        <v/>
      </c>
    </row>
    <row r="158" spans="18:22" ht="12.75">
      <c r="R158" t="str">
        <f>IF(Př_b!E14&lt;&gt;"",Př_b!E14,"")</f>
        <v/>
      </c>
      <c r="S158" s="308" t="str">
        <f>IF(AND(Př_b!B14&lt;&gt;"",Př_b!B14&lt;&gt;0),Př_b!B14,"")</f>
        <v/>
      </c>
      <c r="T158" s="308" t="str">
        <f>IF(AND(Př_b!C14&lt;&gt;"",Př_b!C14&lt;&gt;0),VLOOKUP(Př_b!C14,FU!$J$3:$K$253,2,FALSE),"")</f>
        <v/>
      </c>
      <c r="U158" t="str">
        <f>IF(Př_b!F14&lt;&gt;"",Př_b!F14,"")</f>
        <v/>
      </c>
      <c r="V158" t="str">
        <f>IF(Př_b!D14&lt;&gt;"",Př_b!D14,"")</f>
        <v/>
      </c>
    </row>
    <row r="159" spans="18:22" ht="12.75">
      <c r="R159" t="str">
        <f>IF(Př_b!E15&lt;&gt;"",Př_b!E15,"")</f>
        <v/>
      </c>
      <c r="S159" s="308" t="str">
        <f>IF(AND(Př_b!B15&lt;&gt;"",Př_b!B15&lt;&gt;0),Př_b!B15,"")</f>
        <v/>
      </c>
      <c r="T159" s="308" t="str">
        <f>IF(AND(Př_b!C15&lt;&gt;"",Př_b!C15&lt;&gt;0),VLOOKUP(Př_b!C15,FU!$J$3:$K$253,2,FALSE),"")</f>
        <v/>
      </c>
      <c r="U159" t="str">
        <f>IF(Př_b!F15&lt;&gt;"",Př_b!F15,"")</f>
        <v/>
      </c>
      <c r="V159" t="str">
        <f>IF(Př_b!D15&lt;&gt;"",Př_b!D15,"")</f>
        <v/>
      </c>
    </row>
    <row r="160" spans="18:22" ht="12.75">
      <c r="R160" t="str">
        <f>IF(Př_b!E16&lt;&gt;"",Př_b!E16,"")</f>
        <v/>
      </c>
      <c r="S160" s="308" t="str">
        <f>IF(AND(Př_b!B16&lt;&gt;"",Př_b!B16&lt;&gt;0),Př_b!B16,"")</f>
        <v/>
      </c>
      <c r="T160" s="308" t="str">
        <f>IF(AND(Př_b!C16&lt;&gt;"",Př_b!C16&lt;&gt;0),VLOOKUP(Př_b!C16,FU!$J$3:$K$253,2,FALSE),"")</f>
        <v/>
      </c>
      <c r="U160" t="str">
        <f>IF(Př_b!F16&lt;&gt;"",Př_b!F16,"")</f>
        <v/>
      </c>
      <c r="V160" t="str">
        <f>IF(Př_b!D16&lt;&gt;"",Př_b!D16,"")</f>
        <v/>
      </c>
    </row>
    <row r="161" spans="18:22" ht="12.75">
      <c r="R161" t="str">
        <f>IF(Př_b!E17&lt;&gt;"",Př_b!E17,"")</f>
        <v/>
      </c>
      <c r="S161" s="308" t="str">
        <f>IF(AND(Př_b!B17&lt;&gt;"",Př_b!B17&lt;&gt;0),Př_b!B17,"")</f>
        <v/>
      </c>
      <c r="T161" s="308" t="str">
        <f>IF(AND(Př_b!C17&lt;&gt;"",Př_b!C17&lt;&gt;0),VLOOKUP(Př_b!C17,FU!$J$3:$K$253,2,FALSE),"")</f>
        <v/>
      </c>
      <c r="U161" t="str">
        <f>IF(Př_b!F17&lt;&gt;"",Př_b!F17,"")</f>
        <v/>
      </c>
      <c r="V161" t="str">
        <f>IF(Př_b!D17&lt;&gt;"",Př_b!D17,"")</f>
        <v/>
      </c>
    </row>
    <row r="162" spans="18:22" ht="12.75">
      <c r="R162" t="str">
        <f>IF(Př_b!E18&lt;&gt;"",Př_b!E18,"")</f>
        <v/>
      </c>
      <c r="S162" s="308" t="str">
        <f>IF(AND(Př_b!B18&lt;&gt;"",Př_b!B18&lt;&gt;0),Př_b!B18,"")</f>
        <v/>
      </c>
      <c r="T162" s="308" t="str">
        <f>IF(AND(Př_b!C18&lt;&gt;"",Př_b!C18&lt;&gt;0),VLOOKUP(Př_b!C18,FU!$J$3:$K$253,2,FALSE),"")</f>
        <v/>
      </c>
      <c r="U162" t="str">
        <f>IF(Př_b!F18&lt;&gt;"",Př_b!F18,"")</f>
        <v/>
      </c>
      <c r="V162" t="str">
        <f>IF(Př_b!D18&lt;&gt;"",Př_b!D18,"")</f>
        <v/>
      </c>
    </row>
    <row r="163" spans="18:22" ht="12.75">
      <c r="R163" t="str">
        <f>IF(Př_b!E19&lt;&gt;"",Př_b!E19,"")</f>
        <v/>
      </c>
      <c r="S163" s="308" t="str">
        <f>IF(AND(Př_b!B19&lt;&gt;"",Př_b!B19&lt;&gt;0),Př_b!B19,"")</f>
        <v/>
      </c>
      <c r="T163" s="308" t="str">
        <f>IF(AND(Př_b!C19&lt;&gt;"",Př_b!C19&lt;&gt;0),VLOOKUP(Př_b!C19,FU!$J$3:$K$253,2,FALSE),"")</f>
        <v/>
      </c>
      <c r="U163" t="str">
        <f>IF(Př_b!F19&lt;&gt;"",Př_b!F19,"")</f>
        <v/>
      </c>
      <c r="V163" t="str">
        <f>IF(Př_b!D19&lt;&gt;"",Př_b!D19,"")</f>
        <v/>
      </c>
    </row>
    <row r="164" spans="18:22" ht="12.75">
      <c r="R164" t="str">
        <f>IF(Př_b!E20&lt;&gt;"",Př_b!E20,"")</f>
        <v/>
      </c>
      <c r="S164" s="308" t="str">
        <f>IF(AND(Př_b!B20&lt;&gt;"",Př_b!B20&lt;&gt;0),Př_b!B20,"")</f>
        <v/>
      </c>
      <c r="T164" s="308" t="str">
        <f>IF(AND(Př_b!C20&lt;&gt;"",Př_b!C20&lt;&gt;0),VLOOKUP(Př_b!C20,FU!$J$3:$K$253,2,FALSE),"")</f>
        <v/>
      </c>
      <c r="U164" t="str">
        <f>IF(Př_b!F20&lt;&gt;"",Př_b!F20,"")</f>
        <v/>
      </c>
      <c r="V164" t="str">
        <f>IF(Př_b!D20&lt;&gt;"",Př_b!D20,"")</f>
        <v/>
      </c>
    </row>
    <row r="165" spans="18:22" ht="12.75">
      <c r="R165" t="str">
        <f>IF(Př_b!E21&lt;&gt;"",Př_b!E21,"")</f>
        <v/>
      </c>
      <c r="S165" s="308" t="str">
        <f>IF(AND(Př_b!B21&lt;&gt;"",Př_b!B21&lt;&gt;0),Př_b!B21,"")</f>
        <v/>
      </c>
      <c r="T165" s="308" t="str">
        <f>IF(AND(Př_b!C21&lt;&gt;"",Př_b!C21&lt;&gt;0),VLOOKUP(Př_b!C21,FU!$J$3:$K$253,2,FALSE),"")</f>
        <v/>
      </c>
      <c r="U165" t="str">
        <f>IF(Př_b!F21&lt;&gt;"",Př_b!F21,"")</f>
        <v/>
      </c>
      <c r="V165" t="str">
        <f>IF(Př_b!D21&lt;&gt;"",Př_b!D21,"")</f>
        <v/>
      </c>
    </row>
    <row r="166" spans="18:22" ht="12.75">
      <c r="R166" t="str">
        <f>IF(Př_b!E22&lt;&gt;"",Př_b!E22,"")</f>
        <v/>
      </c>
      <c r="S166" s="308" t="str">
        <f>IF(AND(Př_b!B22&lt;&gt;"",Př_b!B22&lt;&gt;0),Př_b!B22,"")</f>
        <v/>
      </c>
      <c r="T166" s="308" t="str">
        <f>IF(AND(Př_b!C22&lt;&gt;"",Př_b!C22&lt;&gt;0),VLOOKUP(Př_b!C22,FU!$J$3:$K$253,2,FALSE),"")</f>
        <v/>
      </c>
      <c r="U166" t="str">
        <f>IF(Př_b!F22&lt;&gt;"",Př_b!F22,"")</f>
        <v/>
      </c>
      <c r="V166" t="str">
        <f>IF(Př_b!D22&lt;&gt;"",Př_b!D22,"")</f>
        <v/>
      </c>
    </row>
    <row r="167" spans="18:22" ht="12.75">
      <c r="R167" t="str">
        <f>IF(Př_b!E23&lt;&gt;"",Př_b!E23,"")</f>
        <v/>
      </c>
      <c r="S167" s="308" t="str">
        <f>IF(AND(Př_b!B23&lt;&gt;"",Př_b!B23&lt;&gt;0),Př_b!B23,"")</f>
        <v/>
      </c>
      <c r="T167" s="308" t="str">
        <f>IF(AND(Př_b!C23&lt;&gt;"",Př_b!C23&lt;&gt;0),VLOOKUP(Př_b!C23,FU!$J$3:$K$253,2,FALSE),"")</f>
        <v/>
      </c>
      <c r="U167" t="str">
        <f>IF(Př_b!F23&lt;&gt;"",Př_b!F23,"")</f>
        <v/>
      </c>
      <c r="V167" t="str">
        <f>IF(Př_b!D23&lt;&gt;"",Př_b!D23,"")</f>
        <v/>
      </c>
    </row>
    <row r="168" spans="18:22" ht="12.75">
      <c r="R168" t="str">
        <f>IF(Př_b!E24&lt;&gt;"",Př_b!E24,"")</f>
        <v/>
      </c>
      <c r="S168" s="308" t="str">
        <f>IF(AND(Př_b!B24&lt;&gt;"",Př_b!B24&lt;&gt;0),Př_b!B24,"")</f>
        <v/>
      </c>
      <c r="T168" s="308" t="str">
        <f>IF(AND(Př_b!C24&lt;&gt;"",Př_b!C24&lt;&gt;0),VLOOKUP(Př_b!C24,FU!$J$3:$K$253,2,FALSE),"")</f>
        <v/>
      </c>
      <c r="U168" t="str">
        <f>IF(Př_b!F24&lt;&gt;"",Př_b!F24,"")</f>
        <v/>
      </c>
      <c r="V168" t="str">
        <f>IF(Př_b!D24&lt;&gt;"",Př_b!D24,"")</f>
        <v/>
      </c>
    </row>
    <row r="169" spans="18:22" ht="12.75">
      <c r="R169" t="str">
        <f>IF(Př_b!E25&lt;&gt;"",Př_b!E25,"")</f>
        <v/>
      </c>
      <c r="S169" s="308" t="str">
        <f>IF(AND(Př_b!B25&lt;&gt;"",Př_b!B25&lt;&gt;0),Př_b!B25,"")</f>
        <v/>
      </c>
      <c r="T169" s="308" t="str">
        <f>IF(AND(Př_b!C25&lt;&gt;"",Př_b!C25&lt;&gt;0),VLOOKUP(Př_b!C25,FU!$J$3:$K$253,2,FALSE),"")</f>
        <v/>
      </c>
      <c r="U169" t="str">
        <f>IF(Př_b!F25&lt;&gt;"",Př_b!F25,"")</f>
        <v/>
      </c>
      <c r="V169" t="str">
        <f>IF(Př_b!D25&lt;&gt;"",Př_b!D25,"")</f>
        <v/>
      </c>
    </row>
    <row r="171" spans="18:22" ht="12.75">
      <c r="R171" s="314" t="s">
        <v>3392</v>
      </c>
      <c r="S171" s="314" t="s">
        <v>3392</v>
      </c>
      <c r="T171" s="314" t="s">
        <v>3392</v>
      </c>
      <c r="U171" s="314" t="s">
        <v>3392</v>
      </c>
      <c r="V171" s="314" t="s">
        <v>3392</v>
      </c>
    </row>
    <row r="176" spans="28:28" ht="12.75">
      <c r="AB176">
        <v>1</v>
      </c>
    </row>
    <row r="177" spans="17:55" ht="14.25">
      <c r="Q177" t="s">
        <v>673</v>
      </c>
      <c r="R177" s="307" t="s">
        <v>675</v>
      </c>
      <c r="S177" s="310" t="s">
        <v>676</v>
      </c>
      <c r="T177" s="310" t="s">
        <v>677</v>
      </c>
      <c r="U177" s="310" t="s">
        <v>678</v>
      </c>
      <c r="V177" s="310" t="s">
        <v>679</v>
      </c>
      <c r="W177" s="310" t="s">
        <v>680</v>
      </c>
      <c r="Y177" s="314" t="s">
        <v>3634</v>
      </c>
      <c r="Z177" s="314" t="s">
        <v>3635</v>
      </c>
      <c r="AA177" s="314" t="s">
        <v>3636</v>
      </c>
      <c r="AB177" s="307" t="s">
        <v>675</v>
      </c>
      <c r="AC177" s="310" t="s">
        <v>676</v>
      </c>
      <c r="AD177" s="310" t="s">
        <v>681</v>
      </c>
      <c r="AE177" s="310" t="s">
        <v>682</v>
      </c>
      <c r="AI177" t="s">
        <v>674</v>
      </c>
      <c r="AJ177" s="307" t="s">
        <v>675</v>
      </c>
      <c r="AK177" s="310" t="s">
        <v>676</v>
      </c>
      <c r="AL177" s="310" t="s">
        <v>681</v>
      </c>
      <c r="AM177" s="310" t="s">
        <v>682</v>
      </c>
      <c r="AP177" t="s">
        <v>683</v>
      </c>
      <c r="AQ177" s="307" t="s">
        <v>675</v>
      </c>
      <c r="AR177" s="310" t="s">
        <v>676</v>
      </c>
      <c r="AS177" s="310" t="s">
        <v>681</v>
      </c>
      <c r="AT177" s="310" t="s">
        <v>682</v>
      </c>
      <c r="AV177" s="314" t="s">
        <v>3634</v>
      </c>
      <c r="AW177" s="314" t="s">
        <v>3635</v>
      </c>
      <c r="AX177" s="314" t="s">
        <v>3636</v>
      </c>
      <c r="AY177" t="s">
        <v>684</v>
      </c>
      <c r="AZ177" s="307" t="s">
        <v>675</v>
      </c>
      <c r="BA177" s="310" t="s">
        <v>676</v>
      </c>
      <c r="BB177" s="310" t="s">
        <v>681</v>
      </c>
      <c r="BC177" s="310" t="s">
        <v>682</v>
      </c>
    </row>
    <row r="178" spans="17:51" ht="12.75">
      <c r="Q178">
        <v>1</v>
      </c>
      <c r="R178">
        <f t="shared" si="1" ref="R178:R209">$Q$178</f>
        <v>1</v>
      </c>
      <c r="S178" s="370" t="e">
        <f t="shared" si="2" ref="S178:S241">IF($B$38="P",Y178,IF($B$38="Z",IF(Z178&lt;&gt;"",Z178,""),IF($B$38="M",IF(AA178&lt;&gt;"",AA178,""),Y178)))</f>
        <v>#REF!</v>
      </c>
      <c r="T178" s="458" t="e">
        <f>IF($B$38="P",IF(#REF!&lt;&gt;"",#REF!,""),IF($B$38="Z",IF(#REF!&lt;&gt;"",#REF!,""),IF($B$38="M",IF(#REF!&lt;&gt;"",#REF!,""),"")))</f>
        <v>#REF!</v>
      </c>
      <c r="U178" s="458" t="e">
        <f>IF($B$38="P",IF(#REF!&lt;&gt;"",ABS(#REF!),""),IF($B$38="Z",IF(#REF!&lt;&gt;"",ABS(#REF!),""),IF($B$38="M",IF(#REF!&lt;&gt;"",ABS(#REF!),""),"")))</f>
        <v>#REF!</v>
      </c>
      <c r="V178" s="458" t="e">
        <f>IF($B$38="P",IF(#REF!&lt;&gt;"",#REF!,""),IF($B$38="Z",IF(#REF!&lt;&gt;"",#REF!,""),IF($B$38="M",IF(#REF!&lt;&gt;"",#REF!,""),"")))</f>
        <v>#REF!</v>
      </c>
      <c r="W178" s="458" t="e">
        <f>IF($B$38="P",IF(#REF!&lt;&gt;"",#REF!,""),IF($B$38="Z",IF(#REF!&lt;&gt;"",#REF!,""),IF($B$38="M",IF(#REF!&lt;&gt;"",#REF!,""),"")))</f>
        <v>#REF!</v>
      </c>
      <c r="Y178">
        <v>1</v>
      </c>
      <c r="Z178">
        <v>1</v>
      </c>
      <c r="AA178">
        <v>1</v>
      </c>
      <c r="AB178">
        <f t="shared" si="3" ref="AB178:AB209">$AB$176</f>
        <v>1</v>
      </c>
      <c r="AC178" s="370" t="e">
        <f>IF($B$38="P",AG178,IF(AH178&lt;&gt;"",AH178,""))</f>
        <v>#REF!</v>
      </c>
      <c r="AD178" s="458" t="e">
        <f>IF($B$38="P",IF(#REF!&lt;&gt;"",#REF!,""),IF(#REF!&lt;&gt;"",#REF!,""))</f>
        <v>#REF!</v>
      </c>
      <c r="AE178" s="458" t="e">
        <f>IF($B$38="P",IF(#REF!&lt;&gt;"",#REF!,""),IF(#REF!&lt;&gt;"",#REF!,""))</f>
        <v>#REF!</v>
      </c>
      <c r="AG178">
        <v>1</v>
      </c>
      <c r="AH178">
        <v>1</v>
      </c>
      <c r="AI178">
        <v>1</v>
      </c>
      <c r="AP178">
        <v>1</v>
      </c>
      <c r="AQ178">
        <f t="shared" si="4" ref="AQ178:AQ209">$AP$178</f>
        <v>1</v>
      </c>
      <c r="AR178" s="457" t="e">
        <f t="shared" si="5" ref="AR178:AR241">IF($B$38="P",AV178,IF($B$38="Z",IF(AW178&lt;&gt;"",AW178,""),IF($B$38="M",IF(AX178&lt;&gt;"",AX178,""),AV178)))</f>
        <v>#REF!</v>
      </c>
      <c r="AS178" s="458" t="e">
        <f>IF($B$38="P",IF(#REF!&lt;&gt;"",#REF!,""),IF($B$38="Z",IF(#REF!&lt;&gt;"",#REF!,""),IF($B$38="M",IF(#REF!&lt;&gt;"",#REF!,""),"")))</f>
        <v>#REF!</v>
      </c>
      <c r="AT178" s="458" t="e">
        <f>IF($B$38="P",IF(#REF!&lt;&gt;"",#REF!,""),IF($B$38="Z",IF(#REF!&lt;&gt;"",#REF!,""),IF($B$38="M",IF(#REF!&lt;&gt;"",#REF!,""),"")))</f>
        <v>#REF!</v>
      </c>
      <c r="AV178">
        <v>1</v>
      </c>
      <c r="AW178">
        <v>1</v>
      </c>
      <c r="AX178">
        <v>1</v>
      </c>
      <c r="AY178">
        <v>1</v>
      </c>
    </row>
    <row r="179" spans="18:50" ht="12.75">
      <c r="R179">
        <f t="shared" si="1"/>
        <v>1</v>
      </c>
      <c r="S179" s="457" t="e">
        <f t="shared" si="2"/>
        <v>#REF!</v>
      </c>
      <c r="T179" s="458" t="e">
        <f>IF($B$38="P",IF(#REF!&lt;&gt;"",#REF!,""),IF($B$38="Z",IF(#REF!&lt;&gt;"",#REF!,""),IF($B$38="M",IF(#REF!&lt;&gt;"",#REF!,""),"")))</f>
        <v>#REF!</v>
      </c>
      <c r="U179" s="458" t="e">
        <f>IF($B$38="P",IF(#REF!&lt;&gt;"",ABS(#REF!),""),IF($B$38="Z",IF(#REF!&lt;&gt;"",ABS(#REF!),""),IF($B$38="M",IF(#REF!&lt;&gt;"",ABS(#REF!),""),"")))</f>
        <v>#REF!</v>
      </c>
      <c r="V179" s="458" t="e">
        <f>IF($B$38="P",IF(#REF!&lt;&gt;"",#REF!,""),IF($B$38="Z",IF(#REF!&lt;&gt;"",#REF!,""),IF($B$38="M",IF(#REF!&lt;&gt;"",#REF!,""),"")))</f>
        <v>#REF!</v>
      </c>
      <c r="W179" s="458" t="e">
        <f>IF($B$38="P",IF(#REF!&lt;&gt;"",#REF!,""),IF($B$38="Z",IF(#REF!&lt;&gt;"",#REF!,""),IF($B$38="M",IF(#REF!&lt;&gt;"",#REF!,""),"")))</f>
        <v>#REF!</v>
      </c>
      <c r="Y179">
        <v>2</v>
      </c>
      <c r="Z179">
        <v>2</v>
      </c>
      <c r="AA179">
        <v>2</v>
      </c>
      <c r="AB179">
        <f t="shared" si="3"/>
        <v>1</v>
      </c>
      <c r="AC179" s="457" t="e">
        <f t="shared" si="6" ref="AC179:AC233">IF($B$38="P",AG179,IF(AH179&lt;&gt;"",AH179,""))</f>
        <v>#REF!</v>
      </c>
      <c r="AD179" s="458" t="e">
        <f>IF($B$38="P",IF(#REF!&lt;&gt;"",#REF!,""),IF(#REF!&lt;&gt;"",#REF!,""))</f>
        <v>#REF!</v>
      </c>
      <c r="AE179" s="458" t="e">
        <f>IF($B$38="P",IF(#REF!&lt;&gt;"",#REF!,""),IF(#REF!&lt;&gt;"",#REF!,""))</f>
        <v>#REF!</v>
      </c>
      <c r="AG179">
        <v>2</v>
      </c>
      <c r="AH179">
        <v>2</v>
      </c>
      <c r="AQ179">
        <f t="shared" si="4"/>
        <v>1</v>
      </c>
      <c r="AR179" s="370" t="e">
        <f t="shared" si="5"/>
        <v>#REF!</v>
      </c>
      <c r="AS179" s="458" t="e">
        <f>IF($B$38="P",IF(#REF!&lt;&gt;"",#REF!,""),IF($B$38="Z",IF(#REF!&lt;&gt;"",#REF!,""),IF($B$38="M",IF(#REF!&lt;&gt;"",#REF!,""),"")))</f>
        <v>#REF!</v>
      </c>
      <c r="AT179" s="458" t="e">
        <f>IF($B$38="P",IF(#REF!&lt;&gt;"",#REF!,""),IF($B$38="Z",IF(#REF!&lt;&gt;"",#REF!,""),IF($B$38="M",IF(#REF!&lt;&gt;"",#REF!,""),"")))</f>
        <v>#REF!</v>
      </c>
      <c r="AV179">
        <v>2</v>
      </c>
      <c r="AW179">
        <v>2</v>
      </c>
      <c r="AX179">
        <v>2</v>
      </c>
    </row>
    <row r="180" spans="17:50" ht="12.75">
      <c r="Q180" s="1"/>
      <c r="R180" s="375">
        <f t="shared" si="1"/>
        <v>1</v>
      </c>
      <c r="S180" s="457" t="e">
        <f t="shared" si="2"/>
        <v>#REF!</v>
      </c>
      <c r="T180" s="458" t="e">
        <f>IF($B$38="P",IF(#REF!&lt;&gt;"",#REF!,""),IF($B$38="Z",IF(#REF!&lt;&gt;"",#REF!,""),IF($B$38="M",IF(#REF!&lt;&gt;"",#REF!,""),"")))</f>
        <v>#REF!</v>
      </c>
      <c r="U180" s="458" t="e">
        <f>IF($B$38="P",IF(#REF!&lt;&gt;"",ABS(#REF!),""),IF($B$38="Z",IF(#REF!&lt;&gt;"",ABS(#REF!),""),IF($B$38="M",IF(#REF!&lt;&gt;"",ABS(#REF!),""),"")))</f>
        <v>#REF!</v>
      </c>
      <c r="V180" s="458" t="e">
        <f>IF($B$38="P",IF(#REF!&lt;&gt;"",#REF!,""),IF($B$38="Z",IF(#REF!&lt;&gt;"",#REF!,""),IF($B$38="M",IF(#REF!&lt;&gt;"",#REF!,""),"")))</f>
        <v>#REF!</v>
      </c>
      <c r="W180" s="458" t="e">
        <f>IF($B$38="P",IF(#REF!&lt;&gt;"",#REF!,""),IF($B$38="Z",IF(#REF!&lt;&gt;"",#REF!,""),IF($B$38="M",IF(#REF!&lt;&gt;"",#REF!,""),"")))</f>
        <v>#REF!</v>
      </c>
      <c r="Y180">
        <v>3</v>
      </c>
      <c r="Z180">
        <v>3</v>
      </c>
      <c r="AA180">
        <v>3</v>
      </c>
      <c r="AB180">
        <f t="shared" si="3"/>
        <v>1</v>
      </c>
      <c r="AC180" s="457" t="e">
        <f t="shared" si="6"/>
        <v>#REF!</v>
      </c>
      <c r="AD180" s="458" t="e">
        <f>IF($B$38="P",IF(#REF!&lt;&gt;"",#REF!,""),IF(#REF!&lt;&gt;"",#REF!,""))</f>
        <v>#REF!</v>
      </c>
      <c r="AE180" s="458" t="e">
        <f>IF($B$38="P",IF(#REF!&lt;&gt;"",#REF!,""),IF(#REF!&lt;&gt;"",#REF!,""))</f>
        <v>#REF!</v>
      </c>
      <c r="AG180">
        <v>3</v>
      </c>
      <c r="AH180">
        <v>3</v>
      </c>
      <c r="AQ180">
        <f t="shared" si="4"/>
        <v>1</v>
      </c>
      <c r="AR180" s="457" t="e">
        <f t="shared" si="5"/>
        <v>#REF!</v>
      </c>
      <c r="AS180" s="458" t="e">
        <f>IF($B$38="P",IF(#REF!&lt;&gt;"",#REF!,""),IF($B$38="Z",IF(#REF!&lt;&gt;"",#REF!,""),IF($B$38="M",IF(#REF!&lt;&gt;"",#REF!,""),"")))</f>
        <v>#REF!</v>
      </c>
      <c r="AT180" s="458" t="e">
        <f>IF($B$38="P",IF(#REF!&lt;&gt;"",#REF!,""),IF($B$38="Z",IF(#REF!&lt;&gt;"",#REF!,""),IF($B$38="M",IF(#REF!&lt;&gt;"",#REF!,""),"")))</f>
        <v>#REF!</v>
      </c>
      <c r="AV180">
        <v>3</v>
      </c>
      <c r="AW180">
        <v>3</v>
      </c>
      <c r="AX180">
        <v>24</v>
      </c>
    </row>
    <row r="181" spans="18:50" ht="12.75">
      <c r="R181">
        <f t="shared" si="1"/>
        <v>1</v>
      </c>
      <c r="S181" s="457" t="e">
        <f t="shared" si="2"/>
        <v>#REF!</v>
      </c>
      <c r="T181" s="458" t="e">
        <f>IF($B$38="P",IF(#REF!&lt;&gt;"",#REF!,""),IF($B$38="Z",IF(#REF!&lt;&gt;"",#REF!,""),IF($B$38="M",IF(#REF!&lt;&gt;"",#REF!,""),"")))</f>
        <v>#REF!</v>
      </c>
      <c r="U181" s="458" t="e">
        <f>IF($B$38="P",IF(#REF!&lt;&gt;"",ABS(#REF!),""),IF($B$38="Z",IF(#REF!&lt;&gt;"",ABS(#REF!),""),IF($B$38="M",IF(#REF!&lt;&gt;"",ABS(#REF!),""),"")))</f>
        <v>#REF!</v>
      </c>
      <c r="V181" s="458" t="e">
        <f>IF($B$38="P",IF(#REF!&lt;&gt;"",#REF!,""),IF($B$38="Z",IF(#REF!&lt;&gt;"",#REF!,""),IF($B$38="M",IF(#REF!&lt;&gt;"",#REF!,""),"")))</f>
        <v>#REF!</v>
      </c>
      <c r="W181" s="458" t="e">
        <f>IF($B$38="P",IF(#REF!&lt;&gt;"",#REF!,""),IF($B$38="Z",IF(#REF!&lt;&gt;"",#REF!,""),IF($B$38="M",IF(#REF!&lt;&gt;"",#REF!,""),"")))</f>
        <v>#REF!</v>
      </c>
      <c r="Y181">
        <v>4</v>
      </c>
      <c r="Z181">
        <v>4</v>
      </c>
      <c r="AA181">
        <v>37</v>
      </c>
      <c r="AB181">
        <f t="shared" si="3"/>
        <v>1</v>
      </c>
      <c r="AC181" s="457" t="e">
        <f t="shared" si="6"/>
        <v>#REF!</v>
      </c>
      <c r="AD181" s="458" t="e">
        <f>IF($B$38="P",IF(#REF!&lt;&gt;"",#REF!,""),IF(#REF!&lt;&gt;"",#REF!,""))</f>
        <v>#REF!</v>
      </c>
      <c r="AE181" s="458" t="e">
        <f>IF($B$38="P",IF(#REF!&lt;&gt;"",#REF!,""),IF(#REF!&lt;&gt;"",#REF!,""))</f>
        <v>#REF!</v>
      </c>
      <c r="AG181">
        <v>4</v>
      </c>
      <c r="AH181">
        <v>7</v>
      </c>
      <c r="AQ181">
        <f t="shared" si="4"/>
        <v>1</v>
      </c>
      <c r="AR181" s="457" t="e">
        <f t="shared" si="5"/>
        <v>#REF!</v>
      </c>
      <c r="AS181" s="458" t="e">
        <f>IF($B$38="P",IF(#REF!&lt;&gt;"",#REF!,""),IF($B$38="Z",IF(#REF!&lt;&gt;"",#REF!,""),IF($B$38="M",IF(#REF!&lt;&gt;"",#REF!,""),"")))</f>
        <v>#REF!</v>
      </c>
      <c r="AT181" s="458" t="e">
        <f>IF($B$38="P",IF(#REF!&lt;&gt;"",#REF!,""),IF($B$38="Z",IF(#REF!&lt;&gt;"",#REF!,""),IF($B$38="M",IF(#REF!&lt;&gt;"",#REF!,""),"")))</f>
        <v>#REF!</v>
      </c>
      <c r="AV181">
        <v>4</v>
      </c>
      <c r="AW181">
        <v>7</v>
      </c>
      <c r="AX181">
        <v>25</v>
      </c>
    </row>
    <row r="182" spans="18:50" ht="12.75">
      <c r="R182">
        <f t="shared" si="1"/>
        <v>1</v>
      </c>
      <c r="S182" s="457" t="e">
        <f t="shared" si="2"/>
        <v>#REF!</v>
      </c>
      <c r="T182" s="458" t="e">
        <f>IF($B$38="P",IF(#REF!&lt;&gt;"",#REF!,""),IF($B$38="Z",IF(#REF!&lt;&gt;"",#REF!,""),IF($B$38="M",IF(#REF!&lt;&gt;"",#REF!,""),"")))</f>
        <v>#REF!</v>
      </c>
      <c r="U182" s="458" t="e">
        <f>IF($B$38="P",IF(#REF!&lt;&gt;"",ABS(#REF!),""),IF($B$38="Z",IF(#REF!&lt;&gt;"",ABS(#REF!),""),IF($B$38="M",IF(#REF!&lt;&gt;"",ABS(#REF!),""),"")))</f>
        <v>#REF!</v>
      </c>
      <c r="V182" s="458" t="e">
        <f>IF($B$38="P",IF(#REF!&lt;&gt;"",#REF!,""),IF($B$38="Z",IF(#REF!&lt;&gt;"",#REF!,""),IF($B$38="M",IF(#REF!&lt;&gt;"",#REF!,""),"")))</f>
        <v>#REF!</v>
      </c>
      <c r="W182" s="458" t="e">
        <f>IF($B$38="P",IF(#REF!&lt;&gt;"",#REF!,""),IF($B$38="Z",IF(#REF!&lt;&gt;"",#REF!,""),IF($B$38="M",IF(#REF!&lt;&gt;"",#REF!,""),"")))</f>
        <v>#REF!</v>
      </c>
      <c r="Y182">
        <v>5</v>
      </c>
      <c r="Z182">
        <v>14</v>
      </c>
      <c r="AA182">
        <v>74</v>
      </c>
      <c r="AB182">
        <f t="shared" si="3"/>
        <v>1</v>
      </c>
      <c r="AC182" s="457" t="e">
        <f t="shared" si="6"/>
        <v>#REF!</v>
      </c>
      <c r="AD182" s="458" t="e">
        <f>IF($B$38="P",IF(#REF!&lt;&gt;"",#REF!,""),IF(#REF!&lt;&gt;"",#REF!,""))</f>
        <v>#REF!</v>
      </c>
      <c r="AE182" s="458" t="e">
        <f>IF($B$38="P",IF(#REF!&lt;&gt;"",#REF!,""),IF(#REF!&lt;&gt;"",#REF!,""))</f>
        <v>#REF!</v>
      </c>
      <c r="AG182">
        <v>5</v>
      </c>
      <c r="AH182">
        <v>8</v>
      </c>
      <c r="AQ182">
        <f t="shared" si="4"/>
        <v>1</v>
      </c>
      <c r="AR182" s="457" t="e">
        <f t="shared" si="5"/>
        <v>#REF!</v>
      </c>
      <c r="AS182" s="458" t="e">
        <f>IF($B$38="P",IF(#REF!&lt;&gt;"",#REF!,""),IF($B$38="Z",IF(#REF!&lt;&gt;"",#REF!,""),IF($B$38="M",IF(#REF!&lt;&gt;"",#REF!,""),"")))</f>
        <v>#REF!</v>
      </c>
      <c r="AT182" s="458" t="e">
        <f>IF($B$38="P",IF(#REF!&lt;&gt;"",#REF!,""),IF($B$38="Z",IF(#REF!&lt;&gt;"",#REF!,""),IF($B$38="M",IF(#REF!&lt;&gt;"",#REF!,""),"")))</f>
        <v>#REF!</v>
      </c>
      <c r="AV182">
        <v>5</v>
      </c>
      <c r="AW182">
        <v>15</v>
      </c>
      <c r="AX182">
        <v>30</v>
      </c>
    </row>
    <row r="183" spans="18:50" ht="12.75">
      <c r="R183">
        <f t="shared" si="1"/>
        <v>1</v>
      </c>
      <c r="S183" s="457" t="e">
        <f t="shared" si="2"/>
        <v>#REF!</v>
      </c>
      <c r="T183" s="458" t="e">
        <f>IF($B$38="P",IF(#REF!&lt;&gt;"",#REF!,""),IF($B$38="Z",IF(#REF!&lt;&gt;"",#REF!,""),""))</f>
        <v>#REF!</v>
      </c>
      <c r="U183" s="458" t="e">
        <f>IF($B$38="P",IF(#REF!&lt;&gt;"",ABS(#REF!),""),IF($B$38="Z",IF(#REF!&lt;&gt;"",ABS(#REF!),""),""))</f>
        <v>#REF!</v>
      </c>
      <c r="V183" s="458" t="e">
        <f>IF($B$38="P",IF(#REF!&lt;&gt;"",#REF!,""),IF($B$38="Z",IF(#REF!&lt;&gt;"",#REF!,""),""))</f>
        <v>#REF!</v>
      </c>
      <c r="W183" s="458" t="e">
        <f>IF($B$38="P",IF(#REF!&lt;&gt;"",#REF!,""),IF($B$38="Z",IF(#REF!&lt;&gt;"",#REF!,""),""))</f>
        <v>#REF!</v>
      </c>
      <c r="Y183">
        <v>6</v>
      </c>
      <c r="Z183">
        <v>27</v>
      </c>
      <c r="AB183">
        <f t="shared" si="3"/>
        <v>1</v>
      </c>
      <c r="AC183" s="457" t="e">
        <f t="shared" si="6"/>
        <v>#REF!</v>
      </c>
      <c r="AD183" s="458" t="e">
        <f>IF($B$38="P",IF(#REF!&lt;&gt;"",#REF!,""),IF(#REF!&lt;&gt;"",#REF!,""))</f>
        <v>#REF!</v>
      </c>
      <c r="AE183" s="458" t="e">
        <f>IF($B$38="P",IF(#REF!&lt;&gt;"",#REF!,""),IF(#REF!&lt;&gt;"",#REF!,""))</f>
        <v>#REF!</v>
      </c>
      <c r="AG183">
        <v>6</v>
      </c>
      <c r="AH183">
        <v>9</v>
      </c>
      <c r="AQ183">
        <f t="shared" si="4"/>
        <v>1</v>
      </c>
      <c r="AR183" s="457" t="e">
        <f t="shared" si="5"/>
        <v>#REF!</v>
      </c>
      <c r="AS183" s="458" t="e">
        <f>IF($B$38="P",IF(#REF!&lt;&gt;"",#REF!,""),IF($B$38="Z",IF(#REF!&lt;&gt;"",#REF!,""),IF($B$38="M",IF(#REF!&lt;&gt;"",#REF!,""),"")))</f>
        <v>#REF!</v>
      </c>
      <c r="AT183" s="458" t="e">
        <f>IF($B$38="P",IF(#REF!&lt;&gt;"",#REF!,""),IF($B$38="Z",IF(#REF!&lt;&gt;"",#REF!,""),IF($B$38="M",IF(#REF!&lt;&gt;"",#REF!,""),"")))</f>
        <v>#REF!</v>
      </c>
      <c r="AV183">
        <v>6</v>
      </c>
      <c r="AW183">
        <v>18</v>
      </c>
      <c r="AX183">
        <v>64</v>
      </c>
    </row>
    <row r="184" spans="18:49" ht="12.75">
      <c r="R184">
        <f t="shared" si="1"/>
        <v>1</v>
      </c>
      <c r="S184" s="457" t="e">
        <f t="shared" si="2"/>
        <v>#REF!</v>
      </c>
      <c r="T184" s="458" t="e">
        <f>IF($B$38="P",IF(#REF!&lt;&gt;"",#REF!,""),IF($B$38="Z",IF(#REF!&lt;&gt;"",#REF!,""),""))</f>
        <v>#REF!</v>
      </c>
      <c r="U184" s="458" t="e">
        <f>IF($B$38="P",IF(#REF!&lt;&gt;"",ABS(#REF!),""),IF($B$38="Z",IF(#REF!&lt;&gt;"",ABS(#REF!),""),""))</f>
        <v>#REF!</v>
      </c>
      <c r="V184" s="458" t="e">
        <f>IF($B$38="P",IF(#REF!&lt;&gt;"",#REF!,""),IF($B$38="Z",IF(#REF!&lt;&gt;"",#REF!,""),""))</f>
        <v>#REF!</v>
      </c>
      <c r="W184" s="458" t="e">
        <f>IF($B$38="P",IF(#REF!&lt;&gt;"",#REF!,""),IF($B$38="Z",IF(#REF!&lt;&gt;"",#REF!,""),""))</f>
        <v>#REF!</v>
      </c>
      <c r="Y184">
        <v>7</v>
      </c>
      <c r="Z184">
        <v>37</v>
      </c>
      <c r="AB184">
        <f t="shared" si="3"/>
        <v>1</v>
      </c>
      <c r="AC184" s="457" t="e">
        <f t="shared" si="6"/>
        <v>#REF!</v>
      </c>
      <c r="AD184" s="458" t="e">
        <f>IF($B$38="P",IF(#REF!&lt;&gt;"",#REF!,""),IF(#REF!&lt;&gt;"",#REF!,""))</f>
        <v>#REF!</v>
      </c>
      <c r="AE184" s="458" t="e">
        <f>IF($B$38="P",IF(#REF!&lt;&gt;"",#REF!,""),IF(#REF!&lt;&gt;"",#REF!,""))</f>
        <v>#REF!</v>
      </c>
      <c r="AG184">
        <v>7</v>
      </c>
      <c r="AH184">
        <v>14</v>
      </c>
      <c r="AQ184">
        <f t="shared" si="4"/>
        <v>1</v>
      </c>
      <c r="AR184" s="457" t="e">
        <f t="shared" si="5"/>
        <v>#REF!</v>
      </c>
      <c r="AS184" s="458" t="e">
        <f>IF($B$38="P",IF(#REF!&lt;&gt;"",#REF!,""),IF($B$38="Z",IF(#REF!&lt;&gt;"",#REF!,""),""))</f>
        <v>#REF!</v>
      </c>
      <c r="AT184" s="458" t="e">
        <f>IF($B$38="P",IF(#REF!&lt;&gt;"",#REF!,""),IF($B$38="Z",IF(#REF!&lt;&gt;"",#REF!,""),""))</f>
        <v>#REF!</v>
      </c>
      <c r="AV184">
        <v>7</v>
      </c>
      <c r="AW184">
        <v>22</v>
      </c>
    </row>
    <row r="185" spans="18:49" ht="12.75">
      <c r="R185">
        <f t="shared" si="1"/>
        <v>1</v>
      </c>
      <c r="S185" s="457" t="e">
        <f t="shared" si="2"/>
        <v>#REF!</v>
      </c>
      <c r="T185" s="458" t="e">
        <f>IF($B$38="P",IF(#REF!&lt;&gt;"",#REF!,""),IF($B$38="Z",IF(#REF!&lt;&gt;"",#REF!,""),""))</f>
        <v>#REF!</v>
      </c>
      <c r="U185" s="458" t="e">
        <f>IF($B$38="P",IF(#REF!&lt;&gt;"",ABS(#REF!),""),IF($B$38="Z",IF(#REF!&lt;&gt;"",ABS(#REF!),""),""))</f>
        <v>#REF!</v>
      </c>
      <c r="V185" s="458" t="e">
        <f>IF($B$38="P",IF(#REF!&lt;&gt;"",#REF!,""),IF($B$38="Z",IF(#REF!&lt;&gt;"",#REF!,""),""))</f>
        <v>#REF!</v>
      </c>
      <c r="W185" s="458" t="e">
        <f>IF($B$38="P",IF(#REF!&lt;&gt;"",#REF!,""),IF($B$38="Z",IF(#REF!&lt;&gt;"",#REF!,""),""))</f>
        <v>#REF!</v>
      </c>
      <c r="Y185">
        <v>8</v>
      </c>
      <c r="Z185">
        <v>38</v>
      </c>
      <c r="AB185">
        <f t="shared" si="3"/>
        <v>1</v>
      </c>
      <c r="AC185" s="457" t="e">
        <f t="shared" si="6"/>
        <v>#REF!</v>
      </c>
      <c r="AD185" s="458" t="e">
        <f>IF($B$38="P",IF(#REF!&lt;&gt;"",#REF!,""),IF(#REF!&lt;&gt;"",#REF!,""))</f>
        <v>#REF!</v>
      </c>
      <c r="AE185" s="458" t="e">
        <f>IF($B$38="P",IF(#REF!&lt;&gt;"",#REF!,""),IF(#REF!&lt;&gt;"",#REF!,""))</f>
        <v>#REF!</v>
      </c>
      <c r="AG185">
        <v>8</v>
      </c>
      <c r="AH185">
        <v>20</v>
      </c>
      <c r="AQ185">
        <f t="shared" si="4"/>
        <v>1</v>
      </c>
      <c r="AR185" s="457" t="e">
        <f t="shared" si="5"/>
        <v>#REF!</v>
      </c>
      <c r="AS185" s="458" t="e">
        <f>IF($B$38="P",IF(#REF!&lt;&gt;"",#REF!,""),IF($B$38="Z",IF(#REF!&lt;&gt;"",#REF!,""),""))</f>
        <v>#REF!</v>
      </c>
      <c r="AT185" s="458" t="e">
        <f>IF($B$38="P",IF(#REF!&lt;&gt;"",#REF!,""),IF($B$38="Z",IF(#REF!&lt;&gt;"",#REF!,""),""))</f>
        <v>#REF!</v>
      </c>
      <c r="AV185">
        <v>8</v>
      </c>
      <c r="AW185">
        <v>23</v>
      </c>
    </row>
    <row r="186" spans="18:49" ht="12.75">
      <c r="R186">
        <f t="shared" si="1"/>
        <v>1</v>
      </c>
      <c r="S186" s="457" t="e">
        <f t="shared" si="2"/>
        <v>#REF!</v>
      </c>
      <c r="T186" s="458" t="e">
        <f>IF($B$38="P",IF(#REF!&lt;&gt;"",#REF!,""),IF($B$38="Z",IF(#REF!&lt;&gt;"",#REF!,""),""))</f>
        <v>#REF!</v>
      </c>
      <c r="U186" s="458" t="e">
        <f>IF($B$38="P",IF(#REF!&lt;&gt;"",ABS(#REF!),""),IF($B$38="Z",IF(#REF!&lt;&gt;"",ABS(#REF!),""),""))</f>
        <v>#REF!</v>
      </c>
      <c r="V186" s="458" t="e">
        <f>IF($B$38="P",IF(#REF!&lt;&gt;"",#REF!,""),IF($B$38="Z",IF(#REF!&lt;&gt;"",#REF!,""),""))</f>
        <v>#REF!</v>
      </c>
      <c r="W186" s="458" t="e">
        <f>IF($B$38="P",IF(#REF!&lt;&gt;"",#REF!,""),IF($B$38="Z",IF(#REF!&lt;&gt;"",#REF!,""),""))</f>
        <v>#REF!</v>
      </c>
      <c r="Y186">
        <v>9</v>
      </c>
      <c r="Z186">
        <v>46</v>
      </c>
      <c r="AB186">
        <f t="shared" si="3"/>
        <v>1</v>
      </c>
      <c r="AC186" s="457" t="e">
        <f t="shared" si="6"/>
        <v>#REF!</v>
      </c>
      <c r="AD186" s="458" t="e">
        <f>IF($B$38="P",IF(#REF!&lt;&gt;"",#REF!,""),IF(#REF!&lt;&gt;"",#REF!,""))</f>
        <v>#REF!</v>
      </c>
      <c r="AE186" s="458" t="e">
        <f>IF($B$38="P",IF(#REF!&lt;&gt;"",#REF!,""),IF(#REF!&lt;&gt;"",#REF!,""))</f>
        <v>#REF!</v>
      </c>
      <c r="AG186">
        <v>9</v>
      </c>
      <c r="AH186">
        <v>24</v>
      </c>
      <c r="AQ186">
        <f t="shared" si="4"/>
        <v>1</v>
      </c>
      <c r="AR186" s="457" t="e">
        <f t="shared" si="5"/>
        <v>#REF!</v>
      </c>
      <c r="AS186" s="458" t="e">
        <f>IF($B$38="P",IF(#REF!&lt;&gt;"",#REF!,""),IF($B$38="Z",IF(#REF!&lt;&gt;"",#REF!,""),""))</f>
        <v>#REF!</v>
      </c>
      <c r="AT186" s="458" t="e">
        <f>IF($B$38="P",IF(#REF!&lt;&gt;"",#REF!,""),IF($B$38="Z",IF(#REF!&lt;&gt;"",#REF!,""),""))</f>
        <v>#REF!</v>
      </c>
      <c r="AV186">
        <v>9</v>
      </c>
      <c r="AW186">
        <v>24</v>
      </c>
    </row>
    <row r="187" spans="18:49" ht="12.75">
      <c r="R187">
        <f t="shared" si="1"/>
        <v>1</v>
      </c>
      <c r="S187" s="457" t="e">
        <f t="shared" si="2"/>
        <v>#REF!</v>
      </c>
      <c r="T187" s="458" t="e">
        <f>IF($B$38="P",IF(#REF!&lt;&gt;"",#REF!,""),IF($B$38="Z",IF(#REF!&lt;&gt;"",#REF!,""),""))</f>
        <v>#REF!</v>
      </c>
      <c r="U187" s="458" t="e">
        <f>IF($B$38="P",IF(#REF!&lt;&gt;"",ABS(#REF!),""),IF($B$38="Z",IF(#REF!&lt;&gt;"",ABS(#REF!),""),""))</f>
        <v>#REF!</v>
      </c>
      <c r="V187" s="458" t="e">
        <f>IF($B$38="P",IF(#REF!&lt;&gt;"",#REF!,""),IF($B$38="Z",IF(#REF!&lt;&gt;"",#REF!,""),""))</f>
        <v>#REF!</v>
      </c>
      <c r="W187" s="458" t="e">
        <f>IF($B$38="P",IF(#REF!&lt;&gt;"",#REF!,""),IF($B$38="Z",IF(#REF!&lt;&gt;"",#REF!,""),""))</f>
        <v>#REF!</v>
      </c>
      <c r="Y187">
        <v>10</v>
      </c>
      <c r="Z187">
        <v>47</v>
      </c>
      <c r="AB187">
        <f t="shared" si="3"/>
        <v>1</v>
      </c>
      <c r="AC187" s="457" t="e">
        <f t="shared" si="6"/>
        <v>#REF!</v>
      </c>
      <c r="AD187" s="458" t="e">
        <f>IF($B$38="P",IF(#REF!&lt;&gt;"",#REF!,""),IF(#REF!&lt;&gt;"",#REF!,""))</f>
        <v>#REF!</v>
      </c>
      <c r="AE187" s="458" t="e">
        <f>IF($B$38="P",IF(#REF!&lt;&gt;"",#REF!,""),IF(#REF!&lt;&gt;"",#REF!,""))</f>
        <v>#REF!</v>
      </c>
      <c r="AG187">
        <v>10</v>
      </c>
      <c r="AH187">
        <v>30</v>
      </c>
      <c r="AQ187">
        <f t="shared" si="4"/>
        <v>1</v>
      </c>
      <c r="AR187" s="457" t="e">
        <f t="shared" si="5"/>
        <v>#REF!</v>
      </c>
      <c r="AS187" s="458" t="e">
        <f>IF($B$38="P",IF(#REF!&lt;&gt;"",#REF!,""),IF($B$38="Z",IF(#REF!&lt;&gt;"",#REF!,""),""))</f>
        <v>#REF!</v>
      </c>
      <c r="AT187" s="458" t="e">
        <f>IF($B$38="P",IF(#REF!&lt;&gt;"",#REF!,""),IF($B$38="Z",IF(#REF!&lt;&gt;"",#REF!,""),""))</f>
        <v>#REF!</v>
      </c>
      <c r="AV187">
        <v>10</v>
      </c>
      <c r="AW187">
        <v>25</v>
      </c>
    </row>
    <row r="188" spans="18:49" ht="12.75">
      <c r="R188">
        <f t="shared" si="1"/>
        <v>1</v>
      </c>
      <c r="S188" s="457" t="e">
        <f t="shared" si="2"/>
        <v>#REF!</v>
      </c>
      <c r="T188" s="458" t="e">
        <f>IF($B$38="P",IF(#REF!&lt;&gt;"",#REF!,""),IF($B$38="Z",IF(#REF!&lt;&gt;"",#REF!,""),""))</f>
        <v>#REF!</v>
      </c>
      <c r="U188" s="458" t="e">
        <f>IF($B$38="P",IF(#REF!&lt;&gt;"",ABS(#REF!),""),IF($B$38="Z",IF(#REF!&lt;&gt;"",ABS(#REF!),""),""))</f>
        <v>#REF!</v>
      </c>
      <c r="V188" s="458" t="e">
        <f>IF($B$38="P",IF(#REF!&lt;&gt;"",#REF!,""),IF($B$38="Z",IF(#REF!&lt;&gt;"",#REF!,""),""))</f>
        <v>#REF!</v>
      </c>
      <c r="W188" s="458" t="e">
        <f>IF($B$38="P",IF(#REF!&lt;&gt;"",#REF!,""),IF($B$38="Z",IF(#REF!&lt;&gt;"",#REF!,""),""))</f>
        <v>#REF!</v>
      </c>
      <c r="Y188">
        <v>11</v>
      </c>
      <c r="Z188">
        <v>57</v>
      </c>
      <c r="AB188">
        <f t="shared" si="3"/>
        <v>1</v>
      </c>
      <c r="AC188" s="457" t="e">
        <f t="shared" si="6"/>
        <v>#REF!</v>
      </c>
      <c r="AD188" s="458" t="e">
        <f>IF($B$38="P",IF(#REF!&lt;&gt;"",#REF!,""),IF(#REF!&lt;&gt;"",#REF!,""))</f>
        <v>#REF!</v>
      </c>
      <c r="AE188" s="458" t="e">
        <f>IF($B$38="P",IF(#REF!&lt;&gt;"",#REF!,""),IF(#REF!&lt;&gt;"",#REF!,""))</f>
        <v>#REF!</v>
      </c>
      <c r="AG188">
        <v>11</v>
      </c>
      <c r="AH188">
        <v>31</v>
      </c>
      <c r="AQ188">
        <f t="shared" si="4"/>
        <v>1</v>
      </c>
      <c r="AR188" s="457" t="e">
        <f t="shared" si="5"/>
        <v>#REF!</v>
      </c>
      <c r="AS188" s="458" t="e">
        <f>IF($B$38="P",IF(#REF!&lt;&gt;"",#REF!,""),IF($B$38="Z",IF(#REF!&lt;&gt;"",#REF!,""),""))</f>
        <v>#REF!</v>
      </c>
      <c r="AT188" s="458" t="e">
        <f>IF($B$38="P",IF(#REF!&lt;&gt;"",#REF!,""),IF($B$38="Z",IF(#REF!&lt;&gt;"",#REF!,""),""))</f>
        <v>#REF!</v>
      </c>
      <c r="AV188">
        <v>11</v>
      </c>
      <c r="AW188">
        <v>30</v>
      </c>
    </row>
    <row r="189" spans="18:49" ht="12.75">
      <c r="R189">
        <f t="shared" si="1"/>
        <v>1</v>
      </c>
      <c r="S189" s="457" t="e">
        <f t="shared" si="2"/>
        <v>#REF!</v>
      </c>
      <c r="T189" s="458" t="e">
        <f>IF($B$38="P",IF(#REF!&lt;&gt;"",#REF!,""),IF($B$38="Z",IF(#REF!&lt;&gt;"",#REF!,""),""))</f>
        <v>#REF!</v>
      </c>
      <c r="U189" s="458" t="e">
        <f>IF($B$38="P",IF(#REF!&lt;&gt;"",ABS(#REF!),""),IF($B$38="Z",IF(#REF!&lt;&gt;"",ABS(#REF!),""),""))</f>
        <v>#REF!</v>
      </c>
      <c r="V189" s="458" t="e">
        <f>IF($B$38="P",IF(#REF!&lt;&gt;"",#REF!,""),IF($B$38="Z",IF(#REF!&lt;&gt;"",#REF!,""),""))</f>
        <v>#REF!</v>
      </c>
      <c r="W189" s="458" t="e">
        <f>IF($B$38="P",IF(#REF!&lt;&gt;"",#REF!,""),IF($B$38="Z",IF(#REF!&lt;&gt;"",#REF!,""),""))</f>
        <v>#REF!</v>
      </c>
      <c r="Y189">
        <v>12</v>
      </c>
      <c r="Z189">
        <v>68</v>
      </c>
      <c r="AB189">
        <f t="shared" si="3"/>
        <v>1</v>
      </c>
      <c r="AC189" s="457" t="e">
        <f t="shared" si="6"/>
        <v>#REF!</v>
      </c>
      <c r="AD189" s="458" t="e">
        <f>IF($B$38="P",IF(#REF!&lt;&gt;"",#REF!,""),IF(#REF!&lt;&gt;"",#REF!,""))</f>
        <v>#REF!</v>
      </c>
      <c r="AE189" s="458" t="e">
        <f>IF($B$38="P",IF(#REF!&lt;&gt;"",#REF!,""),IF(#REF!&lt;&gt;"",#REF!,""))</f>
        <v>#REF!</v>
      </c>
      <c r="AG189">
        <v>12</v>
      </c>
      <c r="AH189">
        <v>34</v>
      </c>
      <c r="AQ189">
        <f t="shared" si="4"/>
        <v>1</v>
      </c>
      <c r="AR189" s="457" t="e">
        <f t="shared" si="5"/>
        <v>#REF!</v>
      </c>
      <c r="AS189" s="458" t="e">
        <f>IF($B$38="P",IF(#REF!&lt;&gt;"",#REF!,""),IF($B$38="Z",IF(#REF!&lt;&gt;"",#REF!,""),""))</f>
        <v>#REF!</v>
      </c>
      <c r="AT189" s="458" t="e">
        <f>IF($B$38="P",IF(#REF!&lt;&gt;"",#REF!,""),IF($B$38="Z",IF(#REF!&lt;&gt;"",#REF!,""),""))</f>
        <v>#REF!</v>
      </c>
      <c r="AV189">
        <v>12</v>
      </c>
      <c r="AW189">
        <v>31</v>
      </c>
    </row>
    <row r="190" spans="18:49" ht="12.75">
      <c r="R190">
        <f t="shared" si="1"/>
        <v>1</v>
      </c>
      <c r="S190" s="457" t="e">
        <f t="shared" si="2"/>
        <v>#REF!</v>
      </c>
      <c r="T190" s="458" t="e">
        <f>IF($B$38="P",IF(#REF!&lt;&gt;"",#REF!,""),IF($B$38="Z",IF(#REF!&lt;&gt;"",#REF!,""),""))</f>
        <v>#REF!</v>
      </c>
      <c r="U190" s="458" t="e">
        <f>IF($B$38="P",IF(#REF!&lt;&gt;"",ABS(#REF!),""),IF($B$38="Z",IF(#REF!&lt;&gt;"",ABS(#REF!),""),""))</f>
        <v>#REF!</v>
      </c>
      <c r="V190" s="458" t="e">
        <f>IF($B$38="P",IF(#REF!&lt;&gt;"",#REF!,""),IF($B$38="Z",IF(#REF!&lt;&gt;"",#REF!,""),""))</f>
        <v>#REF!</v>
      </c>
      <c r="W190" s="458" t="e">
        <f>IF($B$38="P",IF(#REF!&lt;&gt;"",#REF!,""),IF($B$38="Z",IF(#REF!&lt;&gt;"",#REF!,""),""))</f>
        <v>#REF!</v>
      </c>
      <c r="Y190">
        <v>13</v>
      </c>
      <c r="Z190">
        <v>71</v>
      </c>
      <c r="AB190">
        <f t="shared" si="3"/>
        <v>1</v>
      </c>
      <c r="AC190" s="457" t="e">
        <f t="shared" si="6"/>
        <v>#REF!</v>
      </c>
      <c r="AD190" s="458" t="e">
        <f>IF($B$38="P",IF(#REF!&lt;&gt;"",#REF!,""),IF(#REF!&lt;&gt;"",#REF!,""))</f>
        <v>#REF!</v>
      </c>
      <c r="AE190" s="458" t="e">
        <f>IF($B$38="P",IF(#REF!&lt;&gt;"",#REF!,""),IF(#REF!&lt;&gt;"",#REF!,""))</f>
        <v>#REF!</v>
      </c>
      <c r="AG190">
        <v>13</v>
      </c>
      <c r="AH190">
        <v>35</v>
      </c>
      <c r="AQ190">
        <f t="shared" si="4"/>
        <v>1</v>
      </c>
      <c r="AR190" s="457" t="e">
        <f t="shared" si="5"/>
        <v>#REF!</v>
      </c>
      <c r="AS190" s="458" t="e">
        <f>IF($B$38="P",IF(#REF!&lt;&gt;"",#REF!,""),IF($B$38="Z",IF(#REF!&lt;&gt;"",#REF!,""),""))</f>
        <v>#REF!</v>
      </c>
      <c r="AT190" s="458" t="e">
        <f>IF($B$38="P",IF(#REF!&lt;&gt;"",#REF!,""),IF($B$38="Z",IF(#REF!&lt;&gt;"",#REF!,""),""))</f>
        <v>#REF!</v>
      </c>
      <c r="AV190">
        <v>13</v>
      </c>
      <c r="AW190">
        <v>46</v>
      </c>
    </row>
    <row r="191" spans="18:49" ht="12.75">
      <c r="R191">
        <f t="shared" si="1"/>
        <v>1</v>
      </c>
      <c r="S191" s="457" t="e">
        <f t="shared" si="2"/>
        <v>#REF!</v>
      </c>
      <c r="T191" s="458" t="e">
        <f>IF($B$38="P",IF(#REF!&lt;&gt;"",#REF!,""),IF($B$38="Z",IF(#REF!&lt;&gt;"",#REF!,""),""))</f>
        <v>#REF!</v>
      </c>
      <c r="U191" s="458" t="e">
        <f>IF($B$38="P",IF(#REF!&lt;&gt;"",ABS(#REF!),""),IF($B$38="Z",IF(#REF!&lt;&gt;"",ABS(#REF!),""),""))</f>
        <v>#REF!</v>
      </c>
      <c r="V191" s="458" t="e">
        <f>IF($B$38="P",IF(#REF!&lt;&gt;"",#REF!,""),IF($B$38="Z",IF(#REF!&lt;&gt;"",#REF!,""),""))</f>
        <v>#REF!</v>
      </c>
      <c r="W191" s="458" t="e">
        <f>IF($B$38="P",IF(#REF!&lt;&gt;"",#REF!,""),IF($B$38="Z",IF(#REF!&lt;&gt;"",#REF!,""),""))</f>
        <v>#REF!</v>
      </c>
      <c r="Y191">
        <v>14</v>
      </c>
      <c r="Z191">
        <v>74</v>
      </c>
      <c r="AB191">
        <f t="shared" si="3"/>
        <v>1</v>
      </c>
      <c r="AC191" s="457" t="e">
        <f t="shared" si="6"/>
        <v>#REF!</v>
      </c>
      <c r="AD191" s="458" t="e">
        <f>IF($B$38="P",IF(#REF!&lt;&gt;"",#REF!,""),IF(#REF!&lt;&gt;"",#REF!,""))</f>
        <v>#REF!</v>
      </c>
      <c r="AE191" s="458" t="e">
        <f>IF($B$38="P",IF(#REF!&lt;&gt;"",#REF!,""),IF(#REF!&lt;&gt;"",#REF!,""))</f>
        <v>#REF!</v>
      </c>
      <c r="AG191">
        <v>14</v>
      </c>
      <c r="AH191">
        <v>38</v>
      </c>
      <c r="AQ191">
        <f t="shared" si="4"/>
        <v>1</v>
      </c>
      <c r="AR191" s="457" t="e">
        <f t="shared" si="5"/>
        <v>#REF!</v>
      </c>
      <c r="AS191" s="458" t="e">
        <f>IF($B$38="P",IF(#REF!&lt;&gt;"",#REF!,""),IF($B$38="Z",IF(#REF!&lt;&gt;"",#REF!,""),""))</f>
        <v>#REF!</v>
      </c>
      <c r="AT191" s="458" t="e">
        <f>IF($B$38="P",IF(#REF!&lt;&gt;"",#REF!,""),IF($B$38="Z",IF(#REF!&lt;&gt;"",#REF!,""),""))</f>
        <v>#REF!</v>
      </c>
      <c r="AV191">
        <v>14</v>
      </c>
      <c r="AW191">
        <v>64</v>
      </c>
    </row>
    <row r="192" spans="18:49" ht="12.75">
      <c r="R192">
        <f t="shared" si="1"/>
        <v>1</v>
      </c>
      <c r="S192" s="457" t="e">
        <f t="shared" si="2"/>
        <v>#REF!</v>
      </c>
      <c r="T192" s="458" t="e">
        <f>IF($B$38="P",IF(#REF!&lt;&gt;"",#REF!,""),"")</f>
        <v>#REF!</v>
      </c>
      <c r="U192" s="458" t="e">
        <f>IF($B$38="P",IF(#REF!&lt;&gt;"",ABS(#REF!),""),"")</f>
        <v>#REF!</v>
      </c>
      <c r="V192" s="458" t="e">
        <f>IF($B$38="P",IF(#REF!&lt;&gt;"",#REF!,""),"")</f>
        <v>#REF!</v>
      </c>
      <c r="W192" s="458" t="e">
        <f>IF($B$38="P",IF(#REF!&lt;&gt;"",#REF!,""),"")</f>
        <v>#REF!</v>
      </c>
      <c r="Y192">
        <v>15</v>
      </c>
      <c r="AB192">
        <f t="shared" si="3"/>
        <v>1</v>
      </c>
      <c r="AC192" s="457" t="e">
        <f t="shared" si="6"/>
        <v>#REF!</v>
      </c>
      <c r="AD192" s="458" t="e">
        <f>IF($B$38="P",IF(#REF!&lt;&gt;"",#REF!,""),IF(#REF!&lt;&gt;"",#REF!,""))</f>
        <v>#REF!</v>
      </c>
      <c r="AE192" s="458" t="e">
        <f>IF($B$38="P",IF(#REF!&lt;&gt;"",#REF!,""),IF(#REF!&lt;&gt;"",#REF!,""))</f>
        <v>#REF!</v>
      </c>
      <c r="AG192">
        <v>15</v>
      </c>
      <c r="AH192">
        <v>39</v>
      </c>
      <c r="AQ192">
        <f t="shared" si="4"/>
        <v>1</v>
      </c>
      <c r="AR192" s="457" t="e">
        <f t="shared" si="5"/>
        <v>#REF!</v>
      </c>
      <c r="AS192" s="458" t="e">
        <f>IF($B$38="P",IF(#REF!&lt;&gt;"",#REF!,""),"")</f>
        <v>#REF!</v>
      </c>
      <c r="AT192" s="458" t="e">
        <f>IF($B$38="P",IF(#REF!&lt;&gt;"",#REF!,""),"")</f>
        <v>#REF!</v>
      </c>
      <c r="AV192">
        <v>15</v>
      </c>
      <c r="AW192" s="378"/>
    </row>
    <row r="193" spans="18:49" ht="12.75">
      <c r="R193">
        <f t="shared" si="1"/>
        <v>1</v>
      </c>
      <c r="S193" s="457" t="e">
        <f t="shared" si="2"/>
        <v>#REF!</v>
      </c>
      <c r="T193" s="458" t="e">
        <f>IF($B$38="P",IF(#REF!&lt;&gt;"",#REF!,""),"")</f>
        <v>#REF!</v>
      </c>
      <c r="U193" s="458" t="e">
        <f>IF($B$38="P",IF(#REF!&lt;&gt;"",ABS(#REF!),""),"")</f>
        <v>#REF!</v>
      </c>
      <c r="V193" s="458" t="e">
        <f>IF($B$38="P",IF(#REF!&lt;&gt;"",#REF!,""),"")</f>
        <v>#REF!</v>
      </c>
      <c r="W193" s="458" t="e">
        <f>IF($B$38="P",IF(#REF!&lt;&gt;"",#REF!,""),"")</f>
        <v>#REF!</v>
      </c>
      <c r="Y193">
        <v>16</v>
      </c>
      <c r="AB193">
        <f t="shared" si="3"/>
        <v>1</v>
      </c>
      <c r="AC193" s="457" t="e">
        <f t="shared" si="6"/>
        <v>#REF!</v>
      </c>
      <c r="AD193" s="458" t="e">
        <f>IF($B$38="P",IF(#REF!&lt;&gt;"",#REF!,""),IF(#REF!&lt;&gt;"",#REF!,""))</f>
        <v>#REF!</v>
      </c>
      <c r="AE193" s="458" t="e">
        <f>IF($B$38="P",IF(#REF!&lt;&gt;"",#REF!,""),IF(#REF!&lt;&gt;"",#REF!,""))</f>
        <v>#REF!</v>
      </c>
      <c r="AG193">
        <v>16</v>
      </c>
      <c r="AH193">
        <v>42</v>
      </c>
      <c r="AQ193">
        <f t="shared" si="4"/>
        <v>1</v>
      </c>
      <c r="AR193" s="457" t="e">
        <f t="shared" si="5"/>
        <v>#REF!</v>
      </c>
      <c r="AS193" s="458" t="e">
        <f>IF($B$38="P",IF(#REF!&lt;&gt;"",#REF!,""),"")</f>
        <v>#REF!</v>
      </c>
      <c r="AT193" s="458" t="e">
        <f>IF($B$38="P",IF(#REF!&lt;&gt;"",#REF!,""),"")</f>
        <v>#REF!</v>
      </c>
      <c r="AV193">
        <v>16</v>
      </c>
      <c r="AW193" s="378"/>
    </row>
    <row r="194" spans="18:49" ht="12.75">
      <c r="R194">
        <f t="shared" si="1"/>
        <v>1</v>
      </c>
      <c r="S194" s="457" t="e">
        <f t="shared" si="2"/>
        <v>#REF!</v>
      </c>
      <c r="T194" s="458" t="e">
        <f>IF($B$38="P",IF(#REF!&lt;&gt;"",#REF!,""),"")</f>
        <v>#REF!</v>
      </c>
      <c r="U194" s="458" t="e">
        <f>IF($B$38="P",IF(#REF!&lt;&gt;"",ABS(#REF!),""),"")</f>
        <v>#REF!</v>
      </c>
      <c r="V194" s="458" t="e">
        <f>IF($B$38="P",IF(#REF!&lt;&gt;"",#REF!,""),"")</f>
        <v>#REF!</v>
      </c>
      <c r="W194" s="458" t="e">
        <f>IF($B$38="P",IF(#REF!&lt;&gt;"",#REF!,""),"")</f>
        <v>#REF!</v>
      </c>
      <c r="Y194">
        <v>17</v>
      </c>
      <c r="AB194">
        <f t="shared" si="3"/>
        <v>1</v>
      </c>
      <c r="AC194" s="457" t="e">
        <f t="shared" si="6"/>
        <v>#REF!</v>
      </c>
      <c r="AD194" s="458" t="e">
        <f>IF($B$38="P",IF(#REF!&lt;&gt;"",#REF!,""),IF(#REF!&lt;&gt;"",#REF!,""))</f>
        <v>#REF!</v>
      </c>
      <c r="AE194" s="458" t="e">
        <f>IF($B$38="P",IF(#REF!&lt;&gt;"",#REF!,""),IF(#REF!&lt;&gt;"",#REF!,""))</f>
        <v>#REF!</v>
      </c>
      <c r="AG194">
        <v>17</v>
      </c>
      <c r="AH194">
        <v>43</v>
      </c>
      <c r="AQ194">
        <f t="shared" si="4"/>
        <v>1</v>
      </c>
      <c r="AR194" s="457" t="e">
        <f t="shared" si="5"/>
        <v>#REF!</v>
      </c>
      <c r="AS194" s="458" t="e">
        <f>IF($B$38="P",IF(#REF!&lt;&gt;"",#REF!,""),"")</f>
        <v>#REF!</v>
      </c>
      <c r="AT194" s="458" t="e">
        <f>IF($B$38="P",IF(#REF!&lt;&gt;"",#REF!,""),"")</f>
        <v>#REF!</v>
      </c>
      <c r="AV194">
        <v>17</v>
      </c>
      <c r="AW194" s="378"/>
    </row>
    <row r="195" spans="18:49" ht="12.75">
      <c r="R195">
        <f t="shared" si="1"/>
        <v>1</v>
      </c>
      <c r="S195" s="457" t="e">
        <f t="shared" si="2"/>
        <v>#REF!</v>
      </c>
      <c r="T195" s="458" t="e">
        <f>IF($B$38="P",IF(#REF!&lt;&gt;"",#REF!,""),"")</f>
        <v>#REF!</v>
      </c>
      <c r="U195" s="458" t="e">
        <f>IF($B$38="P",IF(#REF!&lt;&gt;"",ABS(#REF!),""),"")</f>
        <v>#REF!</v>
      </c>
      <c r="V195" s="458" t="e">
        <f>IF($B$38="P",IF(#REF!&lt;&gt;"",#REF!,""),"")</f>
        <v>#REF!</v>
      </c>
      <c r="W195" s="458" t="e">
        <f>IF($B$38="P",IF(#REF!&lt;&gt;"",#REF!,""),"")</f>
        <v>#REF!</v>
      </c>
      <c r="Y195">
        <v>18</v>
      </c>
      <c r="AB195">
        <f t="shared" si="3"/>
        <v>1</v>
      </c>
      <c r="AC195" s="457" t="e">
        <f t="shared" si="6"/>
        <v>#REF!</v>
      </c>
      <c r="AD195" s="458" t="e">
        <f>IF($B$38="P",IF(#REF!&lt;&gt;"",#REF!,""),IF(#REF!&lt;&gt;"",#REF!,""))</f>
        <v>#REF!</v>
      </c>
      <c r="AE195" s="458" t="e">
        <f>IF($B$38="P",IF(#REF!&lt;&gt;"",#REF!,""),IF(#REF!&lt;&gt;"",#REF!,""))</f>
        <v>#REF!</v>
      </c>
      <c r="AG195">
        <v>18</v>
      </c>
      <c r="AH195">
        <v>46</v>
      </c>
      <c r="AQ195">
        <f t="shared" si="4"/>
        <v>1</v>
      </c>
      <c r="AR195" s="457" t="e">
        <f t="shared" si="5"/>
        <v>#REF!</v>
      </c>
      <c r="AS195" s="458" t="e">
        <f>IF($B$38="P",IF(#REF!&lt;&gt;"",#REF!,""),"")</f>
        <v>#REF!</v>
      </c>
      <c r="AT195" s="458" t="e">
        <f>IF($B$38="P",IF(#REF!&lt;&gt;"",#REF!,""),"")</f>
        <v>#REF!</v>
      </c>
      <c r="AV195">
        <v>18</v>
      </c>
      <c r="AW195" s="378"/>
    </row>
    <row r="196" spans="18:49" ht="12.75">
      <c r="R196">
        <f t="shared" si="1"/>
        <v>1</v>
      </c>
      <c r="S196" s="457" t="e">
        <f t="shared" si="2"/>
        <v>#REF!</v>
      </c>
      <c r="T196" s="458" t="e">
        <f>IF($B$38="P",IF(#REF!&lt;&gt;"",#REF!,""),"")</f>
        <v>#REF!</v>
      </c>
      <c r="U196" s="458" t="e">
        <f>IF($B$38="P",IF(#REF!&lt;&gt;"",ABS(#REF!),""),"")</f>
        <v>#REF!</v>
      </c>
      <c r="V196" s="458" t="e">
        <f>IF($B$38="P",IF(#REF!&lt;&gt;"",#REF!,""),"")</f>
        <v>#REF!</v>
      </c>
      <c r="W196" s="458" t="e">
        <f>IF($B$38="P",IF(#REF!&lt;&gt;"",#REF!,""),"")</f>
        <v>#REF!</v>
      </c>
      <c r="Y196">
        <v>19</v>
      </c>
      <c r="AB196">
        <f t="shared" si="3"/>
        <v>1</v>
      </c>
      <c r="AC196" s="457" t="e">
        <f t="shared" si="6"/>
        <v>#REF!</v>
      </c>
      <c r="AD196" s="458" t="e">
        <f>IF($B$38="P",IF(#REF!&lt;&gt;"",#REF!,""),IF(#REF!&lt;&gt;"",#REF!,""))</f>
        <v>#REF!</v>
      </c>
      <c r="AE196" s="458" t="e">
        <f>IF($B$38="P",IF(#REF!&lt;&gt;"",#REF!,""),IF(#REF!&lt;&gt;"",#REF!,""))</f>
        <v>#REF!</v>
      </c>
      <c r="AG196">
        <v>19</v>
      </c>
      <c r="AH196">
        <v>47</v>
      </c>
      <c r="AQ196">
        <f t="shared" si="4"/>
        <v>1</v>
      </c>
      <c r="AR196" s="457" t="e">
        <f t="shared" si="5"/>
        <v>#REF!</v>
      </c>
      <c r="AS196" s="458" t="e">
        <f>IF($B$38="P",IF(#REF!&lt;&gt;"",#REF!,""),"")</f>
        <v>#REF!</v>
      </c>
      <c r="AT196" s="458" t="e">
        <f>IF($B$38="P",IF(#REF!&lt;&gt;"",#REF!,""),"")</f>
        <v>#REF!</v>
      </c>
      <c r="AV196">
        <v>19</v>
      </c>
      <c r="AW196" s="378"/>
    </row>
    <row r="197" spans="18:49" ht="12.75">
      <c r="R197">
        <f t="shared" si="1"/>
        <v>1</v>
      </c>
      <c r="S197" s="457" t="e">
        <f t="shared" si="2"/>
        <v>#REF!</v>
      </c>
      <c r="T197" s="458" t="e">
        <f>IF($B$38="P",IF(#REF!&lt;&gt;"",#REF!,""),"")</f>
        <v>#REF!</v>
      </c>
      <c r="U197" s="458" t="e">
        <f>IF($B$38="P",IF(#REF!&lt;&gt;"",ABS(#REF!),""),"")</f>
        <v>#REF!</v>
      </c>
      <c r="V197" s="458" t="e">
        <f>IF($B$38="P",IF(#REF!&lt;&gt;"",#REF!,""),"")</f>
        <v>#REF!</v>
      </c>
      <c r="W197" s="458" t="e">
        <f>IF($B$38="P",IF(#REF!&lt;&gt;"",#REF!,""),"")</f>
        <v>#REF!</v>
      </c>
      <c r="Y197">
        <v>20</v>
      </c>
      <c r="AB197">
        <f t="shared" si="3"/>
        <v>1</v>
      </c>
      <c r="AC197" s="457" t="e">
        <f t="shared" si="6"/>
        <v>#REF!</v>
      </c>
      <c r="AD197" s="458" t="e">
        <f>IF($B$38="P",IF(#REF!&lt;&gt;"",#REF!,""),IF(#REF!&lt;&gt;"",#REF!,""))</f>
        <v>#REF!</v>
      </c>
      <c r="AE197" s="458" t="e">
        <f>IF($B$38="P",IF(#REF!&lt;&gt;"",#REF!,""),IF(#REF!&lt;&gt;"",#REF!,""))</f>
        <v>#REF!</v>
      </c>
      <c r="AG197">
        <v>20</v>
      </c>
      <c r="AH197">
        <v>48</v>
      </c>
      <c r="AQ197">
        <f t="shared" si="4"/>
        <v>1</v>
      </c>
      <c r="AR197" s="457" t="e">
        <f t="shared" si="5"/>
        <v>#REF!</v>
      </c>
      <c r="AS197" s="458" t="e">
        <f>IF($B$38="P",IF(#REF!&lt;&gt;"",#REF!,""),"")</f>
        <v>#REF!</v>
      </c>
      <c r="AT197" s="458" t="e">
        <f>IF($B$38="P",IF(#REF!&lt;&gt;"",#REF!,""),"")</f>
        <v>#REF!</v>
      </c>
      <c r="AV197">
        <v>20</v>
      </c>
      <c r="AW197" s="378"/>
    </row>
    <row r="198" spans="18:49" ht="12.75">
      <c r="R198">
        <f t="shared" si="1"/>
        <v>1</v>
      </c>
      <c r="S198" s="457" t="e">
        <f t="shared" si="2"/>
        <v>#REF!</v>
      </c>
      <c r="T198" s="458" t="e">
        <f>IF($B$38="P",IF(#REF!&lt;&gt;"",#REF!,""),"")</f>
        <v>#REF!</v>
      </c>
      <c r="U198" s="458" t="e">
        <f>IF($B$38="P",IF(#REF!&lt;&gt;"",ABS(#REF!),""),"")</f>
        <v>#REF!</v>
      </c>
      <c r="V198" s="458" t="e">
        <f>IF($B$38="P",IF(#REF!&lt;&gt;"",#REF!,""),"")</f>
        <v>#REF!</v>
      </c>
      <c r="W198" s="458" t="e">
        <f>IF($B$38="P",IF(#REF!&lt;&gt;"",#REF!,""),"")</f>
        <v>#REF!</v>
      </c>
      <c r="Y198">
        <v>21</v>
      </c>
      <c r="AB198">
        <f t="shared" si="3"/>
        <v>1</v>
      </c>
      <c r="AC198" s="457" t="e">
        <f t="shared" si="6"/>
        <v>#REF!</v>
      </c>
      <c r="AD198" s="458" t="e">
        <f>IF($B$38="P",IF(#REF!&lt;&gt;"",#REF!,""),IF(#REF!&lt;&gt;"",#REF!,""))</f>
        <v>#REF!</v>
      </c>
      <c r="AE198" s="458" t="e">
        <f>IF($B$38="P",IF(#REF!&lt;&gt;"",#REF!,""),IF(#REF!&lt;&gt;"",#REF!,""))</f>
        <v>#REF!</v>
      </c>
      <c r="AG198">
        <v>21</v>
      </c>
      <c r="AH198">
        <v>49</v>
      </c>
      <c r="AQ198">
        <f t="shared" si="4"/>
        <v>1</v>
      </c>
      <c r="AR198" s="457" t="e">
        <f t="shared" si="5"/>
        <v>#REF!</v>
      </c>
      <c r="AS198" s="458" t="e">
        <f>IF($B$38="P",IF(#REF!&lt;&gt;"",#REF!,""),"")</f>
        <v>#REF!</v>
      </c>
      <c r="AT198" s="458" t="e">
        <f>IF($B$38="P",IF(#REF!&lt;&gt;"",#REF!,""),"")</f>
        <v>#REF!</v>
      </c>
      <c r="AV198">
        <v>21</v>
      </c>
      <c r="AW198" s="378"/>
    </row>
    <row r="199" spans="18:49" ht="12.75">
      <c r="R199">
        <f t="shared" si="1"/>
        <v>1</v>
      </c>
      <c r="S199" s="457" t="e">
        <f t="shared" si="2"/>
        <v>#REF!</v>
      </c>
      <c r="T199" s="458" t="e">
        <f>IF($B$38="P",IF(#REF!&lt;&gt;"",#REF!,""),"")</f>
        <v>#REF!</v>
      </c>
      <c r="U199" s="458" t="e">
        <f>IF($B$38="P",IF(#REF!&lt;&gt;"",ABS(#REF!),""),"")</f>
        <v>#REF!</v>
      </c>
      <c r="V199" s="458" t="e">
        <f>IF($B$38="P",IF(#REF!&lt;&gt;"",#REF!,""),"")</f>
        <v>#REF!</v>
      </c>
      <c r="W199" s="458" t="e">
        <f>IF($B$38="P",IF(#REF!&lt;&gt;"",#REF!,""),"")</f>
        <v>#REF!</v>
      </c>
      <c r="Y199">
        <v>22</v>
      </c>
      <c r="AB199">
        <f t="shared" si="3"/>
        <v>1</v>
      </c>
      <c r="AC199" s="457" t="e">
        <f t="shared" si="6"/>
        <v>#REF!</v>
      </c>
      <c r="AD199" s="458" t="e">
        <f>IF($B$38="P",IF(#REF!&lt;&gt;"",#REF!,""),IF(#REF!&lt;&gt;"",#REF!,""))</f>
        <v>#REF!</v>
      </c>
      <c r="AE199" s="458" t="e">
        <f>IF($B$38="P",IF(#REF!&lt;&gt;"",#REF!,""),IF(#REF!&lt;&gt;"",#REF!,""))</f>
        <v>#REF!</v>
      </c>
      <c r="AG199">
        <v>22</v>
      </c>
      <c r="AH199">
        <v>50</v>
      </c>
      <c r="AQ199">
        <f t="shared" si="4"/>
        <v>1</v>
      </c>
      <c r="AR199" s="457" t="e">
        <f t="shared" si="5"/>
        <v>#REF!</v>
      </c>
      <c r="AS199" s="458" t="e">
        <f>IF($B$38="P",IF(#REF!&lt;&gt;"",#REF!,""),"")</f>
        <v>#REF!</v>
      </c>
      <c r="AT199" s="458" t="e">
        <f>IF($B$38="P",IF(#REF!&lt;&gt;"",#REF!,""),"")</f>
        <v>#REF!</v>
      </c>
      <c r="AV199">
        <v>22</v>
      </c>
      <c r="AW199" s="378"/>
    </row>
    <row r="200" spans="18:49" ht="12.75">
      <c r="R200">
        <f t="shared" si="1"/>
        <v>1</v>
      </c>
      <c r="S200" s="457" t="e">
        <f t="shared" si="2"/>
        <v>#REF!</v>
      </c>
      <c r="T200" s="458" t="e">
        <f>IF($B$38="P",IF(#REF!&lt;&gt;"",#REF!,""),"")</f>
        <v>#REF!</v>
      </c>
      <c r="U200" s="458" t="e">
        <f>IF($B$38="P",IF(#REF!&lt;&gt;"",ABS(#REF!),""),"")</f>
        <v>#REF!</v>
      </c>
      <c r="V200" s="458" t="e">
        <f>IF($B$38="P",IF(#REF!&lt;&gt;"",#REF!,""),"")</f>
        <v>#REF!</v>
      </c>
      <c r="W200" s="458" t="e">
        <f>IF($B$38="P",IF(#REF!&lt;&gt;"",#REF!,""),"")</f>
        <v>#REF!</v>
      </c>
      <c r="Y200">
        <v>23</v>
      </c>
      <c r="AB200">
        <f t="shared" si="3"/>
        <v>1</v>
      </c>
      <c r="AC200" s="457" t="e">
        <f t="shared" si="6"/>
        <v>#REF!</v>
      </c>
      <c r="AD200" s="458" t="e">
        <f>IF($B$38="P",IF(#REF!&lt;&gt;"",#REF!,""),IF(#REF!&lt;&gt;"",#REF!,""))</f>
        <v>#REF!</v>
      </c>
      <c r="AE200" s="458" t="e">
        <f>IF($B$38="P",IF(#REF!&lt;&gt;"",#REF!,""),IF(#REF!&lt;&gt;"",#REF!,""))</f>
        <v>#REF!</v>
      </c>
      <c r="AG200">
        <v>23</v>
      </c>
      <c r="AH200">
        <v>53</v>
      </c>
      <c r="AQ200">
        <f t="shared" si="4"/>
        <v>1</v>
      </c>
      <c r="AR200" s="457" t="e">
        <f t="shared" si="5"/>
        <v>#REF!</v>
      </c>
      <c r="AS200" s="458" t="e">
        <f>IF($B$38="P",IF(#REF!&lt;&gt;"",#REF!,""),"")</f>
        <v>#REF!</v>
      </c>
      <c r="AT200" s="458" t="e">
        <f>IF($B$38="P",IF(#REF!&lt;&gt;"",#REF!,""),"")</f>
        <v>#REF!</v>
      </c>
      <c r="AV200">
        <v>23</v>
      </c>
      <c r="AW200" s="378"/>
    </row>
    <row r="201" spans="18:49" ht="12.75">
      <c r="R201">
        <f t="shared" si="1"/>
        <v>1</v>
      </c>
      <c r="S201" s="457" t="e">
        <f t="shared" si="2"/>
        <v>#REF!</v>
      </c>
      <c r="T201" s="458" t="e">
        <f>IF($B$38="P",IF(#REF!&lt;&gt;"",#REF!,""),"")</f>
        <v>#REF!</v>
      </c>
      <c r="U201" s="458" t="e">
        <f>IF($B$38="P",IF(#REF!&lt;&gt;"",ABS(#REF!),""),"")</f>
        <v>#REF!</v>
      </c>
      <c r="V201" s="458" t="e">
        <f>IF($B$38="P",IF(#REF!&lt;&gt;"",#REF!,""),"")</f>
        <v>#REF!</v>
      </c>
      <c r="W201" s="458" t="e">
        <f>IF($B$38="P",IF(#REF!&lt;&gt;"",#REF!,""),"")</f>
        <v>#REF!</v>
      </c>
      <c r="Y201">
        <v>24</v>
      </c>
      <c r="AB201">
        <f t="shared" si="3"/>
        <v>1</v>
      </c>
      <c r="AC201" s="457" t="e">
        <f t="shared" si="6"/>
        <v>#REF!</v>
      </c>
      <c r="AD201" s="458" t="e">
        <f>IF($B$38="P",IF(#REF!&lt;&gt;"",#REF!,""),IF(#REF!&lt;&gt;"",#REF!,""))</f>
        <v>#REF!</v>
      </c>
      <c r="AE201" s="458" t="e">
        <f>IF($B$38="P",IF(#REF!&lt;&gt;"",#REF!,""),IF(#REF!&lt;&gt;"",#REF!,""))</f>
        <v>#REF!</v>
      </c>
      <c r="AG201">
        <v>24</v>
      </c>
      <c r="AH201">
        <v>54</v>
      </c>
      <c r="AQ201">
        <f t="shared" si="4"/>
        <v>1</v>
      </c>
      <c r="AR201" s="457" t="e">
        <f t="shared" si="5"/>
        <v>#REF!</v>
      </c>
      <c r="AS201" s="458" t="e">
        <f>IF($B$38="P",IF(#REF!&lt;&gt;"",#REF!,""),"")</f>
        <v>#REF!</v>
      </c>
      <c r="AT201" s="458" t="e">
        <f>IF($B$38="P",IF(#REF!&lt;&gt;"",#REF!,""),"")</f>
        <v>#REF!</v>
      </c>
      <c r="AV201">
        <v>24</v>
      </c>
      <c r="AW201" s="378"/>
    </row>
    <row r="202" spans="18:49" ht="12.75">
      <c r="R202">
        <f t="shared" si="1"/>
        <v>1</v>
      </c>
      <c r="S202" s="457" t="e">
        <f t="shared" si="2"/>
        <v>#REF!</v>
      </c>
      <c r="T202" s="458" t="e">
        <f>IF($B$38="P",IF(#REF!&lt;&gt;"",#REF!,""),"")</f>
        <v>#REF!</v>
      </c>
      <c r="U202" s="458" t="e">
        <f>IF($B$38="P",IF(#REF!&lt;&gt;"",ABS(#REF!),""),"")</f>
        <v>#REF!</v>
      </c>
      <c r="V202" s="458" t="e">
        <f>IF($B$38="P",IF(#REF!&lt;&gt;"",#REF!,""),"")</f>
        <v>#REF!</v>
      </c>
      <c r="W202" s="458" t="e">
        <f>IF($B$38="P",IF(#REF!&lt;&gt;"",#REF!,""),"")</f>
        <v>#REF!</v>
      </c>
      <c r="Y202">
        <v>25</v>
      </c>
      <c r="AB202">
        <f t="shared" si="3"/>
        <v>1</v>
      </c>
      <c r="AC202" s="457" t="e">
        <f t="shared" si="6"/>
        <v>#REF!</v>
      </c>
      <c r="AD202" s="458" t="e">
        <f>IF($B$38="P",IF(#REF!&lt;&gt;"",#REF!,""),IF(#REF!&lt;&gt;"",#REF!,""))</f>
        <v>#REF!</v>
      </c>
      <c r="AE202" s="458" t="e">
        <f>IF($B$38="P",IF(#REF!&lt;&gt;"",#REF!,""),IF(#REF!&lt;&gt;"",#REF!,""))</f>
        <v>#REF!</v>
      </c>
      <c r="AG202">
        <v>25</v>
      </c>
      <c r="AH202">
        <v>55</v>
      </c>
      <c r="AQ202">
        <f t="shared" si="4"/>
        <v>1</v>
      </c>
      <c r="AR202" s="457" t="e">
        <f t="shared" si="5"/>
        <v>#REF!</v>
      </c>
      <c r="AS202" s="458" t="e">
        <f>IF($B$38="P",IF(#REF!&lt;&gt;"",#REF!,""),"")</f>
        <v>#REF!</v>
      </c>
      <c r="AT202" s="458" t="e">
        <f>IF($B$38="P",IF(#REF!&lt;&gt;"",#REF!,""),"")</f>
        <v>#REF!</v>
      </c>
      <c r="AV202">
        <v>25</v>
      </c>
      <c r="AW202" s="378"/>
    </row>
    <row r="203" spans="18:49" ht="12.75">
      <c r="R203">
        <f t="shared" si="1"/>
        <v>1</v>
      </c>
      <c r="S203" s="457" t="e">
        <f t="shared" si="2"/>
        <v>#REF!</v>
      </c>
      <c r="T203" s="458" t="e">
        <f>IF($B$38="P",IF(#REF!&lt;&gt;"",#REF!,""),"")</f>
        <v>#REF!</v>
      </c>
      <c r="U203" s="458" t="e">
        <f>IF($B$38="P",IF(#REF!&lt;&gt;"",ABS(#REF!),""),"")</f>
        <v>#REF!</v>
      </c>
      <c r="V203" s="458" t="e">
        <f>IF($B$38="P",IF(#REF!&lt;&gt;"",#REF!,""),"")</f>
        <v>#REF!</v>
      </c>
      <c r="W203" s="458" t="e">
        <f>IF($B$38="P",IF(#REF!&lt;&gt;"",#REF!,""),"")</f>
        <v>#REF!</v>
      </c>
      <c r="Y203">
        <v>26</v>
      </c>
      <c r="AB203">
        <f t="shared" si="3"/>
        <v>1</v>
      </c>
      <c r="AC203" s="457" t="e">
        <f t="shared" si="6"/>
        <v>#REF!</v>
      </c>
      <c r="AD203" s="458" t="e">
        <f>IF($B$38="P",IF(#REF!&lt;&gt;"",#REF!,""),IF(#REF!&lt;&gt;"",#REF!,""))</f>
        <v>#REF!</v>
      </c>
      <c r="AE203" s="458" t="e">
        <f>IF($B$38="P",IF(#REF!&lt;&gt;"",#REF!,""),IF(#REF!&lt;&gt;"",#REF!,""))</f>
        <v>#REF!</v>
      </c>
      <c r="AG203">
        <v>26</v>
      </c>
      <c r="AH203">
        <v>56</v>
      </c>
      <c r="AQ203">
        <f t="shared" si="4"/>
        <v>1</v>
      </c>
      <c r="AR203" s="457" t="e">
        <f t="shared" si="5"/>
        <v>#REF!</v>
      </c>
      <c r="AS203" s="458" t="e">
        <f>IF($B$38="P",IF(#REF!&lt;&gt;"",#REF!,""),"")</f>
        <v>#REF!</v>
      </c>
      <c r="AT203" s="458" t="e">
        <f>IF($B$38="P",IF(#REF!&lt;&gt;"",#REF!,""),"")</f>
        <v>#REF!</v>
      </c>
      <c r="AV203">
        <v>26</v>
      </c>
      <c r="AW203" s="378"/>
    </row>
    <row r="204" spans="18:49" ht="12.75">
      <c r="R204">
        <f t="shared" si="1"/>
        <v>1</v>
      </c>
      <c r="S204" s="457" t="e">
        <f t="shared" si="2"/>
        <v>#REF!</v>
      </c>
      <c r="T204" s="458" t="e">
        <f>IF($B$38="P",IF(#REF!&lt;&gt;"",#REF!,""),"")</f>
        <v>#REF!</v>
      </c>
      <c r="U204" s="458" t="e">
        <f>IF($B$38="P",IF(#REF!&lt;&gt;"",ABS(#REF!),""),"")</f>
        <v>#REF!</v>
      </c>
      <c r="V204" s="458" t="e">
        <f>IF($B$38="P",IF(#REF!&lt;&gt;"",#REF!,""),"")</f>
        <v>#REF!</v>
      </c>
      <c r="W204" s="458" t="e">
        <f>IF($B$38="P",IF(#REF!&lt;&gt;"",#REF!,""),"")</f>
        <v>#REF!</v>
      </c>
      <c r="Y204">
        <v>27</v>
      </c>
      <c r="AB204">
        <f t="shared" si="3"/>
        <v>1</v>
      </c>
      <c r="AC204" s="457" t="e">
        <f t="shared" si="6"/>
        <v>#REF!</v>
      </c>
      <c r="AD204" s="458" t="e">
        <f>IF($B$38="P",IF(#REF!&lt;&gt;"",#REF!,""),"")</f>
        <v>#REF!</v>
      </c>
      <c r="AE204" s="458" t="e">
        <f>IF($B$38="P",IF(#REF!&lt;&gt;"",#REF!,""),"")</f>
        <v>#REF!</v>
      </c>
      <c r="AG204">
        <v>27</v>
      </c>
      <c r="AQ204">
        <f t="shared" si="4"/>
        <v>1</v>
      </c>
      <c r="AR204" s="457" t="e">
        <f t="shared" si="5"/>
        <v>#REF!</v>
      </c>
      <c r="AS204" s="458" t="e">
        <f>IF($B$38="P",IF(#REF!&lt;&gt;"",#REF!,""),"")</f>
        <v>#REF!</v>
      </c>
      <c r="AT204" s="458" t="e">
        <f>IF($B$38="P",IF(#REF!&lt;&gt;"",#REF!,""),"")</f>
        <v>#REF!</v>
      </c>
      <c r="AV204">
        <v>27</v>
      </c>
      <c r="AW204" s="378"/>
    </row>
    <row r="205" spans="18:49" ht="12.75">
      <c r="R205">
        <f t="shared" si="1"/>
        <v>1</v>
      </c>
      <c r="S205" s="457" t="e">
        <f t="shared" si="2"/>
        <v>#REF!</v>
      </c>
      <c r="T205" s="458" t="e">
        <f>IF($B$38="P",IF(#REF!&lt;&gt;"",#REF!,""),"")</f>
        <v>#REF!</v>
      </c>
      <c r="U205" s="458" t="e">
        <f>IF($B$38="P",IF(#REF!&lt;&gt;"",ABS(#REF!),""),"")</f>
        <v>#REF!</v>
      </c>
      <c r="V205" s="458" t="e">
        <f>IF($B$38="P",IF(#REF!&lt;&gt;"",#REF!,""),"")</f>
        <v>#REF!</v>
      </c>
      <c r="W205" s="458" t="e">
        <f>IF($B$38="P",IF(#REF!&lt;&gt;"",#REF!,""),"")</f>
        <v>#REF!</v>
      </c>
      <c r="Y205">
        <v>28</v>
      </c>
      <c r="AB205">
        <f t="shared" si="3"/>
        <v>1</v>
      </c>
      <c r="AC205" s="457" t="e">
        <f t="shared" si="6"/>
        <v>#REF!</v>
      </c>
      <c r="AD205" s="458" t="e">
        <f>IF($B$38="P",IF(#REF!&lt;&gt;"",#REF!,""),"")</f>
        <v>#REF!</v>
      </c>
      <c r="AE205" s="458" t="e">
        <f>IF($B$38="P",IF(#REF!&lt;&gt;"",#REF!,""),"")</f>
        <v>#REF!</v>
      </c>
      <c r="AG205">
        <v>28</v>
      </c>
      <c r="AQ205">
        <f t="shared" si="4"/>
        <v>1</v>
      </c>
      <c r="AR205" s="457" t="e">
        <f t="shared" si="5"/>
        <v>#REF!</v>
      </c>
      <c r="AS205" s="458" t="e">
        <f>IF($B$38="P",IF(#REF!&lt;&gt;"",#REF!,""),"")</f>
        <v>#REF!</v>
      </c>
      <c r="AT205" s="458" t="e">
        <f>IF($B$38="P",IF(#REF!&lt;&gt;"",#REF!,""),"")</f>
        <v>#REF!</v>
      </c>
      <c r="AV205">
        <v>28</v>
      </c>
      <c r="AW205" s="378"/>
    </row>
    <row r="206" spans="18:49" ht="12.75">
      <c r="R206">
        <f t="shared" si="1"/>
        <v>1</v>
      </c>
      <c r="S206" s="457" t="e">
        <f t="shared" si="2"/>
        <v>#REF!</v>
      </c>
      <c r="T206" s="458" t="e">
        <f>IF($B$38="P",IF(#REF!&lt;&gt;"",#REF!,""),"")</f>
        <v>#REF!</v>
      </c>
      <c r="U206" s="458" t="e">
        <f>IF($B$38="P",IF(#REF!&lt;&gt;"",ABS(#REF!),""),"")</f>
        <v>#REF!</v>
      </c>
      <c r="V206" s="458" t="e">
        <f>IF($B$38="P",IF(#REF!&lt;&gt;"",#REF!,""),"")</f>
        <v>#REF!</v>
      </c>
      <c r="W206" s="458" t="e">
        <f>IF($B$38="P",IF(#REF!&lt;&gt;"",#REF!,""),"")</f>
        <v>#REF!</v>
      </c>
      <c r="Y206">
        <v>29</v>
      </c>
      <c r="AB206">
        <f t="shared" si="3"/>
        <v>1</v>
      </c>
      <c r="AC206" s="457" t="e">
        <f t="shared" si="6"/>
        <v>#REF!</v>
      </c>
      <c r="AD206" s="458" t="e">
        <f>IF($B$38="P",IF(#REF!&lt;&gt;"",#REF!,""),"")</f>
        <v>#REF!</v>
      </c>
      <c r="AE206" s="458" t="e">
        <f>IF($B$38="P",IF(#REF!&lt;&gt;"",#REF!,""),"")</f>
        <v>#REF!</v>
      </c>
      <c r="AG206">
        <v>29</v>
      </c>
      <c r="AQ206">
        <f t="shared" si="4"/>
        <v>1</v>
      </c>
      <c r="AR206" s="457" t="e">
        <f t="shared" si="5"/>
        <v>#REF!</v>
      </c>
      <c r="AS206" s="458" t="e">
        <f>IF($B$38="P",IF(#REF!&lt;&gt;"",#REF!,""),"")</f>
        <v>#REF!</v>
      </c>
      <c r="AT206" s="458" t="e">
        <f>IF($B$38="P",IF(#REF!&lt;&gt;"",#REF!,""),"")</f>
        <v>#REF!</v>
      </c>
      <c r="AV206">
        <v>29</v>
      </c>
      <c r="AW206" s="378"/>
    </row>
    <row r="207" spans="18:49" ht="12.75">
      <c r="R207">
        <f t="shared" si="1"/>
        <v>1</v>
      </c>
      <c r="S207" s="457" t="e">
        <f t="shared" si="2"/>
        <v>#REF!</v>
      </c>
      <c r="T207" s="458" t="e">
        <f>IF($B$38="P",IF(#REF!&lt;&gt;"",#REF!,""),"")</f>
        <v>#REF!</v>
      </c>
      <c r="U207" s="458" t="e">
        <f>IF($B$38="P",IF(#REF!&lt;&gt;"",ABS(#REF!),""),"")</f>
        <v>#REF!</v>
      </c>
      <c r="V207" s="458" t="e">
        <f>IF($B$38="P",IF(#REF!&lt;&gt;"",#REF!,""),"")</f>
        <v>#REF!</v>
      </c>
      <c r="W207" s="458" t="e">
        <f>IF($B$38="P",IF(#REF!&lt;&gt;"",#REF!,""),"")</f>
        <v>#REF!</v>
      </c>
      <c r="Y207">
        <v>30</v>
      </c>
      <c r="AB207">
        <f t="shared" si="3"/>
        <v>1</v>
      </c>
      <c r="AC207" s="457" t="e">
        <f t="shared" si="6"/>
        <v>#REF!</v>
      </c>
      <c r="AD207" s="458" t="e">
        <f>IF($B$38="P",IF(#REF!&lt;&gt;"",#REF!,""),"")</f>
        <v>#REF!</v>
      </c>
      <c r="AE207" s="458" t="e">
        <f>IF($B$38="P",IF(#REF!&lt;&gt;"",#REF!,""),"")</f>
        <v>#REF!</v>
      </c>
      <c r="AG207">
        <v>30</v>
      </c>
      <c r="AQ207">
        <f t="shared" si="4"/>
        <v>1</v>
      </c>
      <c r="AR207" s="457" t="e">
        <f t="shared" si="5"/>
        <v>#REF!</v>
      </c>
      <c r="AS207" s="458" t="e">
        <f>IF($B$38="P",IF(#REF!&lt;&gt;"",#REF!,""),"")</f>
        <v>#REF!</v>
      </c>
      <c r="AT207" s="458" t="e">
        <f>IF($B$38="P",IF(#REF!&lt;&gt;"",#REF!,""),"")</f>
        <v>#REF!</v>
      </c>
      <c r="AV207">
        <v>30</v>
      </c>
      <c r="AW207" s="378"/>
    </row>
    <row r="208" spans="18:49" ht="12.75">
      <c r="R208">
        <f t="shared" si="1"/>
        <v>1</v>
      </c>
      <c r="S208" s="457" t="e">
        <f t="shared" si="2"/>
        <v>#REF!</v>
      </c>
      <c r="T208" s="458" t="e">
        <f>IF($B$38="P",IF(#REF!&lt;&gt;"",#REF!,""),"")</f>
        <v>#REF!</v>
      </c>
      <c r="U208" s="458" t="e">
        <f>IF($B$38="P",IF(#REF!&lt;&gt;"",ABS(#REF!),""),"")</f>
        <v>#REF!</v>
      </c>
      <c r="V208" s="458" t="e">
        <f>IF($B$38="P",IF(#REF!&lt;&gt;"",#REF!,""),"")</f>
        <v>#REF!</v>
      </c>
      <c r="W208" s="458" t="e">
        <f>IF($B$38="P",IF(#REF!&lt;&gt;"",#REF!,""),"")</f>
        <v>#REF!</v>
      </c>
      <c r="Y208">
        <v>31</v>
      </c>
      <c r="AB208">
        <f t="shared" si="3"/>
        <v>1</v>
      </c>
      <c r="AC208" s="457" t="e">
        <f t="shared" si="6"/>
        <v>#REF!</v>
      </c>
      <c r="AD208" s="458" t="e">
        <f>IF($B$38="P",IF(#REF!&lt;&gt;"",#REF!,""),"")</f>
        <v>#REF!</v>
      </c>
      <c r="AE208" s="458" t="e">
        <f>IF($B$38="P",IF(#REF!&lt;&gt;"",#REF!,""),"")</f>
        <v>#REF!</v>
      </c>
      <c r="AG208">
        <v>31</v>
      </c>
      <c r="AQ208">
        <f t="shared" si="4"/>
        <v>1</v>
      </c>
      <c r="AR208" s="457" t="e">
        <f t="shared" si="5"/>
        <v>#REF!</v>
      </c>
      <c r="AS208" s="458" t="e">
        <f>IF($B$38="P",IF(#REF!&lt;&gt;"",#REF!,""),"")</f>
        <v>#REF!</v>
      </c>
      <c r="AT208" s="458" t="e">
        <f>IF($B$38="P",IF(#REF!&lt;&gt;"",#REF!,""),"")</f>
        <v>#REF!</v>
      </c>
      <c r="AV208">
        <v>31</v>
      </c>
      <c r="AW208" s="378"/>
    </row>
    <row r="209" spans="18:49" ht="12.75">
      <c r="R209">
        <f t="shared" si="1"/>
        <v>1</v>
      </c>
      <c r="S209" s="457" t="e">
        <f t="shared" si="2"/>
        <v>#REF!</v>
      </c>
      <c r="T209" s="458" t="e">
        <f>IF($B$38="P",IF(#REF!&lt;&gt;"",#REF!,""),"")</f>
        <v>#REF!</v>
      </c>
      <c r="U209" s="458" t="e">
        <f>IF($B$38="P",IF(#REF!&lt;&gt;"",ABS(#REF!),""),"")</f>
        <v>#REF!</v>
      </c>
      <c r="V209" s="458" t="e">
        <f>IF($B$38="P",IF(#REF!&lt;&gt;"",#REF!,""),"")</f>
        <v>#REF!</v>
      </c>
      <c r="W209" s="458" t="e">
        <f>IF($B$38="P",IF(#REF!&lt;&gt;"",#REF!,""),"")</f>
        <v>#REF!</v>
      </c>
      <c r="Y209">
        <v>32</v>
      </c>
      <c r="AB209">
        <f t="shared" si="3"/>
        <v>1</v>
      </c>
      <c r="AC209" s="457" t="e">
        <f t="shared" si="6"/>
        <v>#REF!</v>
      </c>
      <c r="AD209" s="458" t="e">
        <f>IF($B$38="P",IF(#REF!&lt;&gt;"",#REF!,""),"")</f>
        <v>#REF!</v>
      </c>
      <c r="AE209" s="458" t="e">
        <f>IF($B$38="P",IF(#REF!&lt;&gt;"",#REF!,""),"")</f>
        <v>#REF!</v>
      </c>
      <c r="AG209">
        <v>32</v>
      </c>
      <c r="AQ209">
        <f t="shared" si="4"/>
        <v>1</v>
      </c>
      <c r="AR209" s="457" t="e">
        <f t="shared" si="5"/>
        <v>#REF!</v>
      </c>
      <c r="AS209" s="458" t="e">
        <f>IF($B$38="P",IF(#REF!&lt;&gt;"",#REF!,""),"")</f>
        <v>#REF!</v>
      </c>
      <c r="AT209" s="458" t="e">
        <f>IF($B$38="P",IF(#REF!&lt;&gt;"",#REF!,""),"")</f>
        <v>#REF!</v>
      </c>
      <c r="AV209">
        <v>32</v>
      </c>
      <c r="AW209" s="378"/>
    </row>
    <row r="210" spans="18:49" ht="12.75">
      <c r="R210">
        <f t="shared" si="7" ref="R210:R243">$Q$178</f>
        <v>1</v>
      </c>
      <c r="S210" s="457" t="e">
        <f t="shared" si="2"/>
        <v>#REF!</v>
      </c>
      <c r="T210" s="458" t="e">
        <f>IF($B$38="P",IF(#REF!&lt;&gt;"",#REF!,""),"")</f>
        <v>#REF!</v>
      </c>
      <c r="U210" s="458" t="e">
        <f>IF($B$38="P",IF(#REF!&lt;&gt;"",ABS(#REF!),""),"")</f>
        <v>#REF!</v>
      </c>
      <c r="V210" s="458" t="e">
        <f>IF($B$38="P",IF(#REF!&lt;&gt;"",#REF!,""),"")</f>
        <v>#REF!</v>
      </c>
      <c r="W210" s="458" t="e">
        <f>IF($B$38="P",IF(#REF!&lt;&gt;"",#REF!,""),"")</f>
        <v>#REF!</v>
      </c>
      <c r="Y210">
        <v>33</v>
      </c>
      <c r="AB210">
        <f t="shared" si="8" ref="AB210:AB233">$AB$176</f>
        <v>1</v>
      </c>
      <c r="AC210" s="457" t="e">
        <f t="shared" si="6"/>
        <v>#REF!</v>
      </c>
      <c r="AD210" s="458" t="e">
        <f>IF($B$38="P",IF(#REF!&lt;&gt;"",#REF!,""),"")</f>
        <v>#REF!</v>
      </c>
      <c r="AE210" s="458" t="e">
        <f>IF($B$38="P",IF(#REF!&lt;&gt;"",#REF!,""),"")</f>
        <v>#REF!</v>
      </c>
      <c r="AG210">
        <v>33</v>
      </c>
      <c r="AQ210">
        <f t="shared" si="9" ref="AQ210:AQ235">$AP$178</f>
        <v>1</v>
      </c>
      <c r="AR210" s="457" t="e">
        <f t="shared" si="5"/>
        <v>#REF!</v>
      </c>
      <c r="AS210" s="458" t="e">
        <f>IF($B$38="P",IF(#REF!&lt;&gt;"",#REF!,""),"")</f>
        <v>#REF!</v>
      </c>
      <c r="AT210" s="458" t="e">
        <f>IF($B$38="P",IF(#REF!&lt;&gt;"",#REF!,""),"")</f>
        <v>#REF!</v>
      </c>
      <c r="AV210">
        <v>33</v>
      </c>
      <c r="AW210" s="378"/>
    </row>
    <row r="211" spans="18:49" ht="12.75">
      <c r="R211">
        <f t="shared" si="7"/>
        <v>1</v>
      </c>
      <c r="S211" s="457" t="e">
        <f t="shared" si="2"/>
        <v>#REF!</v>
      </c>
      <c r="T211" s="458" t="e">
        <f>IF($B$38="P",IF(#REF!&lt;&gt;"",#REF!,""),"")</f>
        <v>#REF!</v>
      </c>
      <c r="U211" s="458" t="e">
        <f>IF($B$38="P",IF(#REF!&lt;&gt;"",ABS(#REF!),""),"")</f>
        <v>#REF!</v>
      </c>
      <c r="V211" s="458" t="e">
        <f>IF($B$38="P",IF(#REF!&lt;&gt;"",#REF!,""),"")</f>
        <v>#REF!</v>
      </c>
      <c r="W211" s="458" t="e">
        <f>IF($B$38="P",IF(#REF!&lt;&gt;"",#REF!,""),"")</f>
        <v>#REF!</v>
      </c>
      <c r="Y211">
        <v>34</v>
      </c>
      <c r="AB211">
        <f t="shared" si="8"/>
        <v>1</v>
      </c>
      <c r="AC211" s="457" t="e">
        <f t="shared" si="6"/>
        <v>#REF!</v>
      </c>
      <c r="AD211" s="458" t="e">
        <f>IF($B$38="P",IF(#REF!&lt;&gt;"",#REF!,""),"")</f>
        <v>#REF!</v>
      </c>
      <c r="AE211" s="458" t="e">
        <f>IF($B$38="P",IF(#REF!&lt;&gt;"",#REF!,""),"")</f>
        <v>#REF!</v>
      </c>
      <c r="AG211">
        <v>34</v>
      </c>
      <c r="AQ211">
        <f t="shared" si="9"/>
        <v>1</v>
      </c>
      <c r="AR211" s="457" t="e">
        <f t="shared" si="5"/>
        <v>#REF!</v>
      </c>
      <c r="AS211" s="458" t="e">
        <f>IF($B$38="P",IF(#REF!&lt;&gt;"",#REF!,""),"")</f>
        <v>#REF!</v>
      </c>
      <c r="AT211" s="458" t="e">
        <f>IF($B$38="P",IF(#REF!&lt;&gt;"",#REF!,""),"")</f>
        <v>#REF!</v>
      </c>
      <c r="AV211">
        <v>34</v>
      </c>
      <c r="AW211" s="378"/>
    </row>
    <row r="212" spans="18:49" ht="12.75">
      <c r="R212">
        <f t="shared" si="7"/>
        <v>1</v>
      </c>
      <c r="S212" s="457" t="e">
        <f t="shared" si="2"/>
        <v>#REF!</v>
      </c>
      <c r="T212" s="458" t="e">
        <f>IF($B$38="P",IF(#REF!&lt;&gt;"",#REF!,""),"")</f>
        <v>#REF!</v>
      </c>
      <c r="U212" s="458" t="e">
        <f>IF($B$38="P",IF(#REF!&lt;&gt;"",ABS(#REF!),""),"")</f>
        <v>#REF!</v>
      </c>
      <c r="V212" s="458" t="e">
        <f>IF($B$38="P",IF(#REF!&lt;&gt;"",#REF!,""),"")</f>
        <v>#REF!</v>
      </c>
      <c r="W212" s="458" t="e">
        <f>IF($B$38="P",IF(#REF!&lt;&gt;"",#REF!,""),"")</f>
        <v>#REF!</v>
      </c>
      <c r="Y212">
        <v>35</v>
      </c>
      <c r="AB212">
        <f t="shared" si="8"/>
        <v>1</v>
      </c>
      <c r="AC212" s="457" t="e">
        <f t="shared" si="6"/>
        <v>#REF!</v>
      </c>
      <c r="AD212" s="458" t="e">
        <f>IF($B$38="P",IF(#REF!&lt;&gt;"",#REF!,""),"")</f>
        <v>#REF!</v>
      </c>
      <c r="AE212" s="458" t="e">
        <f>IF($B$38="P",IF(#REF!&lt;&gt;"",#REF!,""),"")</f>
        <v>#REF!</v>
      </c>
      <c r="AG212">
        <v>35</v>
      </c>
      <c r="AQ212">
        <f t="shared" si="9"/>
        <v>1</v>
      </c>
      <c r="AR212" s="457" t="e">
        <f t="shared" si="5"/>
        <v>#REF!</v>
      </c>
      <c r="AS212" s="458" t="e">
        <f>IF($B$38="P",IF(#REF!&lt;&gt;"",#REF!,""),"")</f>
        <v>#REF!</v>
      </c>
      <c r="AT212" s="458" t="e">
        <f>IF($B$38="P",IF(#REF!&lt;&gt;"",#REF!,""),"")</f>
        <v>#REF!</v>
      </c>
      <c r="AV212">
        <v>35</v>
      </c>
      <c r="AW212" s="378"/>
    </row>
    <row r="213" spans="18:49" ht="12.75">
      <c r="R213">
        <f t="shared" si="7"/>
        <v>1</v>
      </c>
      <c r="S213" s="457" t="e">
        <f t="shared" si="2"/>
        <v>#REF!</v>
      </c>
      <c r="T213" s="458" t="e">
        <f>IF($B$38="P",IF(#REF!&lt;&gt;"",#REF!,""),"")</f>
        <v>#REF!</v>
      </c>
      <c r="U213" s="458" t="e">
        <f>IF($B$38="P",IF(#REF!&lt;&gt;"",ABS(#REF!),""),"")</f>
        <v>#REF!</v>
      </c>
      <c r="V213" s="458" t="e">
        <f>IF($B$38="P",IF(#REF!&lt;&gt;"",#REF!,""),"")</f>
        <v>#REF!</v>
      </c>
      <c r="W213" s="458" t="e">
        <f>IF($B$38="P",IF(#REF!&lt;&gt;"",#REF!,""),"")</f>
        <v>#REF!</v>
      </c>
      <c r="Y213">
        <v>36</v>
      </c>
      <c r="AB213">
        <f t="shared" si="8"/>
        <v>1</v>
      </c>
      <c r="AC213" s="457" t="e">
        <f t="shared" si="6"/>
        <v>#REF!</v>
      </c>
      <c r="AD213" s="458" t="e">
        <f>IF($B$38="P",IF(#REF!&lt;&gt;"",#REF!,""),"")</f>
        <v>#REF!</v>
      </c>
      <c r="AE213" s="458" t="e">
        <f>IF($B$38="P",IF(#REF!&lt;&gt;"",#REF!,""),"")</f>
        <v>#REF!</v>
      </c>
      <c r="AG213">
        <v>36</v>
      </c>
      <c r="AQ213">
        <f t="shared" si="9"/>
        <v>1</v>
      </c>
      <c r="AR213" s="457" t="e">
        <f t="shared" si="5"/>
        <v>#REF!</v>
      </c>
      <c r="AS213" s="458" t="e">
        <f>IF($B$38="P",IF(#REF!&lt;&gt;"",#REF!,""),"")</f>
        <v>#REF!</v>
      </c>
      <c r="AT213" s="458" t="e">
        <f>IF($B$38="P",IF(#REF!&lt;&gt;"",#REF!,""),"")</f>
        <v>#REF!</v>
      </c>
      <c r="AV213">
        <v>36</v>
      </c>
      <c r="AW213" s="378"/>
    </row>
    <row r="214" spans="18:49" ht="12.75">
      <c r="R214">
        <f t="shared" si="7"/>
        <v>1</v>
      </c>
      <c r="S214" s="457" t="e">
        <f t="shared" si="2"/>
        <v>#REF!</v>
      </c>
      <c r="T214" s="458" t="e">
        <f>IF($B$38="P",IF(#REF!&lt;&gt;"",#REF!,""),"")</f>
        <v>#REF!</v>
      </c>
      <c r="U214" s="458" t="e">
        <f>IF($B$38="P",IF(#REF!&lt;&gt;"",ABS(#REF!),""),"")</f>
        <v>#REF!</v>
      </c>
      <c r="V214" s="458" t="e">
        <f>IF($B$38="P",IF(#REF!&lt;&gt;"",#REF!,""),"")</f>
        <v>#REF!</v>
      </c>
      <c r="W214" s="458" t="e">
        <f>IF($B$38="P",IF(#REF!&lt;&gt;"",#REF!,""),"")</f>
        <v>#REF!</v>
      </c>
      <c r="Y214">
        <v>37</v>
      </c>
      <c r="AB214">
        <f t="shared" si="8"/>
        <v>1</v>
      </c>
      <c r="AC214" s="457" t="e">
        <f t="shared" si="6"/>
        <v>#REF!</v>
      </c>
      <c r="AD214" s="458" t="e">
        <f>IF($B$38="P",IF(#REF!&lt;&gt;"",#REF!,""),"")</f>
        <v>#REF!</v>
      </c>
      <c r="AE214" s="458" t="e">
        <f>IF($B$38="P",IF(#REF!&lt;&gt;"",#REF!,""),"")</f>
        <v>#REF!</v>
      </c>
      <c r="AG214">
        <v>37</v>
      </c>
      <c r="AQ214">
        <f t="shared" si="9"/>
        <v>1</v>
      </c>
      <c r="AR214" s="457" t="e">
        <f t="shared" si="5"/>
        <v>#REF!</v>
      </c>
      <c r="AS214" s="458" t="e">
        <f>IF($B$38="P",IF(#REF!&lt;&gt;"",#REF!,""),"")</f>
        <v>#REF!</v>
      </c>
      <c r="AT214" s="458" t="e">
        <f>IF($B$38="P",IF(#REF!&lt;&gt;"",#REF!,""),"")</f>
        <v>#REF!</v>
      </c>
      <c r="AV214">
        <v>37</v>
      </c>
      <c r="AW214" s="378"/>
    </row>
    <row r="215" spans="18:49" ht="12.75">
      <c r="R215">
        <f t="shared" si="7"/>
        <v>1</v>
      </c>
      <c r="S215" s="457" t="e">
        <f t="shared" si="2"/>
        <v>#REF!</v>
      </c>
      <c r="T215" s="458" t="e">
        <f>IF($B$38="P",IF(#REF!&lt;&gt;"",#REF!,""),"")</f>
        <v>#REF!</v>
      </c>
      <c r="U215" s="458" t="e">
        <f>IF($B$38="P",IF(#REF!&lt;&gt;"",ABS(#REF!),""),"")</f>
        <v>#REF!</v>
      </c>
      <c r="V215" s="458" t="e">
        <f>IF($B$38="P",IF(#REF!&lt;&gt;"",#REF!,""),"")</f>
        <v>#REF!</v>
      </c>
      <c r="W215" s="458" t="e">
        <f>IF($B$38="P",IF(#REF!&lt;&gt;"",#REF!,""),"")</f>
        <v>#REF!</v>
      </c>
      <c r="Y215">
        <v>38</v>
      </c>
      <c r="AB215">
        <f t="shared" si="8"/>
        <v>1</v>
      </c>
      <c r="AC215" s="457" t="e">
        <f t="shared" si="6"/>
        <v>#REF!</v>
      </c>
      <c r="AD215" s="458" t="e">
        <f>IF($B$38="P",IF(#REF!&lt;&gt;"",#REF!,""),"")</f>
        <v>#REF!</v>
      </c>
      <c r="AE215" s="458" t="e">
        <f>IF($B$38="P",IF(#REF!&lt;&gt;"",#REF!,""),"")</f>
        <v>#REF!</v>
      </c>
      <c r="AG215">
        <v>38</v>
      </c>
      <c r="AQ215">
        <f t="shared" si="9"/>
        <v>1</v>
      </c>
      <c r="AR215" s="457" t="e">
        <f t="shared" si="5"/>
        <v>#REF!</v>
      </c>
      <c r="AS215" s="458" t="e">
        <f>IF($B$38="P",IF(#REF!&lt;&gt;"",#REF!,""),"")</f>
        <v>#REF!</v>
      </c>
      <c r="AT215" s="458" t="e">
        <f>IF($B$38="P",IF(#REF!&lt;&gt;"",#REF!,""),"")</f>
        <v>#REF!</v>
      </c>
      <c r="AV215">
        <v>38</v>
      </c>
      <c r="AW215" s="378"/>
    </row>
    <row r="216" spans="18:49" ht="12.75">
      <c r="R216">
        <f t="shared" si="7"/>
        <v>1</v>
      </c>
      <c r="S216" s="457" t="e">
        <f t="shared" si="2"/>
        <v>#REF!</v>
      </c>
      <c r="T216" s="458" t="e">
        <f>IF($B$38="P",IF(#REF!&lt;&gt;"",#REF!,""),"")</f>
        <v>#REF!</v>
      </c>
      <c r="U216" s="458" t="e">
        <f>IF($B$38="P",IF(#REF!&lt;&gt;"",ABS(#REF!),""),"")</f>
        <v>#REF!</v>
      </c>
      <c r="V216" s="458" t="e">
        <f>IF($B$38="P",IF(#REF!&lt;&gt;"",#REF!,""),"")</f>
        <v>#REF!</v>
      </c>
      <c r="W216" s="458" t="e">
        <f>IF($B$38="P",IF(#REF!&lt;&gt;"",#REF!,""),"")</f>
        <v>#REF!</v>
      </c>
      <c r="Y216">
        <v>39</v>
      </c>
      <c r="AB216">
        <f t="shared" si="8"/>
        <v>1</v>
      </c>
      <c r="AC216" s="457" t="e">
        <f t="shared" si="6"/>
        <v>#REF!</v>
      </c>
      <c r="AD216" s="458" t="e">
        <f>IF($B$38="P",IF(#REF!&lt;&gt;"",#REF!,""),"")</f>
        <v>#REF!</v>
      </c>
      <c r="AE216" s="458" t="e">
        <f>IF($B$38="P",IF(#REF!&lt;&gt;"",#REF!,""),"")</f>
        <v>#REF!</v>
      </c>
      <c r="AG216">
        <v>39</v>
      </c>
      <c r="AQ216">
        <f t="shared" si="9"/>
        <v>1</v>
      </c>
      <c r="AR216" s="457" t="e">
        <f t="shared" si="5"/>
        <v>#REF!</v>
      </c>
      <c r="AS216" s="458" t="e">
        <f>IF($B$38="P",IF(#REF!&lt;&gt;"",#REF!,""),"")</f>
        <v>#REF!</v>
      </c>
      <c r="AT216" s="458" t="e">
        <f>IF($B$38="P",IF(#REF!&lt;&gt;"",#REF!,""),"")</f>
        <v>#REF!</v>
      </c>
      <c r="AV216">
        <v>39</v>
      </c>
      <c r="AW216" s="378"/>
    </row>
    <row r="217" spans="18:49" ht="12.75">
      <c r="R217">
        <f t="shared" si="7"/>
        <v>1</v>
      </c>
      <c r="S217" s="457" t="e">
        <f t="shared" si="2"/>
        <v>#REF!</v>
      </c>
      <c r="T217" s="458" t="e">
        <f>IF($B$38="P",IF(#REF!&lt;&gt;"",#REF!,""),"")</f>
        <v>#REF!</v>
      </c>
      <c r="U217" s="458" t="e">
        <f>IF($B$38="P",IF(#REF!&lt;&gt;"",ABS(#REF!),""),"")</f>
        <v>#REF!</v>
      </c>
      <c r="V217" s="458" t="e">
        <f>IF($B$38="P",IF(#REF!&lt;&gt;"",#REF!,""),"")</f>
        <v>#REF!</v>
      </c>
      <c r="W217" s="458" t="e">
        <f>IF($B$38="P",IF(#REF!&lt;&gt;"",#REF!,""),"")</f>
        <v>#REF!</v>
      </c>
      <c r="Y217">
        <v>40</v>
      </c>
      <c r="AB217">
        <f t="shared" si="8"/>
        <v>1</v>
      </c>
      <c r="AC217" s="457" t="e">
        <f t="shared" si="6"/>
        <v>#REF!</v>
      </c>
      <c r="AD217" s="458" t="e">
        <f>IF($B$38="P",IF(#REF!&lt;&gt;"",#REF!,""),"")</f>
        <v>#REF!</v>
      </c>
      <c r="AE217" s="458" t="e">
        <f>IF($B$38="P",IF(#REF!&lt;&gt;"",#REF!,""),"")</f>
        <v>#REF!</v>
      </c>
      <c r="AG217">
        <v>40</v>
      </c>
      <c r="AQ217">
        <f t="shared" si="9"/>
        <v>1</v>
      </c>
      <c r="AR217" s="457" t="e">
        <f t="shared" si="5"/>
        <v>#REF!</v>
      </c>
      <c r="AS217" s="458" t="e">
        <f>IF($B$38="P",IF(#REF!&lt;&gt;"",#REF!,""),"")</f>
        <v>#REF!</v>
      </c>
      <c r="AT217" s="458" t="e">
        <f>IF($B$38="P",IF(#REF!&lt;&gt;"",#REF!,""),"")</f>
        <v>#REF!</v>
      </c>
      <c r="AV217">
        <v>40</v>
      </c>
      <c r="AW217" s="378"/>
    </row>
    <row r="218" spans="18:49" ht="12.75">
      <c r="R218">
        <f t="shared" si="7"/>
        <v>1</v>
      </c>
      <c r="S218" s="457" t="e">
        <f t="shared" si="2"/>
        <v>#REF!</v>
      </c>
      <c r="T218" s="458" t="e">
        <f>IF($B$38="P",IF(#REF!&lt;&gt;"",#REF!,""),"")</f>
        <v>#REF!</v>
      </c>
      <c r="U218" s="458" t="e">
        <f>IF($B$38="P",IF(#REF!&lt;&gt;"",ABS(#REF!),""),"")</f>
        <v>#REF!</v>
      </c>
      <c r="V218" s="458" t="e">
        <f>IF($B$38="P",IF(#REF!&lt;&gt;"",#REF!,""),"")</f>
        <v>#REF!</v>
      </c>
      <c r="W218" s="458" t="e">
        <f>IF($B$38="P",IF(#REF!&lt;&gt;"",#REF!,""),"")</f>
        <v>#REF!</v>
      </c>
      <c r="Y218">
        <v>41</v>
      </c>
      <c r="AB218">
        <f t="shared" si="8"/>
        <v>1</v>
      </c>
      <c r="AC218" s="457" t="e">
        <f t="shared" si="6"/>
        <v>#REF!</v>
      </c>
      <c r="AD218" s="458" t="e">
        <f>IF($B$38="P",IF(#REF!&lt;&gt;"",#REF!,""),"")</f>
        <v>#REF!</v>
      </c>
      <c r="AE218" s="458" t="e">
        <f>IF($B$38="P",IF(#REF!&lt;&gt;"",#REF!,""),"")</f>
        <v>#REF!</v>
      </c>
      <c r="AF218" s="314"/>
      <c r="AG218">
        <v>41</v>
      </c>
      <c r="AQ218">
        <f t="shared" si="9"/>
        <v>1</v>
      </c>
      <c r="AR218" s="457" t="e">
        <f t="shared" si="5"/>
        <v>#REF!</v>
      </c>
      <c r="AS218" s="458" t="e">
        <f>IF($B$38="P",IF(#REF!&lt;&gt;"",#REF!,""),"")</f>
        <v>#REF!</v>
      </c>
      <c r="AT218" s="458" t="e">
        <f>IF($B$38="P",IF(#REF!&lt;&gt;"",#REF!,""),"")</f>
        <v>#REF!</v>
      </c>
      <c r="AV218">
        <v>41</v>
      </c>
      <c r="AW218" s="378"/>
    </row>
    <row r="219" spans="18:49" ht="12.75">
      <c r="R219">
        <f t="shared" si="7"/>
        <v>1</v>
      </c>
      <c r="S219" s="457" t="e">
        <f t="shared" si="2"/>
        <v>#REF!</v>
      </c>
      <c r="T219" s="458" t="e">
        <f>IF($B$38="P",IF(#REF!&lt;&gt;"",#REF!,""),"")</f>
        <v>#REF!</v>
      </c>
      <c r="U219" s="458" t="e">
        <f>IF($B$38="P",IF(#REF!&lt;&gt;"",ABS(#REF!),""),"")</f>
        <v>#REF!</v>
      </c>
      <c r="V219" s="458" t="e">
        <f>IF($B$38="P",IF(#REF!&lt;&gt;"",#REF!,""),"")</f>
        <v>#REF!</v>
      </c>
      <c r="W219" s="458" t="e">
        <f>IF($B$38="P",IF(#REF!&lt;&gt;"",#REF!,""),"")</f>
        <v>#REF!</v>
      </c>
      <c r="Y219">
        <v>42</v>
      </c>
      <c r="AB219">
        <f t="shared" si="8"/>
        <v>1</v>
      </c>
      <c r="AC219" s="457" t="e">
        <f t="shared" si="6"/>
        <v>#REF!</v>
      </c>
      <c r="AD219" s="458" t="e">
        <f>IF($B$38="P",IF(#REF!&lt;&gt;"",#REF!,""),"")</f>
        <v>#REF!</v>
      </c>
      <c r="AE219" s="458" t="e">
        <f>IF($B$38="P",IF(#REF!&lt;&gt;"",#REF!,""),"")</f>
        <v>#REF!</v>
      </c>
      <c r="AF219" s="378"/>
      <c r="AG219">
        <v>42</v>
      </c>
      <c r="AQ219">
        <f t="shared" si="9"/>
        <v>1</v>
      </c>
      <c r="AR219" s="457" t="e">
        <f t="shared" si="5"/>
        <v>#REF!</v>
      </c>
      <c r="AS219" s="458" t="e">
        <f>IF($B$38="P",IF(#REF!&lt;&gt;"",#REF!,""),"")</f>
        <v>#REF!</v>
      </c>
      <c r="AT219" s="458" t="e">
        <f>IF($B$38="P",IF(#REF!&lt;&gt;"",#REF!,""),"")</f>
        <v>#REF!</v>
      </c>
      <c r="AV219">
        <v>42</v>
      </c>
      <c r="AW219" s="378"/>
    </row>
    <row r="220" spans="18:49" ht="12.75">
      <c r="R220">
        <f t="shared" si="7"/>
        <v>1</v>
      </c>
      <c r="S220" s="457" t="e">
        <f t="shared" si="2"/>
        <v>#REF!</v>
      </c>
      <c r="T220" s="458" t="e">
        <f>IF($B$38="P",IF(#REF!&lt;&gt;"",#REF!,""),"")</f>
        <v>#REF!</v>
      </c>
      <c r="U220" s="458" t="e">
        <f>IF($B$38="P",IF(#REF!&lt;&gt;"",ABS(#REF!),""),"")</f>
        <v>#REF!</v>
      </c>
      <c r="V220" s="458" t="e">
        <f>IF($B$38="P",IF(#REF!&lt;&gt;"",#REF!,""),"")</f>
        <v>#REF!</v>
      </c>
      <c r="W220" s="458" t="e">
        <f>IF($B$38="P",IF(#REF!&lt;&gt;"",#REF!,""),"")</f>
        <v>#REF!</v>
      </c>
      <c r="Y220">
        <v>43</v>
      </c>
      <c r="AB220">
        <f t="shared" si="8"/>
        <v>1</v>
      </c>
      <c r="AC220" s="457" t="e">
        <f t="shared" si="6"/>
        <v>#REF!</v>
      </c>
      <c r="AD220" s="458" t="e">
        <f>IF($B$38="P",IF(#REF!&lt;&gt;"",#REF!,""),"")</f>
        <v>#REF!</v>
      </c>
      <c r="AE220" s="458" t="e">
        <f>IF($B$38="P",IF(#REF!&lt;&gt;"",#REF!,""),"")</f>
        <v>#REF!</v>
      </c>
      <c r="AF220" s="378"/>
      <c r="AG220">
        <v>43</v>
      </c>
      <c r="AQ220">
        <f t="shared" si="9"/>
        <v>1</v>
      </c>
      <c r="AR220" s="457" t="e">
        <f t="shared" si="5"/>
        <v>#REF!</v>
      </c>
      <c r="AS220" s="458" t="e">
        <f>IF($B$38="P",IF(#REF!&lt;&gt;"",#REF!,""),"")</f>
        <v>#REF!</v>
      </c>
      <c r="AT220" s="458" t="e">
        <f>IF($B$38="P",IF(#REF!&lt;&gt;"",#REF!,""),"")</f>
        <v>#REF!</v>
      </c>
      <c r="AV220">
        <v>43</v>
      </c>
      <c r="AW220" s="378"/>
    </row>
    <row r="221" spans="18:49" ht="12.75">
      <c r="R221">
        <f t="shared" si="7"/>
        <v>1</v>
      </c>
      <c r="S221" s="457" t="e">
        <f t="shared" si="2"/>
        <v>#REF!</v>
      </c>
      <c r="T221" s="458" t="e">
        <f>IF($B$38="P",IF(#REF!&lt;&gt;"",#REF!,""),"")</f>
        <v>#REF!</v>
      </c>
      <c r="U221" s="458" t="e">
        <f>IF($B$38="P",IF(#REF!&lt;&gt;"",ABS(#REF!),""),"")</f>
        <v>#REF!</v>
      </c>
      <c r="V221" s="458" t="e">
        <f>IF($B$38="P",IF(#REF!&lt;&gt;"",#REF!,""),"")</f>
        <v>#REF!</v>
      </c>
      <c r="W221" s="458" t="e">
        <f>IF($B$38="P",IF(#REF!&lt;&gt;"",#REF!,""),"")</f>
        <v>#REF!</v>
      </c>
      <c r="Y221">
        <v>44</v>
      </c>
      <c r="AB221">
        <f t="shared" si="8"/>
        <v>1</v>
      </c>
      <c r="AC221" s="457" t="e">
        <f t="shared" si="6"/>
        <v>#REF!</v>
      </c>
      <c r="AD221" s="458" t="e">
        <f>IF($B$38="P",IF(#REF!&lt;&gt;"",#REF!,""),"")</f>
        <v>#REF!</v>
      </c>
      <c r="AE221" s="458" t="e">
        <f>IF($B$38="P",IF(#REF!&lt;&gt;"",#REF!,""),"")</f>
        <v>#REF!</v>
      </c>
      <c r="AF221" s="378"/>
      <c r="AG221">
        <v>44</v>
      </c>
      <c r="AQ221">
        <f t="shared" si="9"/>
        <v>1</v>
      </c>
      <c r="AR221" s="457" t="e">
        <f t="shared" si="5"/>
        <v>#REF!</v>
      </c>
      <c r="AS221" s="458" t="e">
        <f>IF($B$38="P",IF(#REF!&lt;&gt;"",#REF!,""),"")</f>
        <v>#REF!</v>
      </c>
      <c r="AT221" s="458" t="e">
        <f>IF($B$38="P",IF(#REF!&lt;&gt;"",#REF!,""),"")</f>
        <v>#REF!</v>
      </c>
      <c r="AV221">
        <v>44</v>
      </c>
      <c r="AW221" s="378"/>
    </row>
    <row r="222" spans="18:49" ht="12.75">
      <c r="R222">
        <f t="shared" si="7"/>
        <v>1</v>
      </c>
      <c r="S222" s="457" t="e">
        <f t="shared" si="2"/>
        <v>#REF!</v>
      </c>
      <c r="T222" s="458" t="e">
        <f>IF($B$38="P",IF(#REF!&lt;&gt;"",#REF!,""),"")</f>
        <v>#REF!</v>
      </c>
      <c r="U222" s="458" t="e">
        <f>IF($B$38="P",IF(#REF!&lt;&gt;"",ABS(#REF!),""),"")</f>
        <v>#REF!</v>
      </c>
      <c r="V222" s="458" t="e">
        <f>IF($B$38="P",IF(#REF!&lt;&gt;"",#REF!,""),"")</f>
        <v>#REF!</v>
      </c>
      <c r="W222" s="458" t="e">
        <f>IF($B$38="P",IF(#REF!&lt;&gt;"",#REF!,""),"")</f>
        <v>#REF!</v>
      </c>
      <c r="Y222">
        <v>45</v>
      </c>
      <c r="AB222">
        <f t="shared" si="8"/>
        <v>1</v>
      </c>
      <c r="AC222" s="457" t="e">
        <f t="shared" si="6"/>
        <v>#REF!</v>
      </c>
      <c r="AD222" s="458" t="e">
        <f>IF($B$38="P",IF(#REF!&lt;&gt;"",#REF!,""),"")</f>
        <v>#REF!</v>
      </c>
      <c r="AE222" s="458" t="e">
        <f>IF($B$38="P",IF(#REF!&lt;&gt;"",#REF!,""),"")</f>
        <v>#REF!</v>
      </c>
      <c r="AF222" s="378"/>
      <c r="AG222">
        <v>45</v>
      </c>
      <c r="AQ222">
        <f t="shared" si="9"/>
        <v>1</v>
      </c>
      <c r="AR222" s="457" t="e">
        <f t="shared" si="5"/>
        <v>#REF!</v>
      </c>
      <c r="AS222" s="458" t="e">
        <f>IF($B$38="P",IF(#REF!&lt;&gt;"",#REF!,""),"")</f>
        <v>#REF!</v>
      </c>
      <c r="AT222" s="458" t="e">
        <f>IF($B$38="P",IF(#REF!&lt;&gt;"",#REF!,""),"")</f>
        <v>#REF!</v>
      </c>
      <c r="AV222">
        <v>45</v>
      </c>
      <c r="AW222" s="378"/>
    </row>
    <row r="223" spans="18:49" ht="12.75">
      <c r="R223">
        <f t="shared" si="7"/>
        <v>1</v>
      </c>
      <c r="S223" s="457" t="e">
        <f t="shared" si="2"/>
        <v>#REF!</v>
      </c>
      <c r="T223" s="458" t="e">
        <f>IF($B$38="P",IF(#REF!&lt;&gt;"",#REF!,""),"")</f>
        <v>#REF!</v>
      </c>
      <c r="U223" s="458" t="e">
        <f>IF($B$38="P",IF(#REF!&lt;&gt;"",ABS(#REF!),""),"")</f>
        <v>#REF!</v>
      </c>
      <c r="V223" s="458" t="e">
        <f>IF($B$38="P",IF(#REF!&lt;&gt;"",#REF!,""),"")</f>
        <v>#REF!</v>
      </c>
      <c r="W223" s="458" t="e">
        <f>IF($B$38="P",IF(#REF!&lt;&gt;"",#REF!,""),"")</f>
        <v>#REF!</v>
      </c>
      <c r="Y223">
        <v>46</v>
      </c>
      <c r="AB223">
        <f t="shared" si="8"/>
        <v>1</v>
      </c>
      <c r="AC223" s="457" t="e">
        <f t="shared" si="6"/>
        <v>#REF!</v>
      </c>
      <c r="AD223" s="458" t="e">
        <f>IF($B$38="P",IF(#REF!&lt;&gt;"",#REF!,""),"")</f>
        <v>#REF!</v>
      </c>
      <c r="AE223" s="458" t="e">
        <f>IF($B$38="P",IF(#REF!&lt;&gt;"",#REF!,""),"")</f>
        <v>#REF!</v>
      </c>
      <c r="AF223" s="378"/>
      <c r="AG223">
        <v>46</v>
      </c>
      <c r="AQ223">
        <f t="shared" si="9"/>
        <v>1</v>
      </c>
      <c r="AR223" s="457" t="e">
        <f t="shared" si="5"/>
        <v>#REF!</v>
      </c>
      <c r="AS223" s="458" t="e">
        <f>IF($B$38="P",IF(#REF!&lt;&gt;"",#REF!,""),"")</f>
        <v>#REF!</v>
      </c>
      <c r="AT223" s="458" t="e">
        <f>IF($B$38="P",IF(#REF!&lt;&gt;"",#REF!,""),"")</f>
        <v>#REF!</v>
      </c>
      <c r="AV223">
        <v>46</v>
      </c>
      <c r="AW223" s="378"/>
    </row>
    <row r="224" spans="18:49" ht="12.75">
      <c r="R224">
        <f t="shared" si="7"/>
        <v>1</v>
      </c>
      <c r="S224" s="457" t="e">
        <f t="shared" si="2"/>
        <v>#REF!</v>
      </c>
      <c r="T224" s="458" t="e">
        <f>IF($B$38="P",IF(#REF!&lt;&gt;"",#REF!,""),"")</f>
        <v>#REF!</v>
      </c>
      <c r="U224" s="458" t="e">
        <f>IF($B$38="P",IF(#REF!&lt;&gt;"",ABS(#REF!),""),"")</f>
        <v>#REF!</v>
      </c>
      <c r="V224" s="458" t="e">
        <f>IF($B$38="P",IF(#REF!&lt;&gt;"",#REF!,""),"")</f>
        <v>#REF!</v>
      </c>
      <c r="W224" s="458" t="e">
        <f>IF($B$38="P",IF(#REF!&lt;&gt;"",#REF!,""),"")</f>
        <v>#REF!</v>
      </c>
      <c r="Y224">
        <v>47</v>
      </c>
      <c r="AB224">
        <f t="shared" si="8"/>
        <v>1</v>
      </c>
      <c r="AC224" s="457" t="e">
        <f t="shared" si="6"/>
        <v>#REF!</v>
      </c>
      <c r="AD224" s="458" t="e">
        <f>IF($B$38="P",IF(#REF!&lt;&gt;"",#REF!,""),"")</f>
        <v>#REF!</v>
      </c>
      <c r="AE224" s="458" t="e">
        <f>IF($B$38="P",IF(#REF!&lt;&gt;"",#REF!,""),"")</f>
        <v>#REF!</v>
      </c>
      <c r="AF224" s="378"/>
      <c r="AG224">
        <v>47</v>
      </c>
      <c r="AQ224">
        <f t="shared" si="9"/>
        <v>1</v>
      </c>
      <c r="AR224" s="457" t="e">
        <f t="shared" si="5"/>
        <v>#REF!</v>
      </c>
      <c r="AS224" s="458" t="e">
        <f>IF($B$38="P",IF(#REF!&lt;&gt;"",#REF!,""),"")</f>
        <v>#REF!</v>
      </c>
      <c r="AT224" s="458" t="e">
        <f>IF($B$38="P",IF(#REF!&lt;&gt;"",#REF!,""),"")</f>
        <v>#REF!</v>
      </c>
      <c r="AV224">
        <v>47</v>
      </c>
      <c r="AW224" s="378"/>
    </row>
    <row r="225" spans="18:49" ht="12.75">
      <c r="R225">
        <f t="shared" si="7"/>
        <v>1</v>
      </c>
      <c r="S225" s="457" t="e">
        <f t="shared" si="2"/>
        <v>#REF!</v>
      </c>
      <c r="T225" s="458" t="e">
        <f>IF($B$38="P",IF(#REF!&lt;&gt;"",#REF!,""),"")</f>
        <v>#REF!</v>
      </c>
      <c r="U225" s="458" t="e">
        <f>IF($B$38="P",IF(#REF!&lt;&gt;"",ABS(#REF!),""),"")</f>
        <v>#REF!</v>
      </c>
      <c r="V225" s="458" t="e">
        <f>IF($B$38="P",IF(#REF!&lt;&gt;"",#REF!,""),"")</f>
        <v>#REF!</v>
      </c>
      <c r="W225" s="458" t="e">
        <f>IF($B$38="P",IF(#REF!&lt;&gt;"",#REF!,""),"")</f>
        <v>#REF!</v>
      </c>
      <c r="Y225">
        <v>48</v>
      </c>
      <c r="AB225">
        <f t="shared" si="8"/>
        <v>1</v>
      </c>
      <c r="AC225" s="457" t="e">
        <f t="shared" si="6"/>
        <v>#REF!</v>
      </c>
      <c r="AD225" s="458" t="e">
        <f>IF($B$38="P",IF(#REF!&lt;&gt;"",#REF!,""),"")</f>
        <v>#REF!</v>
      </c>
      <c r="AE225" s="458" t="e">
        <f>IF($B$38="P",IF(#REF!&lt;&gt;"",#REF!,""),"")</f>
        <v>#REF!</v>
      </c>
      <c r="AF225" s="378"/>
      <c r="AG225">
        <v>48</v>
      </c>
      <c r="AQ225">
        <f t="shared" si="9"/>
        <v>1</v>
      </c>
      <c r="AR225" s="457" t="e">
        <f t="shared" si="5"/>
        <v>#REF!</v>
      </c>
      <c r="AS225" s="458" t="e">
        <f>IF($B$38="P",IF(#REF!&lt;&gt;"",#REF!,""),"")</f>
        <v>#REF!</v>
      </c>
      <c r="AT225" s="458" t="e">
        <f>IF($B$38="P",IF(#REF!&lt;&gt;"",#REF!,""),"")</f>
        <v>#REF!</v>
      </c>
      <c r="AV225">
        <v>48</v>
      </c>
      <c r="AW225" s="378"/>
    </row>
    <row r="226" spans="18:49" ht="12.75">
      <c r="R226">
        <f t="shared" si="7"/>
        <v>1</v>
      </c>
      <c r="S226" s="457" t="e">
        <f t="shared" si="2"/>
        <v>#REF!</v>
      </c>
      <c r="T226" s="458" t="e">
        <f>IF($B$38="P",IF(#REF!&lt;&gt;"",#REF!,""),"")</f>
        <v>#REF!</v>
      </c>
      <c r="U226" s="458" t="e">
        <f>IF($B$38="P",IF(#REF!&lt;&gt;"",ABS(#REF!),""),"")</f>
        <v>#REF!</v>
      </c>
      <c r="V226" s="458" t="e">
        <f>IF($B$38="P",IF(#REF!&lt;&gt;"",#REF!,""),"")</f>
        <v>#REF!</v>
      </c>
      <c r="W226" s="458" t="e">
        <f>IF($B$38="P",IF(#REF!&lt;&gt;"",#REF!,""),"")</f>
        <v>#REF!</v>
      </c>
      <c r="Y226">
        <v>49</v>
      </c>
      <c r="AB226">
        <f t="shared" si="8"/>
        <v>1</v>
      </c>
      <c r="AC226" s="457" t="e">
        <f t="shared" si="6"/>
        <v>#REF!</v>
      </c>
      <c r="AD226" s="458" t="e">
        <f>IF($B$38="P",IF(#REF!&lt;&gt;"",#REF!,""),"")</f>
        <v>#REF!</v>
      </c>
      <c r="AE226" s="458" t="e">
        <f>IF($B$38="P",IF(#REF!&lt;&gt;"",#REF!,""),"")</f>
        <v>#REF!</v>
      </c>
      <c r="AF226" s="378"/>
      <c r="AG226">
        <v>49</v>
      </c>
      <c r="AQ226">
        <f t="shared" si="9"/>
        <v>1</v>
      </c>
      <c r="AR226" s="457" t="e">
        <f t="shared" si="5"/>
        <v>#REF!</v>
      </c>
      <c r="AS226" s="458" t="e">
        <f>IF($B$38="P",IF(#REF!&lt;&gt;"",#REF!,""),"")</f>
        <v>#REF!</v>
      </c>
      <c r="AT226" s="458" t="e">
        <f>IF($B$38="P",IF(#REF!&lt;&gt;"",#REF!,""),"")</f>
        <v>#REF!</v>
      </c>
      <c r="AV226">
        <v>49</v>
      </c>
      <c r="AW226" s="378"/>
    </row>
    <row r="227" spans="18:49" ht="12.75">
      <c r="R227">
        <f t="shared" si="7"/>
        <v>1</v>
      </c>
      <c r="S227" s="457" t="e">
        <f t="shared" si="2"/>
        <v>#REF!</v>
      </c>
      <c r="T227" s="458" t="e">
        <f>IF($B$38="P",IF(#REF!&lt;&gt;"",#REF!,""),"")</f>
        <v>#REF!</v>
      </c>
      <c r="U227" s="458" t="e">
        <f>IF($B$38="P",IF(#REF!&lt;&gt;"",ABS(#REF!),""),"")</f>
        <v>#REF!</v>
      </c>
      <c r="V227" s="458" t="e">
        <f>IF($B$38="P",IF(#REF!&lt;&gt;"",#REF!,""),"")</f>
        <v>#REF!</v>
      </c>
      <c r="W227" s="458" t="e">
        <f>IF($B$38="P",IF(#REF!&lt;&gt;"",#REF!,""),"")</f>
        <v>#REF!</v>
      </c>
      <c r="Y227">
        <v>50</v>
      </c>
      <c r="AB227">
        <f t="shared" si="8"/>
        <v>1</v>
      </c>
      <c r="AC227" s="457" t="e">
        <f t="shared" si="6"/>
        <v>#REF!</v>
      </c>
      <c r="AD227" s="458" t="e">
        <f>IF($B$38="P",IF(#REF!&lt;&gt;"",#REF!,""),"")</f>
        <v>#REF!</v>
      </c>
      <c r="AE227" s="458" t="e">
        <f>IF($B$38="P",IF(#REF!&lt;&gt;"",#REF!,""),"")</f>
        <v>#REF!</v>
      </c>
      <c r="AF227" s="378"/>
      <c r="AG227">
        <v>50</v>
      </c>
      <c r="AQ227">
        <f t="shared" si="9"/>
        <v>1</v>
      </c>
      <c r="AR227" s="457" t="e">
        <f t="shared" si="5"/>
        <v>#REF!</v>
      </c>
      <c r="AS227" s="458" t="e">
        <f>IF($B$38="P",IF(#REF!&lt;&gt;"",#REF!,""),"")</f>
        <v>#REF!</v>
      </c>
      <c r="AT227" s="458" t="e">
        <f>IF($B$38="P",IF(#REF!&lt;&gt;"",#REF!,""),"")</f>
        <v>#REF!</v>
      </c>
      <c r="AV227">
        <v>50</v>
      </c>
      <c r="AW227" s="378"/>
    </row>
    <row r="228" spans="18:49" ht="12.75">
      <c r="R228">
        <f t="shared" si="7"/>
        <v>1</v>
      </c>
      <c r="S228" s="457" t="e">
        <f t="shared" si="2"/>
        <v>#REF!</v>
      </c>
      <c r="T228" s="458" t="e">
        <f>IF($B$38="P",IF(#REF!&lt;&gt;"",#REF!,""),"")</f>
        <v>#REF!</v>
      </c>
      <c r="U228" s="458" t="e">
        <f>IF($B$38="P",IF(#REF!&lt;&gt;"",ABS(#REF!),""),"")</f>
        <v>#REF!</v>
      </c>
      <c r="V228" s="458" t="e">
        <f>IF($B$38="P",IF(#REF!&lt;&gt;"",#REF!,""),"")</f>
        <v>#REF!</v>
      </c>
      <c r="W228" s="458" t="e">
        <f>IF($B$38="P",IF(#REF!&lt;&gt;"",#REF!,""),"")</f>
        <v>#REF!</v>
      </c>
      <c r="Y228">
        <v>51</v>
      </c>
      <c r="AB228">
        <f t="shared" si="8"/>
        <v>1</v>
      </c>
      <c r="AC228" s="457" t="e">
        <f t="shared" si="6"/>
        <v>#REF!</v>
      </c>
      <c r="AD228" s="458" t="e">
        <f>IF($B$38="P",IF(#REF!&lt;&gt;"",#REF!,""),"")</f>
        <v>#REF!</v>
      </c>
      <c r="AE228" s="458" t="e">
        <f>IF($B$38="P",IF(#REF!&lt;&gt;"",#REF!,""),"")</f>
        <v>#REF!</v>
      </c>
      <c r="AF228" s="378"/>
      <c r="AG228">
        <v>51</v>
      </c>
      <c r="AQ228">
        <f t="shared" si="9"/>
        <v>1</v>
      </c>
      <c r="AR228" s="457" t="e">
        <f t="shared" si="5"/>
        <v>#REF!</v>
      </c>
      <c r="AS228" s="458" t="e">
        <f>IF($B$38="P",IF(#REF!&lt;&gt;"",#REF!,""),"")</f>
        <v>#REF!</v>
      </c>
      <c r="AT228" s="458" t="e">
        <f>IF($B$38="P",IF(#REF!&lt;&gt;"",#REF!,""),"")</f>
        <v>#REF!</v>
      </c>
      <c r="AV228">
        <v>51</v>
      </c>
      <c r="AW228" s="378"/>
    </row>
    <row r="229" spans="18:49" ht="12.75">
      <c r="R229">
        <f t="shared" si="7"/>
        <v>1</v>
      </c>
      <c r="S229" s="457" t="e">
        <f t="shared" si="2"/>
        <v>#REF!</v>
      </c>
      <c r="T229" s="458" t="e">
        <f>IF($B$38="P",IF(#REF!&lt;&gt;"",#REF!,""),"")</f>
        <v>#REF!</v>
      </c>
      <c r="U229" s="458" t="e">
        <f>IF($B$38="P",IF(#REF!&lt;&gt;"",ABS(#REF!),""),"")</f>
        <v>#REF!</v>
      </c>
      <c r="V229" s="458" t="e">
        <f>IF($B$38="P",IF(#REF!&lt;&gt;"",#REF!,""),"")</f>
        <v>#REF!</v>
      </c>
      <c r="W229" s="458" t="e">
        <f>IF($B$38="P",IF(#REF!&lt;&gt;"",#REF!,""),"")</f>
        <v>#REF!</v>
      </c>
      <c r="Y229">
        <v>52</v>
      </c>
      <c r="AB229">
        <f t="shared" si="8"/>
        <v>1</v>
      </c>
      <c r="AC229" s="457" t="e">
        <f t="shared" si="6"/>
        <v>#REF!</v>
      </c>
      <c r="AD229" s="458" t="e">
        <f>IF($B$38="P",IF(#REF!&lt;&gt;"",#REF!,""),"")</f>
        <v>#REF!</v>
      </c>
      <c r="AE229" s="458" t="e">
        <f>IF($B$38="P",IF(#REF!&lt;&gt;"",#REF!,""),"")</f>
        <v>#REF!</v>
      </c>
      <c r="AF229" s="378"/>
      <c r="AG229">
        <v>52</v>
      </c>
      <c r="AQ229">
        <f t="shared" si="9"/>
        <v>1</v>
      </c>
      <c r="AR229" s="457" t="e">
        <f t="shared" si="5"/>
        <v>#REF!</v>
      </c>
      <c r="AS229" s="458" t="e">
        <f>IF($B$38="P",IF(#REF!&lt;&gt;"",#REF!,""),"")</f>
        <v>#REF!</v>
      </c>
      <c r="AT229" s="458" t="e">
        <f>IF($B$38="P",IF(#REF!&lt;&gt;"",#REF!,""),"")</f>
        <v>#REF!</v>
      </c>
      <c r="AV229">
        <v>52</v>
      </c>
      <c r="AW229" s="378"/>
    </row>
    <row r="230" spans="18:49" ht="12.75">
      <c r="R230">
        <f t="shared" si="7"/>
        <v>1</v>
      </c>
      <c r="S230" s="457" t="e">
        <f t="shared" si="2"/>
        <v>#REF!</v>
      </c>
      <c r="T230" s="458" t="e">
        <f>IF($B$38="P",IF(#REF!&lt;&gt;"",#REF!,""),"")</f>
        <v>#REF!</v>
      </c>
      <c r="U230" s="458" t="e">
        <f>IF($B$38="P",IF(#REF!&lt;&gt;"",ABS(#REF!),""),"")</f>
        <v>#REF!</v>
      </c>
      <c r="V230" s="458" t="e">
        <f>IF($B$38="P",IF(#REF!&lt;&gt;"",#REF!,""),"")</f>
        <v>#REF!</v>
      </c>
      <c r="W230" s="458" t="e">
        <f>IF($B$38="P",IF(#REF!&lt;&gt;"",#REF!,""),"")</f>
        <v>#REF!</v>
      </c>
      <c r="Y230">
        <v>53</v>
      </c>
      <c r="AB230">
        <f t="shared" si="8"/>
        <v>1</v>
      </c>
      <c r="AC230" s="457" t="e">
        <f t="shared" si="6"/>
        <v>#REF!</v>
      </c>
      <c r="AD230" s="458" t="e">
        <f>IF($B$38="P",IF(#REF!&lt;&gt;"",#REF!,""),"")</f>
        <v>#REF!</v>
      </c>
      <c r="AE230" s="458" t="e">
        <f>IF($B$38="P",IF(#REF!&lt;&gt;"",#REF!,""),"")</f>
        <v>#REF!</v>
      </c>
      <c r="AF230" s="378"/>
      <c r="AG230">
        <v>53</v>
      </c>
      <c r="AQ230">
        <f t="shared" si="9"/>
        <v>1</v>
      </c>
      <c r="AR230" s="457" t="e">
        <f t="shared" si="5"/>
        <v>#REF!</v>
      </c>
      <c r="AS230" s="458" t="e">
        <f>IF($B$38="P",IF(#REF!&lt;&gt;"",#REF!,""),"")</f>
        <v>#REF!</v>
      </c>
      <c r="AT230" s="458" t="e">
        <f>IF($B$38="P",IF(#REF!&lt;&gt;"",#REF!,""),"")</f>
        <v>#REF!</v>
      </c>
      <c r="AV230">
        <v>53</v>
      </c>
      <c r="AW230" s="378"/>
    </row>
    <row r="231" spans="18:49" ht="12.75">
      <c r="R231">
        <f t="shared" si="7"/>
        <v>1</v>
      </c>
      <c r="S231" s="457" t="e">
        <f t="shared" si="2"/>
        <v>#REF!</v>
      </c>
      <c r="T231" s="458" t="e">
        <f>IF($B$38="P",IF(#REF!&lt;&gt;"",#REF!,""),"")</f>
        <v>#REF!</v>
      </c>
      <c r="U231" s="458" t="e">
        <f>IF($B$38="P",IF(#REF!&lt;&gt;"",ABS(#REF!),""),"")</f>
        <v>#REF!</v>
      </c>
      <c r="V231" s="458" t="e">
        <f>IF($B$38="P",IF(#REF!&lt;&gt;"",#REF!,""),"")</f>
        <v>#REF!</v>
      </c>
      <c r="W231" s="458" t="e">
        <f>IF($B$38="P",IF(#REF!&lt;&gt;"",#REF!,""),"")</f>
        <v>#REF!</v>
      </c>
      <c r="Y231">
        <v>54</v>
      </c>
      <c r="AB231">
        <f t="shared" si="8"/>
        <v>1</v>
      </c>
      <c r="AC231" s="457" t="e">
        <f t="shared" si="6"/>
        <v>#REF!</v>
      </c>
      <c r="AD231" s="458" t="e">
        <f>IF($B$38="P",IF(#REF!&lt;&gt;"",#REF!,""),"")</f>
        <v>#REF!</v>
      </c>
      <c r="AE231" s="458" t="e">
        <f>IF($B$38="P",IF(#REF!&lt;&gt;"",#REF!,""),"")</f>
        <v>#REF!</v>
      </c>
      <c r="AF231" s="378"/>
      <c r="AG231">
        <v>54</v>
      </c>
      <c r="AQ231">
        <f t="shared" si="9"/>
        <v>1</v>
      </c>
      <c r="AR231" s="457" t="e">
        <f t="shared" si="5"/>
        <v>#REF!</v>
      </c>
      <c r="AS231" s="458" t="e">
        <f>IF($B$38="P",IF(#REF!&lt;&gt;"",#REF!,""),"")</f>
        <v>#REF!</v>
      </c>
      <c r="AT231" s="458" t="e">
        <f>IF($B$38="P",IF(#REF!&lt;&gt;"",#REF!,""),"")</f>
        <v>#REF!</v>
      </c>
      <c r="AV231">
        <v>54</v>
      </c>
      <c r="AW231" s="378"/>
    </row>
    <row r="232" spans="18:49" ht="12.75">
      <c r="R232">
        <f t="shared" si="7"/>
        <v>1</v>
      </c>
      <c r="S232" s="457" t="e">
        <f t="shared" si="2"/>
        <v>#REF!</v>
      </c>
      <c r="T232" s="458" t="e">
        <f>IF($B$38="P",IF(#REF!&lt;&gt;"",#REF!,""),"")</f>
        <v>#REF!</v>
      </c>
      <c r="U232" s="458" t="e">
        <f>IF($B$38="P",IF(#REF!&lt;&gt;"",ABS(#REF!),""),"")</f>
        <v>#REF!</v>
      </c>
      <c r="V232" s="458" t="e">
        <f>IF($B$38="P",IF(#REF!&lt;&gt;"",#REF!,""),"")</f>
        <v>#REF!</v>
      </c>
      <c r="W232" s="458" t="e">
        <f>IF($B$38="P",IF(#REF!&lt;&gt;"",#REF!,""),"")</f>
        <v>#REF!</v>
      </c>
      <c r="Y232">
        <v>55</v>
      </c>
      <c r="AB232">
        <f t="shared" si="8"/>
        <v>1</v>
      </c>
      <c r="AC232" s="457" t="e">
        <f t="shared" si="6"/>
        <v>#REF!</v>
      </c>
      <c r="AD232" s="458" t="e">
        <f>IF($B$38="P",IF(#REF!&lt;&gt;"",#REF!,""),"")</f>
        <v>#REF!</v>
      </c>
      <c r="AE232" s="458" t="e">
        <f>IF($B$38="P",IF(#REF!&lt;&gt;"",#REF!,""),"")</f>
        <v>#REF!</v>
      </c>
      <c r="AF232" s="378"/>
      <c r="AG232">
        <v>55</v>
      </c>
      <c r="AQ232">
        <f t="shared" si="9"/>
        <v>1</v>
      </c>
      <c r="AR232" s="457" t="e">
        <f t="shared" si="5"/>
        <v>#REF!</v>
      </c>
      <c r="AS232" s="458" t="e">
        <f>IF($B$38="P",IF(#REF!&lt;&gt;"",#REF!,""),"")</f>
        <v>#REF!</v>
      </c>
      <c r="AT232" s="458" t="e">
        <f>IF($B$38="P",IF(#REF!&lt;&gt;"",#REF!,""),"")</f>
        <v>#REF!</v>
      </c>
      <c r="AV232">
        <v>55</v>
      </c>
      <c r="AW232" s="378"/>
    </row>
    <row r="233" spans="18:49" ht="12.75">
      <c r="R233">
        <f t="shared" si="7"/>
        <v>1</v>
      </c>
      <c r="S233" s="457" t="e">
        <f t="shared" si="2"/>
        <v>#REF!</v>
      </c>
      <c r="T233" s="458" t="e">
        <f>IF($B$38="P",IF(#REF!&lt;&gt;"",#REF!,""),"")</f>
        <v>#REF!</v>
      </c>
      <c r="U233" s="458" t="e">
        <f>IF($B$38="P",IF(#REF!&lt;&gt;"",ABS(#REF!),""),"")</f>
        <v>#REF!</v>
      </c>
      <c r="V233" s="458" t="e">
        <f>IF($B$38="P",IF(#REF!&lt;&gt;"",#REF!,""),"")</f>
        <v>#REF!</v>
      </c>
      <c r="W233" s="458" t="e">
        <f>IF($B$38="P",IF(#REF!&lt;&gt;"",#REF!,""),"")</f>
        <v>#REF!</v>
      </c>
      <c r="Y233">
        <v>56</v>
      </c>
      <c r="AB233">
        <f t="shared" si="8"/>
        <v>1</v>
      </c>
      <c r="AC233" s="457" t="e">
        <f t="shared" si="6"/>
        <v>#REF!</v>
      </c>
      <c r="AD233" s="458" t="e">
        <f>IF($B$38="P",IF(#REF!&lt;&gt;"",#REF!,""),"")</f>
        <v>#REF!</v>
      </c>
      <c r="AE233" s="458" t="e">
        <f>IF($B$38="P",IF(#REF!&lt;&gt;"",#REF!,""),"")</f>
        <v>#REF!</v>
      </c>
      <c r="AF233" s="378"/>
      <c r="AG233">
        <v>56</v>
      </c>
      <c r="AQ233">
        <f t="shared" si="9"/>
        <v>1</v>
      </c>
      <c r="AR233" s="457" t="e">
        <f t="shared" si="5"/>
        <v>#REF!</v>
      </c>
      <c r="AS233" s="458" t="e">
        <f>IF($B$38="P",IF(#REF!&lt;&gt;"",#REF!,""),"")</f>
        <v>#REF!</v>
      </c>
      <c r="AT233" s="458" t="e">
        <f>IF($B$38="P",IF(#REF!&lt;&gt;"",#REF!,""),"")</f>
        <v>#REF!</v>
      </c>
      <c r="AV233">
        <v>56</v>
      </c>
      <c r="AW233" s="378"/>
    </row>
    <row r="234" spans="18:49" ht="12.75">
      <c r="R234">
        <f t="shared" si="7"/>
        <v>1</v>
      </c>
      <c r="S234" s="457" t="e">
        <f t="shared" si="2"/>
        <v>#REF!</v>
      </c>
      <c r="T234" s="458" t="e">
        <f>IF($B$38="P",IF(#REF!&lt;&gt;"",#REF!,""),"")</f>
        <v>#REF!</v>
      </c>
      <c r="U234" s="458" t="e">
        <f>IF($B$38="P",IF(#REF!&lt;&gt;"",ABS(#REF!),""),"")</f>
        <v>#REF!</v>
      </c>
      <c r="V234" s="458" t="e">
        <f>IF($B$38="P",IF(#REF!&lt;&gt;"",#REF!,""),"")</f>
        <v>#REF!</v>
      </c>
      <c r="W234" s="458" t="e">
        <f>IF($B$38="P",IF(#REF!&lt;&gt;"",#REF!,""),"")</f>
        <v>#REF!</v>
      </c>
      <c r="Y234">
        <v>57</v>
      </c>
      <c r="AD234" s="368"/>
      <c r="AE234" s="368"/>
      <c r="AF234" s="378"/>
      <c r="AG234" s="378"/>
      <c r="AH234" s="378"/>
      <c r="AQ234">
        <f t="shared" si="9"/>
        <v>1</v>
      </c>
      <c r="AR234" s="457" t="e">
        <f t="shared" si="5"/>
        <v>#REF!</v>
      </c>
      <c r="AS234" s="458" t="e">
        <f>IF($B$38="P",IF(#REF!&lt;&gt;"",#REF!,""),"")</f>
        <v>#REF!</v>
      </c>
      <c r="AT234" s="458" t="e">
        <f>IF($B$38="P",IF(#REF!&lt;&gt;"",#REF!,""),"")</f>
        <v>#REF!</v>
      </c>
      <c r="AV234">
        <v>57</v>
      </c>
      <c r="AW234" s="378"/>
    </row>
    <row r="235" spans="18:49" ht="12.75">
      <c r="R235">
        <f t="shared" si="7"/>
        <v>1</v>
      </c>
      <c r="S235" s="457" t="e">
        <f t="shared" si="2"/>
        <v>#REF!</v>
      </c>
      <c r="T235" s="458" t="e">
        <f>IF($B$38="P",IF(#REF!&lt;&gt;"",#REF!,""),"")</f>
        <v>#REF!</v>
      </c>
      <c r="U235" s="458" t="e">
        <f>IF($B$38="P",IF(#REF!&lt;&gt;"",ABS(#REF!),""),"")</f>
        <v>#REF!</v>
      </c>
      <c r="V235" s="458" t="e">
        <f>IF($B$38="P",IF(#REF!&lt;&gt;"",#REF!,""),"")</f>
        <v>#REF!</v>
      </c>
      <c r="W235" s="458" t="e">
        <f>IF($B$38="P",IF(#REF!&lt;&gt;"",#REF!,""),"")</f>
        <v>#REF!</v>
      </c>
      <c r="Y235">
        <v>58</v>
      </c>
      <c r="AD235" s="368"/>
      <c r="AE235" s="368"/>
      <c r="AF235" s="378"/>
      <c r="AG235" s="378"/>
      <c r="AH235" s="378"/>
      <c r="AQ235">
        <f t="shared" si="9"/>
        <v>1</v>
      </c>
      <c r="AR235" s="457" t="e">
        <f t="shared" si="5"/>
        <v>#REF!</v>
      </c>
      <c r="AS235" s="458" t="e">
        <f>IF($B$38="P",IF(#REF!&lt;&gt;"",#REF!,""),"")</f>
        <v>#REF!</v>
      </c>
      <c r="AT235" s="458" t="e">
        <f>IF($B$38="P",IF(#REF!&lt;&gt;"",#REF!,""),"")</f>
        <v>#REF!</v>
      </c>
      <c r="AV235">
        <v>58</v>
      </c>
      <c r="AW235" s="378"/>
    </row>
    <row r="236" spans="18:49" ht="12.75">
      <c r="R236">
        <f t="shared" si="7"/>
        <v>1</v>
      </c>
      <c r="S236" s="457" t="e">
        <f t="shared" si="2"/>
        <v>#REF!</v>
      </c>
      <c r="T236" s="458" t="e">
        <f>IF($B$38="P",IF(#REF!&lt;&gt;"",#REF!,""),"")</f>
        <v>#REF!</v>
      </c>
      <c r="U236" s="458" t="e">
        <f>IF($B$38="P",IF(#REF!&lt;&gt;"",ABS(#REF!),""),"")</f>
        <v>#REF!</v>
      </c>
      <c r="V236" s="458" t="e">
        <f>IF($B$38="P",IF(#REF!&lt;&gt;"",#REF!,""),"")</f>
        <v>#REF!</v>
      </c>
      <c r="W236" s="458" t="e">
        <f>IF($B$38="P",IF(#REF!&lt;&gt;"",#REF!,""),"")</f>
        <v>#REF!</v>
      </c>
      <c r="Y236">
        <v>59</v>
      </c>
      <c r="AD236" s="368"/>
      <c r="AE236" s="368"/>
      <c r="AF236" s="378"/>
      <c r="AG236" s="378"/>
      <c r="AH236" s="378"/>
      <c r="AQ236" s="368">
        <f t="shared" si="10" ref="AQ236:AQ243">$AP$178</f>
        <v>1</v>
      </c>
      <c r="AR236" s="457" t="e">
        <f t="shared" si="5"/>
        <v>#REF!</v>
      </c>
      <c r="AS236" s="458" t="e">
        <f>IF($B$38="P",IF(#REF!&lt;&gt;"",#REF!,""),"")</f>
        <v>#REF!</v>
      </c>
      <c r="AT236" s="458" t="e">
        <f>IF($B$38="P",IF(#REF!&lt;&gt;"",#REF!,""),"")</f>
        <v>#REF!</v>
      </c>
      <c r="AV236">
        <v>59</v>
      </c>
      <c r="AW236" s="378"/>
    </row>
    <row r="237" spans="18:49" ht="12.75">
      <c r="R237">
        <f t="shared" si="7"/>
        <v>1</v>
      </c>
      <c r="S237" s="457" t="e">
        <f t="shared" si="2"/>
        <v>#REF!</v>
      </c>
      <c r="T237" s="458" t="e">
        <f>IF($B$38="P",IF(#REF!&lt;&gt;"",#REF!,""),"")</f>
        <v>#REF!</v>
      </c>
      <c r="U237" s="458" t="e">
        <f>IF($B$38="P",IF(#REF!&lt;&gt;"",ABS(#REF!),""),"")</f>
        <v>#REF!</v>
      </c>
      <c r="V237" s="458" t="e">
        <f>IF($B$38="P",IF(#REF!&lt;&gt;"",#REF!,""),"")</f>
        <v>#REF!</v>
      </c>
      <c r="W237" s="458" t="e">
        <f>IF($B$38="P",IF(#REF!&lt;&gt;"",#REF!,""),"")</f>
        <v>#REF!</v>
      </c>
      <c r="Y237">
        <v>60</v>
      </c>
      <c r="AD237" s="368"/>
      <c r="AE237" s="368"/>
      <c r="AF237" s="378"/>
      <c r="AG237" s="378"/>
      <c r="AH237" s="378"/>
      <c r="AQ237" s="368">
        <f t="shared" si="10"/>
        <v>1</v>
      </c>
      <c r="AR237" s="457" t="e">
        <f t="shared" si="5"/>
        <v>#REF!</v>
      </c>
      <c r="AS237" s="458" t="e">
        <f>IF($B$38="P",IF(#REF!&lt;&gt;"",#REF!,""),"")</f>
        <v>#REF!</v>
      </c>
      <c r="AT237" s="458" t="e">
        <f>IF($B$38="P",IF(#REF!&lt;&gt;"",#REF!,""),"")</f>
        <v>#REF!</v>
      </c>
      <c r="AV237">
        <v>60</v>
      </c>
      <c r="AW237" s="378"/>
    </row>
    <row r="238" spans="18:49" ht="12.75">
      <c r="R238">
        <f t="shared" si="7"/>
        <v>1</v>
      </c>
      <c r="S238" s="457" t="e">
        <f t="shared" si="2"/>
        <v>#REF!</v>
      </c>
      <c r="T238" s="458" t="e">
        <f>IF($B$38="P",IF(#REF!&lt;&gt;"",#REF!,""),"")</f>
        <v>#REF!</v>
      </c>
      <c r="U238" s="458" t="e">
        <f>IF($B$38="P",IF(#REF!&lt;&gt;"",ABS(#REF!),""),"")</f>
        <v>#REF!</v>
      </c>
      <c r="V238" s="458" t="e">
        <f>IF($B$38="P",IF(#REF!&lt;&gt;"",#REF!,""),"")</f>
        <v>#REF!</v>
      </c>
      <c r="W238" s="458" t="e">
        <f>IF($B$38="P",IF(#REF!&lt;&gt;"",#REF!,""),"")</f>
        <v>#REF!</v>
      </c>
      <c r="Y238">
        <v>61</v>
      </c>
      <c r="AD238" s="368"/>
      <c r="AE238" s="368"/>
      <c r="AF238" s="378"/>
      <c r="AG238" s="378"/>
      <c r="AH238" s="378"/>
      <c r="AQ238" s="368">
        <f t="shared" si="10"/>
        <v>1</v>
      </c>
      <c r="AR238" s="457" t="e">
        <f t="shared" si="5"/>
        <v>#REF!</v>
      </c>
      <c r="AS238" s="458" t="e">
        <f>IF($B$38="P",IF(#REF!&lt;&gt;"",#REF!,""),"")</f>
        <v>#REF!</v>
      </c>
      <c r="AT238" s="458" t="e">
        <f>IF($B$38="P",IF(#REF!&lt;&gt;"",#REF!,""),"")</f>
        <v>#REF!</v>
      </c>
      <c r="AV238">
        <v>61</v>
      </c>
      <c r="AW238" s="378"/>
    </row>
    <row r="239" spans="18:49" ht="12.75">
      <c r="R239">
        <f t="shared" si="7"/>
        <v>1</v>
      </c>
      <c r="S239" s="457" t="e">
        <f t="shared" si="2"/>
        <v>#REF!</v>
      </c>
      <c r="T239" s="458" t="e">
        <f>IF($B$38="P",IF(#REF!&lt;&gt;"",#REF!,""),"")</f>
        <v>#REF!</v>
      </c>
      <c r="U239" s="458" t="e">
        <f>IF($B$38="P",IF(#REF!&lt;&gt;"",ABS(#REF!),""),"")</f>
        <v>#REF!</v>
      </c>
      <c r="V239" s="458" t="e">
        <f>IF($B$38="P",IF(#REF!&lt;&gt;"",#REF!,""),"")</f>
        <v>#REF!</v>
      </c>
      <c r="W239" s="458" t="e">
        <f>IF($B$38="P",IF(#REF!&lt;&gt;"",#REF!,""),"")</f>
        <v>#REF!</v>
      </c>
      <c r="Y239">
        <v>62</v>
      </c>
      <c r="AQ239" s="368">
        <f t="shared" si="10"/>
        <v>1</v>
      </c>
      <c r="AR239" s="457" t="e">
        <f t="shared" si="5"/>
        <v>#REF!</v>
      </c>
      <c r="AS239" s="458" t="e">
        <f>IF($B$38="P",IF(#REF!&lt;&gt;"",#REF!,""),"")</f>
        <v>#REF!</v>
      </c>
      <c r="AT239" s="458" t="e">
        <f>IF($B$38="P",IF(#REF!&lt;&gt;"",#REF!,""),"")</f>
        <v>#REF!</v>
      </c>
      <c r="AV239">
        <v>62</v>
      </c>
      <c r="AW239" s="378"/>
    </row>
    <row r="240" spans="18:49" ht="12.75">
      <c r="R240">
        <f t="shared" si="7"/>
        <v>1</v>
      </c>
      <c r="S240" s="457" t="e">
        <f t="shared" si="2"/>
        <v>#REF!</v>
      </c>
      <c r="T240" s="458" t="e">
        <f>IF($B$38="P",IF(#REF!&lt;&gt;"",#REF!,""),"")</f>
        <v>#REF!</v>
      </c>
      <c r="U240" s="458" t="e">
        <f>IF($B$38="P",IF(#REF!&lt;&gt;"",ABS(#REF!),""),"")</f>
        <v>#REF!</v>
      </c>
      <c r="V240" s="458" t="e">
        <f>IF($B$38="P",IF(#REF!&lt;&gt;"",#REF!,""),"")</f>
        <v>#REF!</v>
      </c>
      <c r="W240" s="458" t="e">
        <f>IF($B$38="P",IF(#REF!&lt;&gt;"",#REF!,""),"")</f>
        <v>#REF!</v>
      </c>
      <c r="Y240">
        <v>63</v>
      </c>
      <c r="AQ240" s="368">
        <f t="shared" si="10"/>
        <v>1</v>
      </c>
      <c r="AR240" s="457" t="e">
        <f t="shared" si="5"/>
        <v>#REF!</v>
      </c>
      <c r="AS240" s="458" t="e">
        <f>IF($B$38="P",IF(#REF!&lt;&gt;"",#REF!,""),"")</f>
        <v>#REF!</v>
      </c>
      <c r="AT240" s="458" t="e">
        <f>IF($B$38="P",IF(#REF!&lt;&gt;"",#REF!,""),"")</f>
        <v>#REF!</v>
      </c>
      <c r="AV240">
        <v>63</v>
      </c>
      <c r="AW240" s="378"/>
    </row>
    <row r="241" spans="18:49" ht="12.75">
      <c r="R241">
        <f t="shared" si="7"/>
        <v>1</v>
      </c>
      <c r="S241" s="457" t="e">
        <f t="shared" si="2"/>
        <v>#REF!</v>
      </c>
      <c r="T241" s="458" t="e">
        <f>IF($B$38="P",IF(#REF!&lt;&gt;"",#REF!,""),"")</f>
        <v>#REF!</v>
      </c>
      <c r="U241" s="458" t="e">
        <f>IF($B$38="P",IF(#REF!&lt;&gt;"",ABS(#REF!),""),"")</f>
        <v>#REF!</v>
      </c>
      <c r="V241" s="458" t="e">
        <f>IF($B$38="P",IF(#REF!&lt;&gt;"",#REF!,""),"")</f>
        <v>#REF!</v>
      </c>
      <c r="W241" s="458" t="e">
        <f>IF($B$38="P",IF(#REF!&lt;&gt;"",#REF!,""),"")</f>
        <v>#REF!</v>
      </c>
      <c r="Y241">
        <v>64</v>
      </c>
      <c r="AQ241" s="368">
        <f t="shared" si="10"/>
        <v>1</v>
      </c>
      <c r="AR241" s="457" t="e">
        <f t="shared" si="5"/>
        <v>#REF!</v>
      </c>
      <c r="AS241" s="458" t="e">
        <f>IF($B$38="P",IF(#REF!&lt;&gt;"",#REF!,""),"")</f>
        <v>#REF!</v>
      </c>
      <c r="AT241" s="458" t="e">
        <f>IF($B$38="P",IF(#REF!&lt;&gt;"",#REF!,""),"")</f>
        <v>#REF!</v>
      </c>
      <c r="AV241">
        <v>64</v>
      </c>
      <c r="AW241" s="378"/>
    </row>
    <row r="242" spans="18:49" ht="12.75">
      <c r="R242">
        <f t="shared" si="7"/>
        <v>1</v>
      </c>
      <c r="S242" s="457" t="e">
        <f t="shared" si="11" ref="S242:S254">IF($B$38="P",Y242,IF($B$38="Z",IF(Z242&lt;&gt;"",Z242,""),IF($B$38="M",IF(AA242&lt;&gt;"",AA242,""),Y242)))</f>
        <v>#REF!</v>
      </c>
      <c r="T242" s="458" t="e">
        <f>IF($B$38="P",IF(#REF!&lt;&gt;"",#REF!,""),"")</f>
        <v>#REF!</v>
      </c>
      <c r="U242" s="458" t="e">
        <f>IF($B$38="P",IF(#REF!&lt;&gt;"",ABS(#REF!),""),"")</f>
        <v>#REF!</v>
      </c>
      <c r="V242" s="458" t="e">
        <f>IF($B$38="P",IF(#REF!&lt;&gt;"",#REF!,""),"")</f>
        <v>#REF!</v>
      </c>
      <c r="W242" s="458" t="e">
        <f>IF($B$38="P",IF(#REF!&lt;&gt;"",#REF!,""),"")</f>
        <v>#REF!</v>
      </c>
      <c r="Y242">
        <v>65</v>
      </c>
      <c r="AQ242" s="368">
        <f t="shared" si="10"/>
        <v>1</v>
      </c>
      <c r="AR242" s="457" t="e">
        <f t="shared" si="12" ref="AR242:AR243">IF($B$38="P",AV242,IF($B$38="Z",IF(AW242&lt;&gt;"",AW242,""),IF($B$38="M",IF(AX242&lt;&gt;"",AX242,""),AV242)))</f>
        <v>#REF!</v>
      </c>
      <c r="AS242" s="458" t="e">
        <f>IF($B$38="P",IF(#REF!&lt;&gt;"",#REF!,""),"")</f>
        <v>#REF!</v>
      </c>
      <c r="AT242" s="458" t="e">
        <f>IF($B$38="P",IF(#REF!&lt;&gt;"",#REF!,""),"")</f>
        <v>#REF!</v>
      </c>
      <c r="AV242">
        <v>65</v>
      </c>
      <c r="AW242" s="378"/>
    </row>
    <row r="243" spans="18:49" ht="12.75">
      <c r="R243">
        <f t="shared" si="7"/>
        <v>1</v>
      </c>
      <c r="S243" s="457" t="e">
        <f t="shared" si="11"/>
        <v>#REF!</v>
      </c>
      <c r="T243" s="458" t="e">
        <f>IF($B$38="P",IF(#REF!&lt;&gt;"",#REF!,""),"")</f>
        <v>#REF!</v>
      </c>
      <c r="U243" s="458" t="e">
        <f>IF($B$38="P",IF(#REF!&lt;&gt;"",ABS(#REF!),""),"")</f>
        <v>#REF!</v>
      </c>
      <c r="V243" s="458" t="e">
        <f>IF($B$38="P",IF(#REF!&lt;&gt;"",#REF!,""),"")</f>
        <v>#REF!</v>
      </c>
      <c r="W243" s="458" t="e">
        <f>IF($B$38="P",IF(#REF!&lt;&gt;"",#REF!,""),"")</f>
        <v>#REF!</v>
      </c>
      <c r="Y243">
        <v>66</v>
      </c>
      <c r="AQ243" s="368">
        <f t="shared" si="10"/>
        <v>1</v>
      </c>
      <c r="AR243" s="457" t="e">
        <f t="shared" si="12"/>
        <v>#REF!</v>
      </c>
      <c r="AS243" s="458" t="e">
        <f>IF($B$38="P",IF(#REF!&lt;&gt;"",#REF!,""),"")</f>
        <v>#REF!</v>
      </c>
      <c r="AT243" s="458" t="e">
        <f>IF($B$38="P",IF(#REF!&lt;&gt;"",#REF!,""),"")</f>
        <v>#REF!</v>
      </c>
      <c r="AV243">
        <v>66</v>
      </c>
      <c r="AW243" s="378"/>
    </row>
    <row r="244" spans="18:25" ht="12.75">
      <c r="R244" s="372">
        <f t="shared" si="13" ref="R244:R254">$Q$178</f>
        <v>1</v>
      </c>
      <c r="S244" s="457" t="e">
        <f t="shared" si="11"/>
        <v>#REF!</v>
      </c>
      <c r="T244" s="458" t="e">
        <f>IF($B$38="P",IF(#REF!&lt;&gt;"",#REF!,""),"")</f>
        <v>#REF!</v>
      </c>
      <c r="U244" s="458" t="e">
        <f>IF($B$38="P",IF(#REF!&lt;&gt;"",ABS(#REF!),""),"")</f>
        <v>#REF!</v>
      </c>
      <c r="V244" s="458" t="e">
        <f>IF($B$38="P",IF(#REF!&lt;&gt;"",#REF!,""),"")</f>
        <v>#REF!</v>
      </c>
      <c r="W244" s="458" t="e">
        <f>IF($B$38="P",IF(#REF!&lt;&gt;"",#REF!,""),"")</f>
        <v>#REF!</v>
      </c>
      <c r="Y244">
        <v>67</v>
      </c>
    </row>
    <row r="245" spans="18:25" ht="12.75">
      <c r="R245" s="372">
        <f t="shared" si="13"/>
        <v>1</v>
      </c>
      <c r="S245" s="457" t="e">
        <f t="shared" si="11"/>
        <v>#REF!</v>
      </c>
      <c r="T245" s="458" t="e">
        <f>IF($B$38="P",IF(#REF!&lt;&gt;"",#REF!,""),"")</f>
        <v>#REF!</v>
      </c>
      <c r="U245" s="458" t="e">
        <f>IF($B$38="P",IF(#REF!&lt;&gt;"",ABS(#REF!),""),"")</f>
        <v>#REF!</v>
      </c>
      <c r="V245" s="458" t="e">
        <f>IF($B$38="P",IF(#REF!&lt;&gt;"",#REF!,""),"")</f>
        <v>#REF!</v>
      </c>
      <c r="W245" s="458" t="e">
        <f>IF($B$38="P",IF(#REF!&lt;&gt;"",#REF!,""),"")</f>
        <v>#REF!</v>
      </c>
      <c r="Y245">
        <v>68</v>
      </c>
    </row>
    <row r="246" spans="18:25" ht="12.75">
      <c r="R246" s="372">
        <f t="shared" si="13"/>
        <v>1</v>
      </c>
      <c r="S246" s="457" t="e">
        <f t="shared" si="11"/>
        <v>#REF!</v>
      </c>
      <c r="T246" s="458" t="e">
        <f>IF($B$38="P",IF(#REF!&lt;&gt;"",#REF!,""),"")</f>
        <v>#REF!</v>
      </c>
      <c r="U246" s="458" t="e">
        <f>IF($B$38="P",IF(#REF!&lt;&gt;"",ABS(#REF!),""),"")</f>
        <v>#REF!</v>
      </c>
      <c r="V246" s="458" t="e">
        <f>IF($B$38="P",IF(#REF!&lt;&gt;"",#REF!,""),"")</f>
        <v>#REF!</v>
      </c>
      <c r="W246" s="458" t="e">
        <f>IF($B$38="P",IF(#REF!&lt;&gt;"",#REF!,""),"")</f>
        <v>#REF!</v>
      </c>
      <c r="Y246">
        <v>69</v>
      </c>
    </row>
    <row r="247" spans="18:25" ht="12.75">
      <c r="R247" s="372">
        <f t="shared" si="13"/>
        <v>1</v>
      </c>
      <c r="S247" s="457" t="e">
        <f t="shared" si="11"/>
        <v>#REF!</v>
      </c>
      <c r="T247" s="458" t="e">
        <f>IF($B$38="P",IF(#REF!&lt;&gt;"",#REF!,""),"")</f>
        <v>#REF!</v>
      </c>
      <c r="U247" s="458" t="e">
        <f>IF($B$38="P",IF(#REF!&lt;&gt;"",ABS(#REF!),""),"")</f>
        <v>#REF!</v>
      </c>
      <c r="V247" s="458" t="e">
        <f>IF($B$38="P",IF(#REF!&lt;&gt;"",#REF!,""),"")</f>
        <v>#REF!</v>
      </c>
      <c r="W247" s="458" t="e">
        <f>IF($B$38="P",IF(#REF!&lt;&gt;"",#REF!,""),"")</f>
        <v>#REF!</v>
      </c>
      <c r="Y247">
        <v>70</v>
      </c>
    </row>
    <row r="248" spans="18:25" ht="12.75">
      <c r="R248" s="372">
        <f t="shared" si="13"/>
        <v>1</v>
      </c>
      <c r="S248" s="457" t="e">
        <f t="shared" si="11"/>
        <v>#REF!</v>
      </c>
      <c r="T248" s="458" t="e">
        <f>IF($B$38="P",IF(#REF!&lt;&gt;"",#REF!,""),"")</f>
        <v>#REF!</v>
      </c>
      <c r="U248" s="458" t="e">
        <f>IF($B$38="P",IF(#REF!&lt;&gt;"",ABS(#REF!),""),"")</f>
        <v>#REF!</v>
      </c>
      <c r="V248" s="458" t="e">
        <f>IF($B$38="P",IF(#REF!&lt;&gt;"",#REF!,""),"")</f>
        <v>#REF!</v>
      </c>
      <c r="W248" s="458" t="e">
        <f>IF($B$38="P",IF(#REF!&lt;&gt;"",#REF!,""),"")</f>
        <v>#REF!</v>
      </c>
      <c r="Y248">
        <v>71</v>
      </c>
    </row>
    <row r="249" spans="18:25" ht="12.75">
      <c r="R249" s="372">
        <f t="shared" si="13"/>
        <v>1</v>
      </c>
      <c r="S249" s="457" t="e">
        <f t="shared" si="11"/>
        <v>#REF!</v>
      </c>
      <c r="T249" s="458" t="e">
        <f>IF($B$38="P",IF(#REF!&lt;&gt;"",#REF!,""),"")</f>
        <v>#REF!</v>
      </c>
      <c r="U249" s="458" t="e">
        <f>IF($B$38="P",IF(#REF!&lt;&gt;"",ABS(#REF!),""),"")</f>
        <v>#REF!</v>
      </c>
      <c r="V249" s="458" t="e">
        <f>IF($B$38="P",IF(#REF!&lt;&gt;"",#REF!,""),"")</f>
        <v>#REF!</v>
      </c>
      <c r="W249" s="458" t="e">
        <f>IF($B$38="P",IF(#REF!&lt;&gt;"",#REF!,""),"")</f>
        <v>#REF!</v>
      </c>
      <c r="Y249">
        <v>72</v>
      </c>
    </row>
    <row r="250" spans="18:25" ht="12.75">
      <c r="R250" s="372">
        <f t="shared" si="13"/>
        <v>1</v>
      </c>
      <c r="S250" s="457" t="e">
        <f t="shared" si="11"/>
        <v>#REF!</v>
      </c>
      <c r="T250" s="458" t="e">
        <f>IF($B$38="P",IF(#REF!&lt;&gt;"",#REF!,""),"")</f>
        <v>#REF!</v>
      </c>
      <c r="U250" s="458" t="e">
        <f>IF($B$38="P",IF(#REF!&lt;&gt;"",ABS(#REF!),""),"")</f>
        <v>#REF!</v>
      </c>
      <c r="V250" s="458" t="e">
        <f>IF($B$38="P",IF(#REF!&lt;&gt;"",#REF!,""),"")</f>
        <v>#REF!</v>
      </c>
      <c r="W250" s="458" t="e">
        <f>IF($B$38="P",IF(#REF!&lt;&gt;"",#REF!,""),"")</f>
        <v>#REF!</v>
      </c>
      <c r="Y250">
        <v>73</v>
      </c>
    </row>
    <row r="251" spans="18:25" ht="12.75">
      <c r="R251" s="372">
        <f t="shared" si="13"/>
        <v>1</v>
      </c>
      <c r="S251" s="457" t="e">
        <f t="shared" si="11"/>
        <v>#REF!</v>
      </c>
      <c r="T251" s="458" t="e">
        <f>IF($B$38="P",IF(#REF!&lt;&gt;"",#REF!,""),"")</f>
        <v>#REF!</v>
      </c>
      <c r="U251" s="458" t="e">
        <f>IF($B$38="P",IF(#REF!&lt;&gt;"",ABS(#REF!),""),"")</f>
        <v>#REF!</v>
      </c>
      <c r="V251" s="458" t="e">
        <f>IF($B$38="P",IF(#REF!&lt;&gt;"",#REF!,""),"")</f>
        <v>#REF!</v>
      </c>
      <c r="W251" s="458" t="e">
        <f>IF($B$38="P",IF(#REF!&lt;&gt;"",#REF!,""),"")</f>
        <v>#REF!</v>
      </c>
      <c r="Y251">
        <v>74</v>
      </c>
    </row>
    <row r="252" spans="18:25" ht="12.75">
      <c r="R252" s="372">
        <f t="shared" si="13"/>
        <v>1</v>
      </c>
      <c r="S252" s="457" t="e">
        <f t="shared" si="11"/>
        <v>#REF!</v>
      </c>
      <c r="T252" s="458" t="e">
        <f>IF($B$38="P",IF(#REF!&lt;&gt;"",#REF!,""),"")</f>
        <v>#REF!</v>
      </c>
      <c r="U252" s="458" t="e">
        <f>IF($B$38="P",IF(#REF!&lt;&gt;"",ABS(#REF!),""),"")</f>
        <v>#REF!</v>
      </c>
      <c r="V252" s="458" t="e">
        <f>IF($B$38="P",IF(#REF!&lt;&gt;"",#REF!,""),"")</f>
        <v>#REF!</v>
      </c>
      <c r="W252" s="458" t="e">
        <f>IF($B$38="P",IF(#REF!&lt;&gt;"",#REF!,""),"")</f>
        <v>#REF!</v>
      </c>
      <c r="Y252">
        <v>75</v>
      </c>
    </row>
    <row r="253" spans="18:25" ht="12.75">
      <c r="R253" s="372">
        <f t="shared" si="13"/>
        <v>1</v>
      </c>
      <c r="S253" s="457" t="e">
        <f t="shared" si="11"/>
        <v>#REF!</v>
      </c>
      <c r="T253" s="458" t="e">
        <f>IF($B$38="P",IF(#REF!&lt;&gt;"",#REF!,""),"")</f>
        <v>#REF!</v>
      </c>
      <c r="U253" s="458" t="e">
        <f>IF($B$38="P",IF(#REF!&lt;&gt;"",ABS(#REF!),""),"")</f>
        <v>#REF!</v>
      </c>
      <c r="V253" s="458" t="e">
        <f>IF($B$38="P",IF(#REF!&lt;&gt;"",#REF!,""),"")</f>
        <v>#REF!</v>
      </c>
      <c r="W253" s="458" t="e">
        <f>IF($B$38="P",IF(#REF!&lt;&gt;"",#REF!,""),"")</f>
        <v>#REF!</v>
      </c>
      <c r="Y253">
        <v>76</v>
      </c>
    </row>
    <row r="254" spans="18:25" ht="12.75">
      <c r="R254" s="372">
        <f t="shared" si="13"/>
        <v>1</v>
      </c>
      <c r="S254" s="457" t="e">
        <f t="shared" si="11"/>
        <v>#REF!</v>
      </c>
      <c r="T254" s="458" t="e">
        <f>IF($B$38="P",IF(#REF!&lt;&gt;"",#REF!,""),"")</f>
        <v>#REF!</v>
      </c>
      <c r="U254" s="458" t="e">
        <f>IF($B$38="P",IF(#REF!&lt;&gt;"",ABS(#REF!),""),"")</f>
        <v>#REF!</v>
      </c>
      <c r="V254" s="458" t="e">
        <f>IF($B$38="P",IF(#REF!&lt;&gt;"",#REF!,""),"")</f>
        <v>#REF!</v>
      </c>
      <c r="W254" s="458" t="e">
        <f>IF($B$38="P",IF(#REF!&lt;&gt;"",#REF!,""),"")</f>
        <v>#REF!</v>
      </c>
      <c r="Y254">
        <v>77</v>
      </c>
    </row>
    <row r="271" spans="17:24" ht="14.25">
      <c r="Q271" t="s">
        <v>685</v>
      </c>
      <c r="R271" s="307" t="s">
        <v>675</v>
      </c>
      <c r="S271" s="310" t="s">
        <v>676</v>
      </c>
      <c r="T271" s="310" t="s">
        <v>677</v>
      </c>
      <c r="U271" s="310" t="s">
        <v>678</v>
      </c>
      <c r="V271" s="310" t="s">
        <v>679</v>
      </c>
      <c r="W271" s="310" t="s">
        <v>680</v>
      </c>
      <c r="X271" s="310" t="s">
        <v>687</v>
      </c>
    </row>
    <row r="272" spans="24:24" ht="12.75">
      <c r="X272" s="308"/>
    </row>
    <row r="281" spans="17:22" ht="14.25">
      <c r="Q281" t="s">
        <v>686</v>
      </c>
      <c r="R281" s="307" t="s">
        <v>675</v>
      </c>
      <c r="S281" s="310" t="s">
        <v>676</v>
      </c>
      <c r="T281" s="310" t="s">
        <v>681</v>
      </c>
      <c r="U281" s="310" t="s">
        <v>682</v>
      </c>
      <c r="V281" s="310" t="s">
        <v>687</v>
      </c>
    </row>
    <row r="282" spans="22:22" ht="12.75">
      <c r="V282" s="308"/>
    </row>
    <row r="291" spans="17:21" ht="14.25">
      <c r="Q291" t="s">
        <v>692</v>
      </c>
      <c r="R291" s="307" t="s">
        <v>688</v>
      </c>
      <c r="S291" s="310" t="s">
        <v>689</v>
      </c>
      <c r="T291" s="310" t="s">
        <v>690</v>
      </c>
      <c r="U291" s="310" t="s">
        <v>691</v>
      </c>
    </row>
    <row r="292" spans="18:21" ht="12.75">
      <c r="R292" t="str">
        <f>IF('2Př'!C30&lt;&gt;"",MID('2Př'!C30,FIND("-",'2Př'!C30,1)+1,FIND("/",'2Př'!C30,1)-FIND("-",'2Př'!C30,1)-1),"")</f>
        <v/>
      </c>
      <c r="S292" t="str">
        <f>IF('2Př'!C30&lt;&gt;"",MID('2Př'!C30,FIND("-",'2Př'!C30,3)+1,LEN('2Př'!C30)-FIND("-",'2Př'!C30,3)),"")</f>
        <v/>
      </c>
      <c r="T292" t="str">
        <f>IF('2Př'!C30&lt;&gt;"",MID('2Př'!C30,FIND("/",'2Př'!C30,1)+1,4),"")</f>
        <v/>
      </c>
      <c r="U292" s="365" t="str">
        <f>IF('2Př'!C30&lt;&gt;"",LEFT('2Př'!C30,1),"")</f>
        <v/>
      </c>
    </row>
    <row r="294" spans="18:21" ht="12.75">
      <c r="R294" s="314" t="s">
        <v>3392</v>
      </c>
      <c r="S294" s="314" t="s">
        <v>3392</v>
      </c>
      <c r="T294" s="314" t="s">
        <v>3392</v>
      </c>
      <c r="U294" s="314" t="s">
        <v>3392</v>
      </c>
    </row>
    <row r="301" spans="17:21" ht="14.25">
      <c r="Q301" t="s">
        <v>693</v>
      </c>
      <c r="R301" s="309" t="s">
        <v>694</v>
      </c>
      <c r="S301" s="311" t="s">
        <v>695</v>
      </c>
      <c r="T301" s="311" t="s">
        <v>696</v>
      </c>
      <c r="U301" s="311" t="s">
        <v>697</v>
      </c>
    </row>
    <row r="302" spans="19:21" ht="12.75">
      <c r="S302" s="308"/>
      <c r="T302" s="308"/>
      <c r="U302" s="308"/>
    </row>
    <row r="311" spans="17:22" ht="12.75">
      <c r="Q311" t="s">
        <v>698</v>
      </c>
      <c r="R311" t="s">
        <v>694</v>
      </c>
      <c r="S311" t="s">
        <v>695</v>
      </c>
      <c r="T311" t="s">
        <v>696</v>
      </c>
      <c r="U311" t="s">
        <v>697</v>
      </c>
      <c r="V311" t="s">
        <v>699</v>
      </c>
    </row>
    <row r="312" spans="19:22" ht="12.75">
      <c r="S312" s="308"/>
      <c r="T312" s="308"/>
      <c r="U312" s="308"/>
      <c r="V312" s="308"/>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codeName="List27">
    <pageSetUpPr fitToPage="1"/>
  </sheetPr>
  <dimension ref="A1:G111"/>
  <sheetViews>
    <sheetView workbookViewId="0" topLeftCell="A1">
      <selection pane="topLeft" activeCell="B17" sqref="B17"/>
    </sheetView>
  </sheetViews>
  <sheetFormatPr defaultColWidth="9.14428571428571" defaultRowHeight="12.75"/>
  <cols>
    <col min="1" max="1" width="24" style="3" customWidth="1"/>
    <col min="2" max="5" width="18.7142857142857" style="3" customWidth="1"/>
    <col min="6" max="6" width="11.4285714285714" style="26" bestFit="1" customWidth="1"/>
    <col min="7" max="28" width="9.14285714285714" style="26"/>
    <col min="29" max="16384" width="9.14285714285714" style="3"/>
  </cols>
  <sheetData>
    <row r="1" spans="1:7" ht="18" customHeight="1">
      <c r="A1" s="1387" t="s">
        <v>3695</v>
      </c>
      <c r="B1" s="518"/>
      <c r="C1" s="518"/>
      <c r="D1" s="518"/>
      <c r="E1" s="518"/>
      <c r="F1" s="28"/>
      <c r="G1" s="28"/>
    </row>
    <row r="2" spans="1:7" ht="18" customHeight="1">
      <c r="A2" s="1388" t="s">
        <v>3696</v>
      </c>
      <c r="B2" s="1388"/>
      <c r="C2" s="1388"/>
      <c r="D2" s="1388"/>
      <c r="E2" s="1388"/>
      <c r="F2" s="28"/>
      <c r="G2" s="28"/>
    </row>
    <row r="3" spans="1:7" ht="18" customHeight="1">
      <c r="A3" s="282" t="s">
        <v>3491</v>
      </c>
      <c r="B3" s="1389" t="str">
        <f>+CONCATENATE(ZAKL_DATA!B5," ",ZAKL_DATA!B4," ",ZAKL_DATA!B7)</f>
        <v xml:space="preserve">  </v>
      </c>
      <c r="C3" s="1048"/>
      <c r="D3" s="1048"/>
      <c r="E3" s="1048"/>
      <c r="G3" s="28"/>
    </row>
    <row r="4" spans="1:7" ht="18" customHeight="1">
      <c r="A4" s="1390"/>
      <c r="B4" s="1019"/>
      <c r="C4" s="1019"/>
      <c r="D4" s="1019"/>
      <c r="E4" s="1019"/>
      <c r="G4" s="28"/>
    </row>
    <row r="5" spans="1:7" ht="18" customHeight="1">
      <c r="A5" s="282" t="s">
        <v>3492</v>
      </c>
      <c r="B5" s="283">
        <f>+'DAP3'!D28</f>
        <v>0</v>
      </c>
      <c r="C5" s="1390"/>
      <c r="D5" s="1390"/>
      <c r="E5" s="1390"/>
      <c r="F5" s="28"/>
      <c r="G5" s="28"/>
    </row>
    <row r="6" spans="1:7" ht="18" customHeight="1" thickBot="1">
      <c r="A6" s="1391"/>
      <c r="B6" s="1044"/>
      <c r="C6" s="1044"/>
      <c r="D6" s="1044"/>
      <c r="E6" s="1044"/>
      <c r="F6" s="28"/>
      <c r="G6" s="28"/>
    </row>
    <row r="7" spans="1:7" ht="18" customHeight="1">
      <c r="A7" s="284" t="s">
        <v>270</v>
      </c>
      <c r="B7" s="285" t="s">
        <v>271</v>
      </c>
      <c r="C7" s="285" t="s">
        <v>172</v>
      </c>
      <c r="D7" s="299" t="s">
        <v>173</v>
      </c>
      <c r="E7" s="286" t="s">
        <v>272</v>
      </c>
      <c r="F7" s="29"/>
      <c r="G7" s="28"/>
    </row>
    <row r="8" spans="1:7" ht="18" customHeight="1" thickBot="1">
      <c r="A8" s="287"/>
      <c r="B8" s="288" t="s">
        <v>273</v>
      </c>
      <c r="C8" s="288" t="s">
        <v>274</v>
      </c>
      <c r="D8" s="300" t="s">
        <v>274</v>
      </c>
      <c r="E8" s="289" t="s">
        <v>274</v>
      </c>
      <c r="F8" s="28"/>
      <c r="G8" s="28"/>
    </row>
    <row r="9" spans="1:7" ht="18" customHeight="1">
      <c r="A9" s="290">
        <v>44286</v>
      </c>
      <c r="B9" s="291">
        <f>+'DAP3'!D50</f>
        <v>0</v>
      </c>
      <c r="C9" s="291" t="s">
        <v>3664</v>
      </c>
      <c r="D9" s="298" t="s">
        <v>3664</v>
      </c>
      <c r="E9" s="292" t="s">
        <v>3664</v>
      </c>
      <c r="G9" s="28"/>
    </row>
    <row r="10" spans="1:7" ht="30.75" customHeight="1">
      <c r="A10" s="293" t="s">
        <v>216</v>
      </c>
      <c r="B10" s="291">
        <v>0</v>
      </c>
      <c r="C10" s="291" t="s">
        <v>3664</v>
      </c>
      <c r="D10" s="291" t="s">
        <v>3664</v>
      </c>
      <c r="E10" s="292" t="s">
        <v>3664</v>
      </c>
      <c r="G10" s="28"/>
    </row>
    <row r="11" spans="1:7" ht="18" customHeight="1">
      <c r="A11" s="290">
        <f>8+A9</f>
        <v>44294</v>
      </c>
      <c r="B11" s="291">
        <v>0</v>
      </c>
      <c r="C11" s="291" t="s">
        <v>3664</v>
      </c>
      <c r="D11" s="291" t="s">
        <v>3664</v>
      </c>
      <c r="E11" s="292" t="s">
        <v>3664</v>
      </c>
      <c r="G11" s="28"/>
    </row>
    <row r="12" spans="1:7" ht="18" customHeight="1">
      <c r="A12" s="290">
        <f>+A11+22</f>
        <v>44316</v>
      </c>
      <c r="B12" s="291">
        <v>0</v>
      </c>
      <c r="C12" s="291" t="s">
        <v>3664</v>
      </c>
      <c r="D12" s="291" t="s">
        <v>3664</v>
      </c>
      <c r="E12" s="292" t="s">
        <v>3664</v>
      </c>
      <c r="G12" s="28"/>
    </row>
    <row r="13" spans="1:7" ht="18" customHeight="1">
      <c r="A13" s="290">
        <f>+A12+8</f>
        <v>44324</v>
      </c>
      <c r="B13" s="291">
        <v>0</v>
      </c>
      <c r="C13" s="291" t="s">
        <v>3664</v>
      </c>
      <c r="D13" s="291" t="s">
        <v>3664</v>
      </c>
      <c r="E13" s="292" t="s">
        <v>3664</v>
      </c>
      <c r="G13" s="28"/>
    </row>
    <row r="14" spans="1:7" ht="18" customHeight="1">
      <c r="A14" s="290">
        <f>22+A13</f>
        <v>44346</v>
      </c>
      <c r="B14" s="291">
        <v>0</v>
      </c>
      <c r="C14" s="291" t="s">
        <v>3664</v>
      </c>
      <c r="D14" s="291" t="s">
        <v>3664</v>
      </c>
      <c r="E14" s="292" t="s">
        <v>3664</v>
      </c>
      <c r="G14" s="28"/>
    </row>
    <row r="15" spans="1:7" ht="18" customHeight="1">
      <c r="A15" s="290">
        <f>31+A13</f>
        <v>44355</v>
      </c>
      <c r="B15" s="291">
        <v>0</v>
      </c>
      <c r="C15" s="291" t="s">
        <v>3664</v>
      </c>
      <c r="D15" s="291" t="s">
        <v>3664</v>
      </c>
      <c r="E15" s="292" t="s">
        <v>3664</v>
      </c>
      <c r="G15" s="28"/>
    </row>
    <row r="16" spans="1:5" ht="18" customHeight="1">
      <c r="A16" s="290">
        <f>8+A15-1</f>
        <v>44362</v>
      </c>
      <c r="B16" s="291">
        <f>CEILING(+A103*(IF($B$5&gt;150000,$B$5/4,0)+IF($B$5&gt;30000,$B$5*0.4,0)*IF($B$5&lt;150000,1,0)),100)</f>
        <v>0</v>
      </c>
      <c r="C16" s="291" t="s">
        <v>3664</v>
      </c>
      <c r="D16" s="291" t="s">
        <v>3664</v>
      </c>
      <c r="E16" s="292" t="s">
        <v>3664</v>
      </c>
    </row>
    <row r="17" spans="1:5" ht="18" customHeight="1">
      <c r="A17" s="290">
        <f>15+A16</f>
        <v>44377</v>
      </c>
      <c r="B17" s="291">
        <v>0</v>
      </c>
      <c r="C17" s="291" t="s">
        <v>3664</v>
      </c>
      <c r="D17" s="291" t="s">
        <v>3664</v>
      </c>
      <c r="E17" s="292" t="s">
        <v>3664</v>
      </c>
    </row>
    <row r="18" spans="1:5" ht="18" customHeight="1">
      <c r="A18" s="290">
        <f>23+A16</f>
        <v>44385</v>
      </c>
      <c r="B18" s="291">
        <v>0</v>
      </c>
      <c r="C18" s="291" t="s">
        <v>3664</v>
      </c>
      <c r="D18" s="291" t="s">
        <v>3664</v>
      </c>
      <c r="E18" s="292" t="s">
        <v>3664</v>
      </c>
    </row>
    <row r="19" spans="1:5" ht="18" customHeight="1">
      <c r="A19" s="290">
        <f>23+A18</f>
        <v>44408</v>
      </c>
      <c r="B19" s="291">
        <v>0</v>
      </c>
      <c r="C19" s="291" t="s">
        <v>3664</v>
      </c>
      <c r="D19" s="291" t="s">
        <v>3664</v>
      </c>
      <c r="E19" s="292" t="s">
        <v>3664</v>
      </c>
    </row>
    <row r="20" spans="1:5" ht="19.5" customHeight="1">
      <c r="A20" s="290">
        <f>31+A18</f>
        <v>44416</v>
      </c>
      <c r="B20" s="291">
        <v>0</v>
      </c>
      <c r="C20" s="291" t="s">
        <v>3664</v>
      </c>
      <c r="D20" s="291" t="s">
        <v>3664</v>
      </c>
      <c r="E20" s="292" t="s">
        <v>3664</v>
      </c>
    </row>
    <row r="21" spans="1:5" ht="19.5" customHeight="1">
      <c r="A21" s="290">
        <f>23+A20</f>
        <v>44439</v>
      </c>
      <c r="B21" s="291">
        <v>0</v>
      </c>
      <c r="C21" s="291" t="s">
        <v>3664</v>
      </c>
      <c r="D21" s="291" t="s">
        <v>3664</v>
      </c>
      <c r="E21" s="292" t="s">
        <v>3664</v>
      </c>
    </row>
    <row r="22" spans="1:5" ht="18" customHeight="1">
      <c r="A22" s="290">
        <f>31+A20</f>
        <v>44447</v>
      </c>
      <c r="B22" s="291">
        <v>0</v>
      </c>
      <c r="C22" s="291" t="s">
        <v>3664</v>
      </c>
      <c r="D22" s="291" t="s">
        <v>3664</v>
      </c>
      <c r="E22" s="292" t="s">
        <v>3664</v>
      </c>
    </row>
    <row r="23" spans="1:5" ht="18" customHeight="1">
      <c r="A23" s="290">
        <f>7+A22</f>
        <v>44454</v>
      </c>
      <c r="B23" s="291">
        <f>CEILING(+A103*(IF($B$5&gt;150000,$B$5/4,0)),100)</f>
        <v>0</v>
      </c>
      <c r="C23" s="291" t="s">
        <v>3664</v>
      </c>
      <c r="D23" s="291" t="s">
        <v>3664</v>
      </c>
      <c r="E23" s="292" t="s">
        <v>3664</v>
      </c>
    </row>
    <row r="24" spans="1:5" ht="18" customHeight="1">
      <c r="A24" s="290">
        <f>15+A23</f>
        <v>44469</v>
      </c>
      <c r="B24" s="291">
        <v>0</v>
      </c>
      <c r="C24" s="291" t="s">
        <v>3664</v>
      </c>
      <c r="D24" s="291" t="s">
        <v>3664</v>
      </c>
      <c r="E24" s="292" t="s">
        <v>3664</v>
      </c>
    </row>
    <row r="25" spans="1:5" ht="18" customHeight="1">
      <c r="A25" s="290">
        <f>23+A23</f>
        <v>44477</v>
      </c>
      <c r="B25" s="291">
        <v>0</v>
      </c>
      <c r="C25" s="291" t="s">
        <v>3664</v>
      </c>
      <c r="D25" s="291" t="s">
        <v>3664</v>
      </c>
      <c r="E25" s="292" t="s">
        <v>3664</v>
      </c>
    </row>
    <row r="26" spans="1:5" ht="18" customHeight="1">
      <c r="A26" s="290">
        <f>23+A25</f>
        <v>44500</v>
      </c>
      <c r="B26" s="291">
        <v>0</v>
      </c>
      <c r="C26" s="291" t="s">
        <v>3664</v>
      </c>
      <c r="D26" s="291" t="s">
        <v>3664</v>
      </c>
      <c r="E26" s="292" t="s">
        <v>3664</v>
      </c>
    </row>
    <row r="27" spans="1:5" ht="18" customHeight="1">
      <c r="A27" s="290">
        <f>31+A25</f>
        <v>44508</v>
      </c>
      <c r="B27" s="291">
        <v>0</v>
      </c>
      <c r="C27" s="291" t="s">
        <v>3664</v>
      </c>
      <c r="D27" s="291" t="s">
        <v>3664</v>
      </c>
      <c r="E27" s="292" t="s">
        <v>3664</v>
      </c>
    </row>
    <row r="28" spans="1:5" ht="18" customHeight="1">
      <c r="A28" s="290">
        <f>22+A27</f>
        <v>44530</v>
      </c>
      <c r="B28" s="291">
        <v>0</v>
      </c>
      <c r="C28" s="291" t="s">
        <v>3664</v>
      </c>
      <c r="D28" s="291" t="s">
        <v>3664</v>
      </c>
      <c r="E28" s="292" t="s">
        <v>3664</v>
      </c>
    </row>
    <row r="29" spans="1:5" ht="18" customHeight="1">
      <c r="A29" s="290">
        <f>30+A27</f>
        <v>44538</v>
      </c>
      <c r="B29" s="291">
        <v>0</v>
      </c>
      <c r="C29" s="291" t="s">
        <v>3664</v>
      </c>
      <c r="D29" s="291" t="s">
        <v>3664</v>
      </c>
      <c r="E29" s="292" t="s">
        <v>3664</v>
      </c>
    </row>
    <row r="30" spans="1:5" ht="18" customHeight="1">
      <c r="A30" s="290">
        <f>22+A29+1-16</f>
        <v>44545</v>
      </c>
      <c r="B30" s="291">
        <f>CEILING(+A103*(IF($B$5&gt;150000,$B$5/4,0)+IF($B$5&gt;30000,$B$5*0.4,0)*IF($B$5&lt;150000,1,0)),100)</f>
        <v>0</v>
      </c>
      <c r="C30" s="291" t="s">
        <v>3664</v>
      </c>
      <c r="D30" s="291" t="s">
        <v>3664</v>
      </c>
      <c r="E30" s="292" t="s">
        <v>3664</v>
      </c>
    </row>
    <row r="31" spans="1:5" ht="18" customHeight="1">
      <c r="A31" s="290">
        <f>16+A30</f>
        <v>44561</v>
      </c>
      <c r="B31" s="291">
        <v>0</v>
      </c>
      <c r="C31" s="291" t="s">
        <v>3664</v>
      </c>
      <c r="D31" s="291" t="s">
        <v>3664</v>
      </c>
      <c r="E31" s="292" t="s">
        <v>3664</v>
      </c>
    </row>
    <row r="32" spans="1:5" ht="18" customHeight="1">
      <c r="A32" s="294">
        <f>24+A30</f>
        <v>44569</v>
      </c>
      <c r="B32" s="295">
        <v>0</v>
      </c>
      <c r="C32" s="291" t="s">
        <v>3664</v>
      </c>
      <c r="D32" s="291" t="s">
        <v>3664</v>
      </c>
      <c r="E32" s="292" t="s">
        <v>3664</v>
      </c>
    </row>
    <row r="33" spans="1:5" ht="18" customHeight="1">
      <c r="A33" s="290">
        <f>23+A32</f>
        <v>44592</v>
      </c>
      <c r="B33" s="295">
        <v>0</v>
      </c>
      <c r="C33" s="291" t="s">
        <v>3664</v>
      </c>
      <c r="D33" s="291" t="s">
        <v>3664</v>
      </c>
      <c r="E33" s="292" t="s">
        <v>3664</v>
      </c>
    </row>
    <row r="34" spans="1:5" ht="18" customHeight="1">
      <c r="A34" s="294">
        <f>31+A32</f>
        <v>44600</v>
      </c>
      <c r="B34" s="295">
        <v>0</v>
      </c>
      <c r="C34" s="291" t="s">
        <v>3664</v>
      </c>
      <c r="D34" s="291" t="s">
        <v>3664</v>
      </c>
      <c r="E34" s="292" t="s">
        <v>3664</v>
      </c>
    </row>
    <row r="35" spans="1:5" ht="18" customHeight="1">
      <c r="A35" s="290">
        <f>20+A34</f>
        <v>44620</v>
      </c>
      <c r="B35" s="295">
        <v>0</v>
      </c>
      <c r="C35" s="291" t="s">
        <v>3664</v>
      </c>
      <c r="D35" s="291" t="s">
        <v>3664</v>
      </c>
      <c r="E35" s="292" t="s">
        <v>3664</v>
      </c>
    </row>
    <row r="36" spans="1:5" ht="18" customHeight="1">
      <c r="A36" s="294">
        <f>28+A34</f>
        <v>44628</v>
      </c>
      <c r="B36" s="295">
        <v>0</v>
      </c>
      <c r="C36" s="291" t="s">
        <v>3664</v>
      </c>
      <c r="D36" s="291" t="s">
        <v>3664</v>
      </c>
      <c r="E36" s="292" t="s">
        <v>3664</v>
      </c>
    </row>
    <row r="37" spans="1:5" ht="18" customHeight="1">
      <c r="A37" s="485">
        <f>7+A36</f>
        <v>44635</v>
      </c>
      <c r="B37" s="296">
        <f>CEILING(+A103*(IF($B$5&gt;150000,$B$5/4,0)),100)</f>
        <v>0</v>
      </c>
      <c r="C37" s="291" t="s">
        <v>3664</v>
      </c>
      <c r="D37" s="291" t="s">
        <v>3664</v>
      </c>
      <c r="E37" s="292" t="s">
        <v>3664</v>
      </c>
    </row>
    <row r="38" spans="1:5" ht="18" customHeight="1" thickBot="1">
      <c r="A38" s="297">
        <f>16+A37</f>
        <v>44651</v>
      </c>
      <c r="B38" s="235">
        <v>0</v>
      </c>
      <c r="C38" s="235" t="str">
        <f>+C35</f>
        <v>XXX</v>
      </c>
      <c r="D38" s="235" t="str">
        <f>+D35</f>
        <v>XXX</v>
      </c>
      <c r="E38" s="236" t="s">
        <v>3664</v>
      </c>
    </row>
    <row r="39" spans="1:5" ht="17.25" customHeight="1">
      <c r="A39" s="1383" t="s">
        <v>121</v>
      </c>
      <c r="B39" s="1384"/>
      <c r="C39" s="1384"/>
      <c r="D39" s="1384"/>
      <c r="E39" s="1384"/>
    </row>
    <row r="40" spans="1:5" ht="18" customHeight="1">
      <c r="A40" s="1385" t="str">
        <f>+'DAP1'!A46</f>
        <v>Formulář zpracovala ASPEKT HM, daňová, účetní a auditorská kancelář, www.danovapriznani.cz, business.center.cz</v>
      </c>
      <c r="B40" s="1386"/>
      <c r="C40" s="1386"/>
      <c r="D40" s="1386"/>
      <c r="E40" s="1386"/>
    </row>
    <row r="41" spans="1:5" ht="12.75">
      <c r="A41" s="30"/>
      <c r="B41" s="26"/>
      <c r="C41" s="26"/>
      <c r="D41" s="26"/>
      <c r="E41" s="26"/>
    </row>
    <row r="42" spans="1:5" ht="12.75">
      <c r="A42" s="30"/>
      <c r="B42" s="26"/>
      <c r="C42" s="26"/>
      <c r="D42" s="26"/>
      <c r="E42" s="26"/>
    </row>
    <row r="43" spans="1:5" ht="12.75">
      <c r="A43" s="30"/>
      <c r="B43" s="26"/>
      <c r="C43" s="26"/>
      <c r="D43" s="26"/>
      <c r="E43" s="26"/>
    </row>
    <row r="44" spans="1:5" ht="12.75">
      <c r="A44" s="26"/>
      <c r="B44" s="26"/>
      <c r="C44" s="26"/>
      <c r="D44" s="26"/>
      <c r="E44" s="26"/>
    </row>
    <row r="45" spans="1:5" ht="12.75">
      <c r="A45" s="26"/>
      <c r="B45" s="26"/>
      <c r="C45" s="26"/>
      <c r="D45" s="26"/>
      <c r="E45" s="26"/>
    </row>
    <row r="46" spans="1:5" ht="12.75">
      <c r="A46" s="26"/>
      <c r="B46" s="26"/>
      <c r="C46" s="26"/>
      <c r="D46" s="26"/>
      <c r="E46" s="26"/>
    </row>
    <row r="47" spans="1:5" ht="12.75">
      <c r="A47" s="26"/>
      <c r="B47" s="26"/>
      <c r="C47" s="26"/>
      <c r="D47" s="26"/>
      <c r="E47" s="26"/>
    </row>
    <row r="48" spans="1:5" ht="12.75">
      <c r="A48" s="26"/>
      <c r="B48" s="26"/>
      <c r="C48" s="26"/>
      <c r="D48" s="26"/>
      <c r="E48" s="26"/>
    </row>
    <row r="49" spans="1:5" ht="12.75">
      <c r="A49" s="26"/>
      <c r="B49" s="26"/>
      <c r="C49" s="26"/>
      <c r="D49" s="26"/>
      <c r="E49" s="26"/>
    </row>
    <row r="50" spans="1:5" ht="12.75">
      <c r="A50" s="26"/>
      <c r="B50" s="26"/>
      <c r="C50" s="26"/>
      <c r="D50" s="26"/>
      <c r="E50" s="26"/>
    </row>
    <row r="51" spans="1:5" ht="12.75">
      <c r="A51" s="26"/>
      <c r="B51" s="26"/>
      <c r="C51" s="26"/>
      <c r="D51" s="26"/>
      <c r="E51" s="26"/>
    </row>
    <row r="52" spans="1:5" ht="12.75">
      <c r="A52" s="26"/>
      <c r="B52" s="26"/>
      <c r="C52" s="26"/>
      <c r="D52" s="26"/>
      <c r="E52" s="26"/>
    </row>
    <row r="53" spans="1:5" ht="12.75">
      <c r="A53" s="26"/>
      <c r="B53" s="26"/>
      <c r="C53" s="26"/>
      <c r="D53" s="26"/>
      <c r="E53" s="26"/>
    </row>
    <row r="54" spans="1:5" ht="12.75">
      <c r="A54" s="26"/>
      <c r="B54" s="26"/>
      <c r="C54" s="26"/>
      <c r="D54" s="26"/>
      <c r="E54" s="26"/>
    </row>
    <row r="55" spans="1:5" ht="12.75">
      <c r="A55" s="26"/>
      <c r="B55" s="26"/>
      <c r="C55" s="26"/>
      <c r="D55" s="26"/>
      <c r="E55" s="26"/>
    </row>
    <row r="56" spans="1:5" ht="12.75">
      <c r="A56" s="26"/>
      <c r="B56" s="26"/>
      <c r="C56" s="26"/>
      <c r="D56" s="26"/>
      <c r="E56" s="26"/>
    </row>
    <row r="57" spans="1:5" ht="12.75">
      <c r="A57" s="26"/>
      <c r="B57" s="26"/>
      <c r="C57" s="26"/>
      <c r="D57" s="26"/>
      <c r="E57" s="26"/>
    </row>
    <row r="58" spans="1:5" ht="12.75">
      <c r="A58" s="26"/>
      <c r="B58" s="26"/>
      <c r="C58" s="26"/>
      <c r="D58" s="26"/>
      <c r="E58" s="26"/>
    </row>
    <row r="59" spans="1:5" ht="12.75">
      <c r="A59" s="26"/>
      <c r="B59" s="26"/>
      <c r="C59" s="26"/>
      <c r="D59" s="26"/>
      <c r="E59" s="26"/>
    </row>
    <row r="60" spans="1:5" ht="12.75">
      <c r="A60" s="26"/>
      <c r="B60" s="26"/>
      <c r="C60" s="26"/>
      <c r="D60" s="26"/>
      <c r="E60" s="26"/>
    </row>
    <row r="61" spans="1:5" ht="12.75">
      <c r="A61" s="26"/>
      <c r="B61" s="26"/>
      <c r="C61" s="26"/>
      <c r="D61" s="26"/>
      <c r="E61" s="26"/>
    </row>
    <row r="62" spans="1:5" ht="12.75">
      <c r="A62" s="26"/>
      <c r="B62" s="26"/>
      <c r="C62" s="26"/>
      <c r="D62" s="26"/>
      <c r="E62" s="26"/>
    </row>
    <row r="63" spans="1:5" ht="12.75">
      <c r="A63" s="26"/>
      <c r="B63" s="26"/>
      <c r="C63" s="26"/>
      <c r="D63" s="26"/>
      <c r="E63" s="26"/>
    </row>
    <row r="64" spans="1:5" ht="12.75">
      <c r="A64" s="26"/>
      <c r="B64" s="26"/>
      <c r="C64" s="26"/>
      <c r="D64" s="26"/>
      <c r="E64" s="26"/>
    </row>
    <row r="65" spans="1:5" ht="12.75">
      <c r="A65" s="26"/>
      <c r="B65" s="26"/>
      <c r="C65" s="26"/>
      <c r="D65" s="26"/>
      <c r="E65" s="26"/>
    </row>
    <row r="66" spans="1:5" ht="12.75">
      <c r="A66" s="26"/>
      <c r="B66" s="26"/>
      <c r="C66" s="26"/>
      <c r="D66" s="26"/>
      <c r="E66" s="26"/>
    </row>
    <row r="67" spans="1:5" ht="12.75">
      <c r="A67" s="26"/>
      <c r="B67" s="26"/>
      <c r="C67" s="26"/>
      <c r="D67" s="26"/>
      <c r="E67" s="26"/>
    </row>
    <row r="68" spans="1:5" ht="12.75">
      <c r="A68" s="26"/>
      <c r="B68" s="26"/>
      <c r="C68" s="26"/>
      <c r="D68" s="26"/>
      <c r="E68" s="26"/>
    </row>
    <row r="69" spans="1:5" ht="12.75">
      <c r="A69" s="26"/>
      <c r="B69" s="26"/>
      <c r="C69" s="26"/>
      <c r="D69" s="26"/>
      <c r="E69" s="26"/>
    </row>
    <row r="70" spans="1:5" ht="12.75">
      <c r="A70" s="26"/>
      <c r="B70" s="26"/>
      <c r="C70" s="26"/>
      <c r="D70" s="26"/>
      <c r="E70" s="26"/>
    </row>
    <row r="71" spans="1:5" ht="12.75">
      <c r="A71" s="26"/>
      <c r="B71" s="26"/>
      <c r="C71" s="26"/>
      <c r="D71" s="26"/>
      <c r="E71" s="26"/>
    </row>
    <row r="72" spans="1:5" ht="12.75">
      <c r="A72" s="26"/>
      <c r="B72" s="26"/>
      <c r="C72" s="26"/>
      <c r="D72" s="26"/>
      <c r="E72" s="26"/>
    </row>
    <row r="73" spans="1:5" ht="12.75">
      <c r="A73" s="26"/>
      <c r="B73" s="26"/>
      <c r="C73" s="26"/>
      <c r="D73" s="26"/>
      <c r="E73" s="26"/>
    </row>
    <row r="74" spans="1:5" ht="12.75">
      <c r="A74" s="26"/>
      <c r="B74" s="26"/>
      <c r="C74" s="26"/>
      <c r="D74" s="26"/>
      <c r="E74" s="26"/>
    </row>
    <row r="75" spans="1:5" ht="12.75">
      <c r="A75" s="26"/>
      <c r="B75" s="26"/>
      <c r="C75" s="26"/>
      <c r="D75" s="26"/>
      <c r="E75" s="26"/>
    </row>
    <row r="76" spans="1:5" ht="12.75">
      <c r="A76" s="26"/>
      <c r="B76" s="26"/>
      <c r="C76" s="26"/>
      <c r="D76" s="26"/>
      <c r="E76" s="26"/>
    </row>
    <row r="77" spans="1:5" ht="12.75">
      <c r="A77" s="26"/>
      <c r="B77" s="26"/>
      <c r="C77" s="26"/>
      <c r="D77" s="26"/>
      <c r="E77" s="26"/>
    </row>
    <row r="78" spans="1:5" ht="12.75">
      <c r="A78" s="26"/>
      <c r="B78" s="26"/>
      <c r="C78" s="26"/>
      <c r="D78" s="26"/>
      <c r="E78" s="26"/>
    </row>
    <row r="79" spans="1:5" ht="12.75">
      <c r="A79" s="26"/>
      <c r="B79" s="26"/>
      <c r="C79" s="26"/>
      <c r="D79" s="26"/>
      <c r="E79" s="26"/>
    </row>
    <row r="80" spans="1:5" ht="12.75">
      <c r="A80" s="26"/>
      <c r="B80" s="26"/>
      <c r="C80" s="26"/>
      <c r="D80" s="26"/>
      <c r="E80" s="26"/>
    </row>
    <row r="81" spans="1:5" ht="12.75">
      <c r="A81" s="26"/>
      <c r="B81" s="26"/>
      <c r="C81" s="26"/>
      <c r="D81" s="26"/>
      <c r="E81" s="26"/>
    </row>
    <row r="82" spans="1:5" ht="12.75">
      <c r="A82" s="26"/>
      <c r="B82" s="26"/>
      <c r="C82" s="26"/>
      <c r="D82" s="26"/>
      <c r="E82" s="26"/>
    </row>
    <row r="83" spans="1:5" ht="12.75">
      <c r="A83" s="26"/>
      <c r="B83" s="26"/>
      <c r="C83" s="26"/>
      <c r="D83" s="26"/>
      <c r="E83" s="26"/>
    </row>
    <row r="84" spans="1:5" ht="12.75">
      <c r="A84" s="26"/>
      <c r="B84" s="26"/>
      <c r="C84" s="26"/>
      <c r="D84" s="26"/>
      <c r="E84" s="26"/>
    </row>
    <row r="85" spans="1:5" ht="12.75">
      <c r="A85" s="26"/>
      <c r="B85" s="26"/>
      <c r="C85" s="26"/>
      <c r="D85" s="26"/>
      <c r="E85" s="26"/>
    </row>
    <row r="86" spans="1:5" ht="12.75">
      <c r="A86" s="26"/>
      <c r="B86" s="26"/>
      <c r="C86" s="26"/>
      <c r="D86" s="26"/>
      <c r="E86" s="26"/>
    </row>
    <row r="87" spans="1:5" ht="12.75">
      <c r="A87" s="26"/>
      <c r="B87" s="26"/>
      <c r="C87" s="26"/>
      <c r="D87" s="26"/>
      <c r="E87" s="26"/>
    </row>
    <row r="88" spans="1:5" ht="12.75">
      <c r="A88" s="26"/>
      <c r="B88" s="26"/>
      <c r="C88" s="26"/>
      <c r="D88" s="26"/>
      <c r="E88" s="26"/>
    </row>
    <row r="89" spans="1:5" ht="12.75">
      <c r="A89" s="26"/>
      <c r="B89" s="26"/>
      <c r="C89" s="26"/>
      <c r="D89" s="26"/>
      <c r="E89" s="26"/>
    </row>
    <row r="90" spans="1:5" ht="12.75">
      <c r="A90" s="26"/>
      <c r="B90" s="26"/>
      <c r="C90" s="26"/>
      <c r="D90" s="26"/>
      <c r="E90" s="26"/>
    </row>
    <row r="91" spans="1:5" ht="12.75">
      <c r="A91" s="26"/>
      <c r="B91" s="26"/>
      <c r="C91" s="26"/>
      <c r="D91" s="26"/>
      <c r="E91" s="26"/>
    </row>
    <row r="92" spans="1:5" ht="12.75">
      <c r="A92" s="26"/>
      <c r="B92" s="26"/>
      <c r="C92" s="26"/>
      <c r="D92" s="26"/>
      <c r="E92" s="26"/>
    </row>
    <row r="93" spans="1:5" ht="12.75">
      <c r="A93" s="26"/>
      <c r="B93" s="26"/>
      <c r="C93" s="26"/>
      <c r="D93" s="26"/>
      <c r="E93" s="26"/>
    </row>
    <row r="94" spans="1:5" ht="12.75">
      <c r="A94" s="26"/>
      <c r="B94" s="26"/>
      <c r="C94" s="26"/>
      <c r="D94" s="26"/>
      <c r="E94" s="26"/>
    </row>
    <row r="95" spans="1:5" ht="12.75">
      <c r="A95" s="26"/>
      <c r="B95" s="26"/>
      <c r="C95" s="26"/>
      <c r="D95" s="26"/>
      <c r="E95" s="26"/>
    </row>
    <row r="96" spans="1:5" ht="12.75">
      <c r="A96" s="26"/>
      <c r="B96" s="26"/>
      <c r="C96" s="26"/>
      <c r="D96" s="26"/>
      <c r="E96" s="26"/>
    </row>
    <row r="97" spans="1:5" ht="12.75">
      <c r="A97" s="26"/>
      <c r="B97" s="26"/>
      <c r="C97" s="26"/>
      <c r="D97" s="26"/>
      <c r="E97" s="26"/>
    </row>
    <row r="98" spans="1:5" ht="12.75">
      <c r="A98" s="26"/>
      <c r="B98" s="26"/>
      <c r="C98" s="26"/>
      <c r="D98" s="26"/>
      <c r="E98" s="26"/>
    </row>
    <row r="99" spans="1:5" ht="12.75">
      <c r="A99" s="26"/>
      <c r="B99" s="26"/>
      <c r="C99" s="26"/>
      <c r="D99" s="26"/>
      <c r="E99" s="26"/>
    </row>
    <row r="100" spans="1:5" ht="12.75">
      <c r="A100" s="26"/>
      <c r="B100" s="26"/>
      <c r="C100" s="26"/>
      <c r="D100" s="26"/>
      <c r="E100" s="26"/>
    </row>
    <row r="101" spans="1:5" ht="12.75">
      <c r="A101" s="26"/>
      <c r="B101" s="26"/>
      <c r="C101" s="26"/>
      <c r="D101" s="26"/>
      <c r="E101" s="26"/>
    </row>
    <row r="102" spans="1:5" ht="12.75">
      <c r="A102" s="26"/>
      <c r="B102" s="26"/>
      <c r="C102" s="26"/>
      <c r="D102" s="26"/>
      <c r="E102" s="26"/>
    </row>
    <row r="103" spans="1:5" ht="12.75">
      <c r="A103" s="26">
        <f>+IF('DAP2'!E11&lt;0.5*'DAP2'!E18,+IF('DAP2'!E11/'DAP2'!E18&gt;0.15,0.5,1),0)</f>
        <v>0</v>
      </c>
      <c r="B103" s="26"/>
      <c r="C103" s="26"/>
      <c r="D103" s="26"/>
      <c r="E103" s="26"/>
    </row>
    <row r="104" spans="1:5" ht="12.75">
      <c r="A104" s="26"/>
      <c r="B104" s="26"/>
      <c r="C104" s="26"/>
      <c r="D104" s="26"/>
      <c r="E104" s="26"/>
    </row>
    <row r="105" spans="1:5" ht="12.75">
      <c r="A105" s="26"/>
      <c r="B105" s="26"/>
      <c r="C105" s="26"/>
      <c r="D105" s="26"/>
      <c r="E105" s="26"/>
    </row>
    <row r="106" spans="1:5" ht="12.75">
      <c r="A106" s="26"/>
      <c r="B106" s="26"/>
      <c r="C106" s="26"/>
      <c r="D106" s="26"/>
      <c r="E106" s="26"/>
    </row>
    <row r="107" spans="1:5" ht="12.75">
      <c r="A107" s="26"/>
      <c r="B107" s="26"/>
      <c r="C107" s="26"/>
      <c r="D107" s="26"/>
      <c r="E107" s="26"/>
    </row>
    <row r="108" spans="1:5" ht="12.75">
      <c r="A108" s="26"/>
      <c r="B108" s="26"/>
      <c r="C108" s="26"/>
      <c r="D108" s="26"/>
      <c r="E108" s="26"/>
    </row>
    <row r="109" spans="1:5" ht="12.75">
      <c r="A109" s="26"/>
      <c r="B109" s="26"/>
      <c r="C109" s="26"/>
      <c r="D109" s="26"/>
      <c r="E109" s="26"/>
    </row>
    <row r="110" spans="1:5" ht="12.75">
      <c r="A110" s="26"/>
      <c r="B110" s="26"/>
      <c r="C110" s="26"/>
      <c r="D110" s="26"/>
      <c r="E110" s="26"/>
    </row>
    <row r="111" spans="1:5" ht="12.75">
      <c r="A111" s="26"/>
      <c r="B111" s="26"/>
      <c r="C111" s="26"/>
      <c r="D111" s="26"/>
      <c r="E111" s="26"/>
    </row>
    <row r="112" s="26" customFormat="1" ht="12.75"/>
    <row r="113" s="26" customFormat="1" ht="12.75"/>
    <row r="114" s="26" customFormat="1" ht="12.75"/>
    <row r="115" s="26" customFormat="1" ht="12.75"/>
    <row r="116" s="26" customFormat="1" ht="12.75"/>
    <row r="117" s="26" customFormat="1" ht="12.75"/>
    <row r="118" s="26" customFormat="1" ht="12.75"/>
    <row r="119" s="26" customFormat="1" ht="12.75"/>
    <row r="120" s="26" customFormat="1" ht="12.75"/>
    <row r="121" s="26" customFormat="1" ht="12.75"/>
    <row r="122" s="26" customFormat="1" ht="12.75"/>
    <row r="123" s="26" customFormat="1" ht="12.75"/>
    <row r="124" s="26" customFormat="1" ht="12.75"/>
    <row r="125" s="26" customFormat="1" ht="12.75"/>
    <row r="126" s="26" customFormat="1" ht="12.75"/>
    <row r="127" s="26" customFormat="1" ht="12.75"/>
    <row r="128" s="26" customFormat="1" ht="12.75"/>
    <row r="129" s="26" customFormat="1" ht="12.75"/>
    <row r="130" s="26" customFormat="1" ht="12.75"/>
    <row r="131" s="26" customFormat="1" ht="12.75"/>
    <row r="132" s="26" customFormat="1" ht="12.75"/>
    <row r="133" s="26" customFormat="1" ht="12.75"/>
    <row r="134" s="26" customFormat="1" ht="12.75"/>
    <row r="135" s="26" customFormat="1" ht="12.75"/>
    <row r="136" s="26" customFormat="1" ht="12.75"/>
    <row r="137" s="26" customFormat="1" ht="12.75"/>
    <row r="138" s="26" customFormat="1" ht="12.75"/>
    <row r="139" s="26" customFormat="1" ht="12.75"/>
    <row r="140" s="26" customFormat="1" ht="12.75"/>
    <row r="141" s="26" customFormat="1" ht="12.75"/>
    <row r="142" s="26" customFormat="1" ht="12.75"/>
    <row r="143" s="26" customFormat="1" ht="12.75"/>
    <row r="144" s="26" customFormat="1" ht="12.75"/>
    <row r="145" s="26" customFormat="1" ht="12.75"/>
    <row r="146" s="26" customFormat="1" ht="12.75"/>
    <row r="147" s="26" customFormat="1" ht="12.75"/>
    <row r="148" s="26" customFormat="1" ht="12.75"/>
    <row r="149" s="26" customFormat="1" ht="12.75"/>
    <row r="150" s="26" customFormat="1" ht="12.75"/>
    <row r="151" s="26" customFormat="1" ht="12.75"/>
    <row r="152" s="26" customFormat="1" ht="12.75"/>
    <row r="153" s="26" customFormat="1" ht="12.75"/>
    <row r="154" s="26" customFormat="1" ht="12.75"/>
    <row r="155" s="26" customFormat="1" ht="12.75"/>
    <row r="156" s="26" customFormat="1" ht="12.75"/>
    <row r="157" s="26" customFormat="1" ht="12.75"/>
    <row r="158" s="26" customFormat="1" ht="12.75"/>
    <row r="159" s="26" customFormat="1" ht="12.75"/>
    <row r="160" s="26" customFormat="1" ht="12.75"/>
    <row r="161" s="26" customFormat="1" ht="12.75"/>
    <row r="162" s="26" customFormat="1" ht="12.75"/>
    <row r="163" s="26" customFormat="1" ht="12.75"/>
    <row r="164" s="26" customFormat="1" ht="12.75"/>
    <row r="165" s="26" customFormat="1" ht="12.75"/>
    <row r="166" s="26" customFormat="1" ht="12.75"/>
    <row r="167" s="26" customFormat="1" ht="12.75"/>
    <row r="168" s="26" customFormat="1" ht="12.75"/>
    <row r="169" s="26" customFormat="1" ht="12.75"/>
    <row r="170" s="26" customFormat="1" ht="12.75"/>
    <row r="171" s="26" customFormat="1" ht="12.75"/>
    <row r="172" s="26" customFormat="1" ht="12.75"/>
    <row r="173" s="26" customFormat="1" ht="12.75"/>
  </sheetData>
  <sheetProtection algorithmName="SHA-512" hashValue="nQSTlxbjL/98YRS1KC/LOROWUfW2aSeEYmFifQudNWtzi1rwZAYJJ4F7+FETlQ7eXq/Ecgk8hx1sLaP4NEUNpQ==" saltValue="kTwmJipwNuIbrJWV2ERN0w==" spinCount="100000" sheet="1" objects="1" scenarios="1"/>
  <mergeCells count="8">
    <mergeCell ref="A39:E39"/>
    <mergeCell ref="A40:E40"/>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List28">
    <pageSetUpPr fitToPage="1"/>
  </sheetPr>
  <dimension ref="A1:G111"/>
  <sheetViews>
    <sheetView workbookViewId="0" topLeftCell="A1">
      <selection pane="topLeft" activeCell="A31" sqref="A31"/>
    </sheetView>
  </sheetViews>
  <sheetFormatPr defaultColWidth="9.14428571428571" defaultRowHeight="12.75"/>
  <cols>
    <col min="1" max="1" width="24" style="3" customWidth="1"/>
    <col min="2" max="5" width="18.7142857142857" style="3" customWidth="1"/>
    <col min="6" max="6" width="11.4285714285714" style="26" bestFit="1" customWidth="1"/>
    <col min="7" max="28" width="9.14285714285714" style="26"/>
    <col min="29" max="16384" width="9.14285714285714" style="3"/>
  </cols>
  <sheetData>
    <row r="1" spans="1:7" ht="18" customHeight="1">
      <c r="A1" s="1387" t="str">
        <f>+Zálohy!A1</f>
        <v>Platební kalendář daňových povinností 2021 - 2022</v>
      </c>
      <c r="B1" s="518"/>
      <c r="C1" s="518"/>
      <c r="D1" s="518"/>
      <c r="E1" s="518"/>
      <c r="F1" s="28"/>
      <c r="G1" s="28"/>
    </row>
    <row r="2" spans="1:7" ht="18" customHeight="1">
      <c r="A2" s="1388" t="s">
        <v>3697</v>
      </c>
      <c r="B2" s="1388"/>
      <c r="C2" s="1388"/>
      <c r="D2" s="1388"/>
      <c r="E2" s="1388"/>
      <c r="F2" s="28"/>
      <c r="G2" s="28"/>
    </row>
    <row r="3" spans="1:7" ht="18" customHeight="1">
      <c r="A3" s="282" t="s">
        <v>3491</v>
      </c>
      <c r="B3" s="1389" t="str">
        <f>+Zálohy!B3</f>
        <v xml:space="preserve">  </v>
      </c>
      <c r="C3" s="1048"/>
      <c r="D3" s="1048"/>
      <c r="E3" s="1048"/>
      <c r="G3" s="28"/>
    </row>
    <row r="4" spans="1:7" ht="18" customHeight="1">
      <c r="A4" s="1390"/>
      <c r="B4" s="1019"/>
      <c r="C4" s="1019"/>
      <c r="D4" s="1019"/>
      <c r="E4" s="1019"/>
      <c r="G4" s="28"/>
    </row>
    <row r="5" spans="1:7" ht="18" customHeight="1">
      <c r="A5" s="282" t="s">
        <v>3492</v>
      </c>
      <c r="B5" s="283">
        <f>+Zálohy!B5</f>
        <v>0</v>
      </c>
      <c r="C5" s="1390"/>
      <c r="D5" s="1390"/>
      <c r="E5" s="1390"/>
      <c r="F5" s="28"/>
      <c r="G5" s="28"/>
    </row>
    <row r="6" spans="1:7" ht="18" customHeight="1" thickBot="1">
      <c r="A6" s="1391"/>
      <c r="B6" s="1044"/>
      <c r="C6" s="1044"/>
      <c r="D6" s="1044"/>
      <c r="E6" s="1044"/>
      <c r="F6" s="28"/>
      <c r="G6" s="28"/>
    </row>
    <row r="7" spans="1:7" ht="18" customHeight="1">
      <c r="A7" s="284" t="s">
        <v>270</v>
      </c>
      <c r="B7" s="285" t="s">
        <v>271</v>
      </c>
      <c r="C7" s="285" t="s">
        <v>172</v>
      </c>
      <c r="D7" s="299" t="s">
        <v>173</v>
      </c>
      <c r="E7" s="286" t="s">
        <v>272</v>
      </c>
      <c r="F7" s="29"/>
      <c r="G7" s="28"/>
    </row>
    <row r="8" spans="1:7" ht="18" customHeight="1" thickBot="1">
      <c r="A8" s="287"/>
      <c r="B8" s="288" t="s">
        <v>273</v>
      </c>
      <c r="C8" s="288" t="s">
        <v>274</v>
      </c>
      <c r="D8" s="300" t="s">
        <v>274</v>
      </c>
      <c r="E8" s="289" t="s">
        <v>274</v>
      </c>
      <c r="F8" s="28"/>
      <c r="G8" s="28"/>
    </row>
    <row r="9" spans="1:7" ht="18" customHeight="1">
      <c r="A9" s="290">
        <v>44377</v>
      </c>
      <c r="B9" s="291">
        <f>+Zálohy!B9</f>
        <v>0</v>
      </c>
      <c r="C9" s="291" t="s">
        <v>3664</v>
      </c>
      <c r="D9" s="291" t="s">
        <v>3664</v>
      </c>
      <c r="E9" s="292" t="s">
        <v>3664</v>
      </c>
      <c r="G9" s="28"/>
    </row>
    <row r="10" spans="1:7" ht="30.75" customHeight="1">
      <c r="A10" s="293" t="s">
        <v>216</v>
      </c>
      <c r="B10" s="291">
        <v>0</v>
      </c>
      <c r="C10" s="291" t="s">
        <v>3664</v>
      </c>
      <c r="D10" s="291" t="s">
        <v>3664</v>
      </c>
      <c r="E10" s="292" t="s">
        <v>3664</v>
      </c>
      <c r="G10" s="28"/>
    </row>
    <row r="11" spans="1:7" ht="18" customHeight="1">
      <c r="A11" s="290">
        <f>8+A9</f>
        <v>44385</v>
      </c>
      <c r="B11" s="291">
        <v>0</v>
      </c>
      <c r="C11" s="291" t="s">
        <v>3664</v>
      </c>
      <c r="D11" s="291" t="s">
        <v>3664</v>
      </c>
      <c r="E11" s="292" t="s">
        <v>3664</v>
      </c>
      <c r="G11" s="28"/>
    </row>
    <row r="12" spans="1:7" ht="18" customHeight="1">
      <c r="A12" s="290">
        <f>23+A11</f>
        <v>44408</v>
      </c>
      <c r="B12" s="291">
        <v>0</v>
      </c>
      <c r="C12" s="291" t="s">
        <v>3664</v>
      </c>
      <c r="D12" s="291" t="s">
        <v>3664</v>
      </c>
      <c r="E12" s="292" t="s">
        <v>3664</v>
      </c>
      <c r="G12" s="28"/>
    </row>
    <row r="13" spans="1:7" ht="18" customHeight="1">
      <c r="A13" s="290">
        <f>+A12+8</f>
        <v>44416</v>
      </c>
      <c r="B13" s="291">
        <v>0</v>
      </c>
      <c r="C13" s="291" t="s">
        <v>3664</v>
      </c>
      <c r="D13" s="291" t="s">
        <v>3664</v>
      </c>
      <c r="E13" s="292" t="s">
        <v>3664</v>
      </c>
      <c r="G13" s="28"/>
    </row>
    <row r="14" spans="1:7" ht="18" customHeight="1">
      <c r="A14" s="290">
        <f>23+A13</f>
        <v>44439</v>
      </c>
      <c r="B14" s="291">
        <v>0</v>
      </c>
      <c r="C14" s="291" t="s">
        <v>3664</v>
      </c>
      <c r="D14" s="291" t="s">
        <v>3664</v>
      </c>
      <c r="E14" s="292" t="s">
        <v>3664</v>
      </c>
      <c r="G14" s="28"/>
    </row>
    <row r="15" spans="1:7" ht="18" customHeight="1">
      <c r="A15" s="290">
        <f>31+A13</f>
        <v>44447</v>
      </c>
      <c r="B15" s="291">
        <v>0</v>
      </c>
      <c r="C15" s="291" t="s">
        <v>3664</v>
      </c>
      <c r="D15" s="291" t="s">
        <v>3664</v>
      </c>
      <c r="E15" s="292" t="s">
        <v>3664</v>
      </c>
      <c r="G15" s="28"/>
    </row>
    <row r="16" spans="1:5" ht="18" customHeight="1">
      <c r="A16" s="290">
        <f>8+A15-1</f>
        <v>44454</v>
      </c>
      <c r="B16" s="291">
        <f>+Zálohy!B23</f>
        <v>0</v>
      </c>
      <c r="C16" s="291" t="s">
        <v>3664</v>
      </c>
      <c r="D16" s="291" t="s">
        <v>3664</v>
      </c>
      <c r="E16" s="292" t="s">
        <v>3664</v>
      </c>
    </row>
    <row r="17" spans="1:5" ht="18" customHeight="1">
      <c r="A17" s="290">
        <f>15+A16</f>
        <v>44469</v>
      </c>
      <c r="B17" s="291">
        <v>0</v>
      </c>
      <c r="C17" s="291" t="s">
        <v>3664</v>
      </c>
      <c r="D17" s="291" t="s">
        <v>3664</v>
      </c>
      <c r="E17" s="292" t="s">
        <v>3664</v>
      </c>
    </row>
    <row r="18" spans="1:5" ht="18" customHeight="1">
      <c r="A18" s="290">
        <f>23+A16</f>
        <v>44477</v>
      </c>
      <c r="B18" s="291">
        <v>0</v>
      </c>
      <c r="C18" s="291" t="s">
        <v>3664</v>
      </c>
      <c r="D18" s="291" t="s">
        <v>3664</v>
      </c>
      <c r="E18" s="292" t="s">
        <v>3664</v>
      </c>
    </row>
    <row r="19" spans="1:5" ht="18" customHeight="1">
      <c r="A19" s="290">
        <f>23+A18</f>
        <v>44500</v>
      </c>
      <c r="B19" s="291">
        <v>0</v>
      </c>
      <c r="C19" s="291" t="s">
        <v>3664</v>
      </c>
      <c r="D19" s="291" t="s">
        <v>3664</v>
      </c>
      <c r="E19" s="292" t="s">
        <v>3664</v>
      </c>
    </row>
    <row r="20" spans="1:5" ht="19.5" customHeight="1">
      <c r="A20" s="290">
        <f>31+A18</f>
        <v>44508</v>
      </c>
      <c r="B20" s="291">
        <v>0</v>
      </c>
      <c r="C20" s="291" t="s">
        <v>3664</v>
      </c>
      <c r="D20" s="291" t="s">
        <v>3664</v>
      </c>
      <c r="E20" s="292" t="s">
        <v>3664</v>
      </c>
    </row>
    <row r="21" spans="1:5" ht="19.5" customHeight="1">
      <c r="A21" s="290">
        <f>22+A20</f>
        <v>44530</v>
      </c>
      <c r="B21" s="291">
        <v>0</v>
      </c>
      <c r="C21" s="291" t="s">
        <v>3664</v>
      </c>
      <c r="D21" s="291" t="s">
        <v>3664</v>
      </c>
      <c r="E21" s="292" t="s">
        <v>3664</v>
      </c>
    </row>
    <row r="22" spans="1:5" ht="18" customHeight="1">
      <c r="A22" s="290">
        <f>30+A20</f>
        <v>44538</v>
      </c>
      <c r="B22" s="291">
        <v>0</v>
      </c>
      <c r="C22" s="291" t="s">
        <v>3664</v>
      </c>
      <c r="D22" s="291" t="s">
        <v>3664</v>
      </c>
      <c r="E22" s="292" t="s">
        <v>3664</v>
      </c>
    </row>
    <row r="23" spans="1:5" ht="18" customHeight="1">
      <c r="A23" s="290">
        <f>7+A22</f>
        <v>44545</v>
      </c>
      <c r="B23" s="291">
        <f>+Zálohy!B30</f>
        <v>0</v>
      </c>
      <c r="C23" s="291" t="s">
        <v>3664</v>
      </c>
      <c r="D23" s="291" t="s">
        <v>3664</v>
      </c>
      <c r="E23" s="292" t="s">
        <v>3664</v>
      </c>
    </row>
    <row r="24" spans="1:5" ht="18" customHeight="1">
      <c r="A24" s="290">
        <f>16+A23</f>
        <v>44561</v>
      </c>
      <c r="B24" s="291">
        <v>0</v>
      </c>
      <c r="C24" s="291" t="s">
        <v>3664</v>
      </c>
      <c r="D24" s="291" t="s">
        <v>3664</v>
      </c>
      <c r="E24" s="292" t="s">
        <v>3664</v>
      </c>
    </row>
    <row r="25" spans="1:5" ht="18" customHeight="1">
      <c r="A25" s="290">
        <f>24+A23</f>
        <v>44569</v>
      </c>
      <c r="B25" s="291">
        <v>0</v>
      </c>
      <c r="C25" s="291" t="s">
        <v>3664</v>
      </c>
      <c r="D25" s="291" t="s">
        <v>3664</v>
      </c>
      <c r="E25" s="292" t="s">
        <v>3664</v>
      </c>
    </row>
    <row r="26" spans="1:5" ht="18" customHeight="1">
      <c r="A26" s="290">
        <f>23+A25</f>
        <v>44592</v>
      </c>
      <c r="B26" s="291">
        <v>0</v>
      </c>
      <c r="C26" s="291" t="s">
        <v>3664</v>
      </c>
      <c r="D26" s="291" t="s">
        <v>3664</v>
      </c>
      <c r="E26" s="292" t="s">
        <v>3664</v>
      </c>
    </row>
    <row r="27" spans="1:5" ht="18" customHeight="1">
      <c r="A27" s="290">
        <f>31+A25</f>
        <v>44600</v>
      </c>
      <c r="B27" s="291">
        <v>0</v>
      </c>
      <c r="C27" s="291" t="s">
        <v>3664</v>
      </c>
      <c r="D27" s="291" t="s">
        <v>3664</v>
      </c>
      <c r="E27" s="292" t="s">
        <v>3664</v>
      </c>
    </row>
    <row r="28" spans="1:5" ht="18" customHeight="1">
      <c r="A28" s="290">
        <f>20+A27</f>
        <v>44620</v>
      </c>
      <c r="B28" s="291">
        <v>0</v>
      </c>
      <c r="C28" s="291" t="s">
        <v>3664</v>
      </c>
      <c r="D28" s="291" t="s">
        <v>3664</v>
      </c>
      <c r="E28" s="292" t="s">
        <v>3664</v>
      </c>
    </row>
    <row r="29" spans="1:5" ht="18" customHeight="1">
      <c r="A29" s="290">
        <f>28+A27</f>
        <v>44628</v>
      </c>
      <c r="B29" s="291">
        <v>0</v>
      </c>
      <c r="C29" s="291" t="s">
        <v>3664</v>
      </c>
      <c r="D29" s="291" t="s">
        <v>3664</v>
      </c>
      <c r="E29" s="292" t="s">
        <v>3664</v>
      </c>
    </row>
    <row r="30" spans="1:5" ht="18" customHeight="1">
      <c r="A30" s="290">
        <f>22+A29+1-16</f>
        <v>44635</v>
      </c>
      <c r="B30" s="291">
        <f>+B16</f>
        <v>0</v>
      </c>
      <c r="C30" s="291" t="s">
        <v>3664</v>
      </c>
      <c r="D30" s="291" t="s">
        <v>3664</v>
      </c>
      <c r="E30" s="292" t="s">
        <v>3664</v>
      </c>
    </row>
    <row r="31" spans="1:5" ht="18" customHeight="1">
      <c r="A31" s="290">
        <f>16+A30</f>
        <v>44651</v>
      </c>
      <c r="B31" s="291">
        <v>0</v>
      </c>
      <c r="C31" s="291" t="s">
        <v>3664</v>
      </c>
      <c r="D31" s="291" t="s">
        <v>3664</v>
      </c>
      <c r="E31" s="292" t="s">
        <v>3664</v>
      </c>
    </row>
    <row r="32" spans="1:5" ht="18" customHeight="1">
      <c r="A32" s="294">
        <f>24+A30</f>
        <v>44659</v>
      </c>
      <c r="B32" s="295">
        <v>0</v>
      </c>
      <c r="C32" s="291" t="s">
        <v>3664</v>
      </c>
      <c r="D32" s="291" t="s">
        <v>3664</v>
      </c>
      <c r="E32" s="292" t="s">
        <v>3664</v>
      </c>
    </row>
    <row r="33" spans="1:5" ht="18" customHeight="1">
      <c r="A33" s="290">
        <f>22+A32</f>
        <v>44681</v>
      </c>
      <c r="B33" s="295">
        <v>0</v>
      </c>
      <c r="C33" s="291" t="s">
        <v>3664</v>
      </c>
      <c r="D33" s="291" t="s">
        <v>3664</v>
      </c>
      <c r="E33" s="292" t="s">
        <v>3664</v>
      </c>
    </row>
    <row r="34" spans="1:5" ht="18" customHeight="1">
      <c r="A34" s="294">
        <f>30+A32</f>
        <v>44689</v>
      </c>
      <c r="B34" s="295">
        <v>0</v>
      </c>
      <c r="C34" s="291" t="s">
        <v>3664</v>
      </c>
      <c r="D34" s="291" t="s">
        <v>3664</v>
      </c>
      <c r="E34" s="292" t="s">
        <v>3664</v>
      </c>
    </row>
    <row r="35" spans="1:5" ht="18" customHeight="1">
      <c r="A35" s="290">
        <f>23+A34</f>
        <v>44712</v>
      </c>
      <c r="B35" s="295">
        <v>0</v>
      </c>
      <c r="C35" s="291" t="s">
        <v>3664</v>
      </c>
      <c r="D35" s="291" t="s">
        <v>3664</v>
      </c>
      <c r="E35" s="292" t="s">
        <v>3664</v>
      </c>
    </row>
    <row r="36" spans="1:5" ht="18" customHeight="1">
      <c r="A36" s="294">
        <f>31+A34</f>
        <v>44720</v>
      </c>
      <c r="B36" s="295">
        <v>0</v>
      </c>
      <c r="C36" s="291" t="s">
        <v>3664</v>
      </c>
      <c r="D36" s="291" t="s">
        <v>3664</v>
      </c>
      <c r="E36" s="292" t="s">
        <v>3664</v>
      </c>
    </row>
    <row r="37" spans="1:5" ht="18" customHeight="1">
      <c r="A37" s="294">
        <f>7+A36</f>
        <v>44727</v>
      </c>
      <c r="B37" s="291">
        <f>+B23</f>
        <v>0</v>
      </c>
      <c r="C37" s="291" t="s">
        <v>3664</v>
      </c>
      <c r="D37" s="291" t="s">
        <v>3664</v>
      </c>
      <c r="E37" s="292" t="s">
        <v>3664</v>
      </c>
    </row>
    <row r="38" spans="1:5" ht="18" customHeight="1" thickBot="1">
      <c r="A38" s="297">
        <f>15+A37</f>
        <v>44742</v>
      </c>
      <c r="B38" s="235">
        <v>0</v>
      </c>
      <c r="C38" s="235" t="str">
        <f>+C35</f>
        <v>XXX</v>
      </c>
      <c r="D38" s="235" t="str">
        <f>+Zálohy!D38</f>
        <v>XXX</v>
      </c>
      <c r="E38" s="236" t="s">
        <v>3664</v>
      </c>
    </row>
    <row r="39" spans="1:5" ht="14.25" customHeight="1">
      <c r="A39" s="1383" t="s">
        <v>121</v>
      </c>
      <c r="B39" s="1384"/>
      <c r="C39" s="1384"/>
      <c r="D39" s="1384"/>
      <c r="E39" s="1384"/>
    </row>
    <row r="40" spans="1:5" ht="18" customHeight="1">
      <c r="A40" s="1385" t="str">
        <f>+Zálohy!A40</f>
        <v>Formulář zpracovala ASPEKT HM, daňová, účetní a auditorská kancelář, www.danovapriznani.cz, business.center.cz</v>
      </c>
      <c r="B40" s="1386"/>
      <c r="C40" s="1386"/>
      <c r="D40" s="1386"/>
      <c r="E40" s="1386"/>
    </row>
    <row r="41" spans="1:5" ht="12.75">
      <c r="A41" s="30"/>
      <c r="B41" s="26"/>
      <c r="C41" s="26"/>
      <c r="D41" s="26"/>
      <c r="E41" s="26"/>
    </row>
    <row r="42" spans="1:5" ht="12.75">
      <c r="A42" s="30"/>
      <c r="B42" s="26"/>
      <c r="C42" s="26"/>
      <c r="D42" s="26"/>
      <c r="E42" s="26"/>
    </row>
    <row r="43" spans="1:5" ht="12.75">
      <c r="A43" s="30"/>
      <c r="B43" s="26"/>
      <c r="C43" s="26"/>
      <c r="D43" s="26"/>
      <c r="E43" s="26"/>
    </row>
    <row r="44" spans="1:5" ht="12.75">
      <c r="A44" s="26"/>
      <c r="B44" s="26"/>
      <c r="C44" s="26"/>
      <c r="D44" s="26"/>
      <c r="E44" s="26"/>
    </row>
    <row r="45" spans="1:5" ht="12.75">
      <c r="A45" s="26"/>
      <c r="B45" s="26"/>
      <c r="C45" s="26"/>
      <c r="D45" s="26"/>
      <c r="E45" s="26"/>
    </row>
    <row r="46" spans="1:5" ht="12.75">
      <c r="A46" s="26"/>
      <c r="B46" s="26"/>
      <c r="C46" s="26"/>
      <c r="D46" s="26"/>
      <c r="E46" s="26"/>
    </row>
    <row r="47" spans="1:5" ht="12.75">
      <c r="A47" s="26"/>
      <c r="B47" s="26"/>
      <c r="C47" s="26"/>
      <c r="D47" s="26"/>
      <c r="E47" s="26"/>
    </row>
    <row r="48" spans="1:5" ht="12.75">
      <c r="A48" s="26"/>
      <c r="B48" s="26"/>
      <c r="C48" s="26"/>
      <c r="D48" s="26"/>
      <c r="E48" s="26"/>
    </row>
    <row r="49" spans="1:5" ht="12.75">
      <c r="A49" s="26"/>
      <c r="B49" s="26"/>
      <c r="C49" s="26"/>
      <c r="D49" s="26"/>
      <c r="E49" s="26"/>
    </row>
    <row r="50" spans="1:5" ht="12.75">
      <c r="A50" s="26"/>
      <c r="B50" s="26"/>
      <c r="C50" s="26"/>
      <c r="D50" s="26"/>
      <c r="E50" s="26"/>
    </row>
    <row r="51" spans="1:5" ht="12.75">
      <c r="A51" s="26"/>
      <c r="B51" s="26"/>
      <c r="C51" s="26"/>
      <c r="D51" s="26"/>
      <c r="E51" s="26"/>
    </row>
    <row r="52" spans="1:5" ht="12.75">
      <c r="A52" s="26"/>
      <c r="B52" s="26"/>
      <c r="C52" s="26"/>
      <c r="D52" s="26"/>
      <c r="E52" s="26"/>
    </row>
    <row r="53" spans="1:5" ht="12.75">
      <c r="A53" s="26"/>
      <c r="B53" s="26"/>
      <c r="C53" s="26"/>
      <c r="D53" s="26"/>
      <c r="E53" s="26"/>
    </row>
    <row r="54" spans="1:5" ht="12.75">
      <c r="A54" s="26"/>
      <c r="B54" s="26"/>
      <c r="C54" s="26"/>
      <c r="D54" s="26"/>
      <c r="E54" s="26"/>
    </row>
    <row r="55" spans="1:5" ht="12.75">
      <c r="A55" s="26"/>
      <c r="B55" s="26"/>
      <c r="C55" s="26"/>
      <c r="D55" s="26"/>
      <c r="E55" s="26"/>
    </row>
    <row r="56" spans="1:5" ht="12.75">
      <c r="A56" s="26"/>
      <c r="B56" s="26"/>
      <c r="C56" s="26"/>
      <c r="D56" s="26"/>
      <c r="E56" s="26"/>
    </row>
    <row r="57" spans="1:5" ht="12.75">
      <c r="A57" s="26"/>
      <c r="B57" s="26"/>
      <c r="C57" s="26"/>
      <c r="D57" s="26"/>
      <c r="E57" s="26"/>
    </row>
    <row r="58" spans="1:5" ht="12.75">
      <c r="A58" s="26"/>
      <c r="B58" s="26"/>
      <c r="C58" s="26"/>
      <c r="D58" s="26"/>
      <c r="E58" s="26"/>
    </row>
    <row r="59" spans="1:5" ht="12.75">
      <c r="A59" s="26"/>
      <c r="B59" s="26"/>
      <c r="C59" s="26"/>
      <c r="D59" s="26"/>
      <c r="E59" s="26"/>
    </row>
    <row r="60" spans="1:5" ht="12.75">
      <c r="A60" s="26"/>
      <c r="B60" s="26"/>
      <c r="C60" s="26"/>
      <c r="D60" s="26"/>
      <c r="E60" s="26"/>
    </row>
    <row r="61" spans="1:5" ht="12.75">
      <c r="A61" s="26"/>
      <c r="B61" s="26"/>
      <c r="C61" s="26"/>
      <c r="D61" s="26"/>
      <c r="E61" s="26"/>
    </row>
    <row r="62" spans="1:5" ht="12.75">
      <c r="A62" s="26"/>
      <c r="B62" s="26"/>
      <c r="C62" s="26"/>
      <c r="D62" s="26"/>
      <c r="E62" s="26"/>
    </row>
    <row r="63" spans="1:5" ht="12.75">
      <c r="A63" s="26"/>
      <c r="B63" s="26"/>
      <c r="C63" s="26"/>
      <c r="D63" s="26"/>
      <c r="E63" s="26"/>
    </row>
    <row r="64" spans="1:5" ht="12.75">
      <c r="A64" s="26"/>
      <c r="B64" s="26"/>
      <c r="C64" s="26"/>
      <c r="D64" s="26"/>
      <c r="E64" s="26"/>
    </row>
    <row r="65" spans="1:5" ht="12.75">
      <c r="A65" s="26"/>
      <c r="B65" s="26"/>
      <c r="C65" s="26"/>
      <c r="D65" s="26"/>
      <c r="E65" s="26"/>
    </row>
    <row r="66" spans="1:5" ht="12.75">
      <c r="A66" s="26"/>
      <c r="B66" s="26"/>
      <c r="C66" s="26"/>
      <c r="D66" s="26"/>
      <c r="E66" s="26"/>
    </row>
    <row r="67" spans="1:5" ht="12.75">
      <c r="A67" s="26"/>
      <c r="B67" s="26"/>
      <c r="C67" s="26"/>
      <c r="D67" s="26"/>
      <c r="E67" s="26"/>
    </row>
    <row r="68" spans="1:5" ht="12.75">
      <c r="A68" s="26"/>
      <c r="B68" s="26"/>
      <c r="C68" s="26"/>
      <c r="D68" s="26"/>
      <c r="E68" s="26"/>
    </row>
    <row r="69" spans="1:5" ht="12.75">
      <c r="A69" s="26"/>
      <c r="B69" s="26"/>
      <c r="C69" s="26"/>
      <c r="D69" s="26"/>
      <c r="E69" s="26"/>
    </row>
    <row r="70" spans="1:5" ht="12.75">
      <c r="A70" s="26"/>
      <c r="B70" s="26"/>
      <c r="C70" s="26"/>
      <c r="D70" s="26"/>
      <c r="E70" s="26"/>
    </row>
    <row r="71" spans="1:5" ht="12.75">
      <c r="A71" s="26"/>
      <c r="B71" s="26"/>
      <c r="C71" s="26"/>
      <c r="D71" s="26"/>
      <c r="E71" s="26"/>
    </row>
    <row r="72" spans="1:5" ht="12.75">
      <c r="A72" s="26"/>
      <c r="B72" s="26"/>
      <c r="C72" s="26"/>
      <c r="D72" s="26"/>
      <c r="E72" s="26"/>
    </row>
    <row r="73" spans="1:5" ht="12.75">
      <c r="A73" s="26"/>
      <c r="B73" s="26"/>
      <c r="C73" s="26"/>
      <c r="D73" s="26"/>
      <c r="E73" s="26"/>
    </row>
    <row r="74" spans="1:5" ht="12.75">
      <c r="A74" s="26"/>
      <c r="B74" s="26"/>
      <c r="C74" s="26"/>
      <c r="D74" s="26"/>
      <c r="E74" s="26"/>
    </row>
    <row r="75" spans="1:5" ht="12.75">
      <c r="A75" s="26"/>
      <c r="B75" s="26"/>
      <c r="C75" s="26"/>
      <c r="D75" s="26"/>
      <c r="E75" s="26"/>
    </row>
    <row r="76" spans="1:5" ht="12.75">
      <c r="A76" s="26"/>
      <c r="B76" s="26"/>
      <c r="C76" s="26"/>
      <c r="D76" s="26"/>
      <c r="E76" s="26"/>
    </row>
    <row r="77" spans="1:5" ht="12.75">
      <c r="A77" s="26"/>
      <c r="B77" s="26"/>
      <c r="C77" s="26"/>
      <c r="D77" s="26"/>
      <c r="E77" s="26"/>
    </row>
    <row r="78" spans="1:5" ht="12.75">
      <c r="A78" s="26"/>
      <c r="B78" s="26"/>
      <c r="C78" s="26"/>
      <c r="D78" s="26"/>
      <c r="E78" s="26"/>
    </row>
    <row r="79" spans="1:5" ht="12.75">
      <c r="A79" s="26"/>
      <c r="B79" s="26"/>
      <c r="C79" s="26"/>
      <c r="D79" s="26"/>
      <c r="E79" s="26"/>
    </row>
    <row r="80" spans="1:5" ht="12.75">
      <c r="A80" s="26"/>
      <c r="B80" s="26"/>
      <c r="C80" s="26"/>
      <c r="D80" s="26"/>
      <c r="E80" s="26"/>
    </row>
    <row r="81" spans="1:5" ht="12.75">
      <c r="A81" s="26"/>
      <c r="B81" s="26"/>
      <c r="C81" s="26"/>
      <c r="D81" s="26"/>
      <c r="E81" s="26"/>
    </row>
    <row r="82" spans="1:5" ht="12.75">
      <c r="A82" s="26"/>
      <c r="B82" s="26"/>
      <c r="C82" s="26"/>
      <c r="D82" s="26"/>
      <c r="E82" s="26"/>
    </row>
    <row r="83" spans="1:5" ht="12.75">
      <c r="A83" s="26"/>
      <c r="B83" s="26"/>
      <c r="C83" s="26"/>
      <c r="D83" s="26"/>
      <c r="E83" s="26"/>
    </row>
    <row r="84" spans="1:5" ht="12.75">
      <c r="A84" s="26"/>
      <c r="B84" s="26"/>
      <c r="C84" s="26"/>
      <c r="D84" s="26"/>
      <c r="E84" s="26"/>
    </row>
    <row r="85" spans="1:5" ht="12.75">
      <c r="A85" s="26"/>
      <c r="B85" s="26"/>
      <c r="C85" s="26"/>
      <c r="D85" s="26"/>
      <c r="E85" s="26"/>
    </row>
    <row r="86" spans="1:5" ht="12.75">
      <c r="A86" s="26"/>
      <c r="B86" s="26"/>
      <c r="C86" s="26"/>
      <c r="D86" s="26"/>
      <c r="E86" s="26"/>
    </row>
    <row r="87" spans="1:5" ht="12.75">
      <c r="A87" s="26"/>
      <c r="B87" s="26"/>
      <c r="C87" s="26"/>
      <c r="D87" s="26"/>
      <c r="E87" s="26"/>
    </row>
    <row r="88" spans="1:5" ht="12.75">
      <c r="A88" s="26"/>
      <c r="B88" s="26"/>
      <c r="C88" s="26"/>
      <c r="D88" s="26"/>
      <c r="E88" s="26"/>
    </row>
    <row r="89" spans="1:5" ht="12.75">
      <c r="A89" s="26"/>
      <c r="B89" s="26"/>
      <c r="C89" s="26"/>
      <c r="D89" s="26"/>
      <c r="E89" s="26"/>
    </row>
    <row r="90" spans="1:5" ht="12.75">
      <c r="A90" s="26"/>
      <c r="B90" s="26"/>
      <c r="C90" s="26"/>
      <c r="D90" s="26"/>
      <c r="E90" s="26"/>
    </row>
    <row r="91" spans="1:5" ht="12.75">
      <c r="A91" s="26"/>
      <c r="B91" s="26"/>
      <c r="C91" s="26"/>
      <c r="D91" s="26"/>
      <c r="E91" s="26"/>
    </row>
    <row r="92" spans="1:5" ht="12.75">
      <c r="A92" s="26"/>
      <c r="B92" s="26"/>
      <c r="C92" s="26"/>
      <c r="D92" s="26"/>
      <c r="E92" s="26"/>
    </row>
    <row r="93" spans="1:5" ht="12.75">
      <c r="A93" s="26"/>
      <c r="B93" s="26"/>
      <c r="C93" s="26"/>
      <c r="D93" s="26"/>
      <c r="E93" s="26"/>
    </row>
    <row r="94" spans="1:5" ht="12.75">
      <c r="A94" s="26"/>
      <c r="B94" s="26"/>
      <c r="C94" s="26"/>
      <c r="D94" s="26"/>
      <c r="E94" s="26"/>
    </row>
    <row r="95" spans="1:5" ht="12.75">
      <c r="A95" s="26"/>
      <c r="B95" s="26"/>
      <c r="C95" s="26"/>
      <c r="D95" s="26"/>
      <c r="E95" s="26"/>
    </row>
    <row r="96" spans="1:5" ht="12.75">
      <c r="A96" s="26"/>
      <c r="B96" s="26"/>
      <c r="C96" s="26"/>
      <c r="D96" s="26"/>
      <c r="E96" s="26"/>
    </row>
    <row r="97" spans="1:5" ht="12.75">
      <c r="A97" s="26"/>
      <c r="B97" s="26"/>
      <c r="C97" s="26"/>
      <c r="D97" s="26"/>
      <c r="E97" s="26"/>
    </row>
    <row r="98" spans="1:5" ht="12.75">
      <c r="A98" s="26"/>
      <c r="B98" s="26"/>
      <c r="C98" s="26"/>
      <c r="D98" s="26"/>
      <c r="E98" s="26"/>
    </row>
    <row r="99" spans="1:5" ht="12.75">
      <c r="A99" s="26"/>
      <c r="B99" s="26"/>
      <c r="C99" s="26"/>
      <c r="D99" s="26"/>
      <c r="E99" s="26"/>
    </row>
    <row r="100" spans="1:5" ht="12.75">
      <c r="A100" s="26"/>
      <c r="B100" s="26"/>
      <c r="C100" s="26"/>
      <c r="D100" s="26"/>
      <c r="E100" s="26"/>
    </row>
    <row r="101" spans="1:5" ht="12.75">
      <c r="A101" s="26"/>
      <c r="B101" s="26"/>
      <c r="C101" s="26"/>
      <c r="D101" s="26"/>
      <c r="E101" s="26"/>
    </row>
    <row r="102" spans="1:5" ht="12.75">
      <c r="A102" s="26"/>
      <c r="B102" s="26"/>
      <c r="C102" s="26"/>
      <c r="D102" s="26"/>
      <c r="E102" s="26"/>
    </row>
    <row r="103" spans="1:5" ht="12.75">
      <c r="A103" s="26"/>
      <c r="B103" s="26"/>
      <c r="C103" s="26"/>
      <c r="D103" s="26"/>
      <c r="E103" s="26"/>
    </row>
    <row r="104" spans="1:5" ht="12.75">
      <c r="A104" s="26"/>
      <c r="B104" s="26"/>
      <c r="C104" s="26"/>
      <c r="D104" s="26"/>
      <c r="E104" s="26"/>
    </row>
    <row r="105" spans="1:5" ht="12.75">
      <c r="A105" s="26"/>
      <c r="B105" s="26"/>
      <c r="C105" s="26"/>
      <c r="D105" s="26"/>
      <c r="E105" s="26"/>
    </row>
    <row r="106" spans="1:5" ht="12.75">
      <c r="A106" s="26"/>
      <c r="B106" s="26"/>
      <c r="C106" s="26"/>
      <c r="D106" s="26"/>
      <c r="E106" s="26"/>
    </row>
    <row r="107" spans="1:5" ht="12.75">
      <c r="A107" s="26"/>
      <c r="B107" s="26"/>
      <c r="C107" s="26"/>
      <c r="D107" s="26"/>
      <c r="E107" s="26"/>
    </row>
    <row r="108" spans="1:5" ht="12.75">
      <c r="A108" s="26"/>
      <c r="B108" s="26"/>
      <c r="C108" s="26"/>
      <c r="D108" s="26"/>
      <c r="E108" s="26"/>
    </row>
    <row r="109" spans="1:5" ht="12.75">
      <c r="A109" s="26"/>
      <c r="B109" s="26"/>
      <c r="C109" s="26"/>
      <c r="D109" s="26"/>
      <c r="E109" s="26"/>
    </row>
    <row r="110" spans="1:5" ht="12.75">
      <c r="A110" s="26"/>
      <c r="B110" s="26"/>
      <c r="C110" s="26"/>
      <c r="D110" s="26"/>
      <c r="E110" s="26"/>
    </row>
    <row r="111" spans="1:5" ht="12.75">
      <c r="A111" s="26"/>
      <c r="B111" s="26"/>
      <c r="C111" s="26"/>
      <c r="D111" s="26"/>
      <c r="E111" s="26"/>
    </row>
    <row r="112" s="26" customFormat="1" ht="12.75"/>
    <row r="113" s="26" customFormat="1" ht="12.75"/>
    <row r="114" s="26" customFormat="1" ht="12.75"/>
    <row r="115" s="26" customFormat="1" ht="12.75"/>
    <row r="116" s="26" customFormat="1" ht="12.75"/>
    <row r="117" s="26" customFormat="1" ht="12.75"/>
    <row r="118" s="26" customFormat="1" ht="12.75"/>
    <row r="119" s="26" customFormat="1" ht="12.75"/>
    <row r="120" s="26" customFormat="1" ht="12.75"/>
    <row r="121" s="26" customFormat="1" ht="12.75"/>
    <row r="122" s="26" customFormat="1" ht="12.75"/>
    <row r="123" s="26" customFormat="1" ht="12.75"/>
    <row r="124" s="26" customFormat="1" ht="12.75"/>
    <row r="125" s="26" customFormat="1" ht="12.75"/>
    <row r="126" s="26" customFormat="1" ht="12.75"/>
    <row r="127" s="26" customFormat="1" ht="12.75"/>
    <row r="128" s="26" customFormat="1" ht="12.75"/>
    <row r="129" s="26" customFormat="1" ht="12.75"/>
    <row r="130" s="26" customFormat="1" ht="12.75"/>
    <row r="131" s="26" customFormat="1" ht="12.75"/>
    <row r="132" s="26" customFormat="1" ht="12.75"/>
    <row r="133" s="26" customFormat="1" ht="12.75"/>
    <row r="134" s="26" customFormat="1" ht="12.75"/>
    <row r="135" s="26" customFormat="1" ht="12.75"/>
    <row r="136" s="26" customFormat="1" ht="12.75"/>
    <row r="137" s="26" customFormat="1" ht="12.75"/>
    <row r="138" s="26" customFormat="1" ht="12.75"/>
    <row r="139" s="26" customFormat="1" ht="12.75"/>
    <row r="140" s="26" customFormat="1" ht="12.75"/>
    <row r="141" s="26" customFormat="1" ht="12.75"/>
    <row r="142" s="26" customFormat="1" ht="12.75"/>
    <row r="143" s="26" customFormat="1" ht="12.75"/>
    <row r="144" s="26" customFormat="1" ht="12.75"/>
    <row r="145" s="26" customFormat="1" ht="12.75"/>
    <row r="146" s="26" customFormat="1" ht="12.75"/>
    <row r="147" s="26" customFormat="1" ht="12.75"/>
    <row r="148" s="26" customFormat="1" ht="12.75"/>
    <row r="149" s="26" customFormat="1" ht="12.75"/>
    <row r="150" s="26" customFormat="1" ht="12.75"/>
    <row r="151" s="26" customFormat="1" ht="12.75"/>
    <row r="152" s="26" customFormat="1" ht="12.75"/>
    <row r="153" s="26" customFormat="1" ht="12.75"/>
    <row r="154" s="26" customFormat="1" ht="12.75"/>
    <row r="155" s="26" customFormat="1" ht="12.75"/>
    <row r="156" s="26" customFormat="1" ht="12.75"/>
    <row r="157" s="26" customFormat="1" ht="12.75"/>
    <row r="158" s="26" customFormat="1" ht="12.75"/>
    <row r="159" s="26" customFormat="1" ht="12.75"/>
    <row r="160" s="26" customFormat="1" ht="12.75"/>
    <row r="161" s="26" customFormat="1" ht="12.75"/>
    <row r="162" s="26" customFormat="1" ht="12.75"/>
    <row r="163" s="26" customFormat="1" ht="12.75"/>
    <row r="164" s="26" customFormat="1" ht="12.75"/>
    <row r="165" s="26" customFormat="1" ht="12.75"/>
    <row r="166" s="26" customFormat="1" ht="12.75"/>
    <row r="167" s="26" customFormat="1" ht="12.75"/>
    <row r="168" s="26" customFormat="1" ht="12.75"/>
    <row r="169" s="26" customFormat="1" ht="12.75"/>
    <row r="170" s="26" customFormat="1" ht="12.75"/>
    <row r="171" s="26" customFormat="1" ht="12.75"/>
    <row r="172" s="26" customFormat="1" ht="12.75"/>
    <row r="173" s="26" customFormat="1" ht="12.75"/>
  </sheetData>
  <sheetProtection algorithmName="SHA-512" hashValue="iC889DofK1de6G6ZOM4k7JGh6HZYrlQzIjBH7Lf3SKClqST+ZoU3Qd5VE0fd23+1AskUkj0yy3RAXYgx+bYXQw==" saltValue="Eo/TeDfo66oLOJBMzSpEpQ==" spinCount="100000" sheet="1" objects="1" scenarios="1"/>
  <mergeCells count="8">
    <mergeCell ref="A40:E40"/>
    <mergeCell ref="C5:E5"/>
    <mergeCell ref="A6:E6"/>
    <mergeCell ref="A1:E1"/>
    <mergeCell ref="A2:E2"/>
    <mergeCell ref="B3:E3"/>
    <mergeCell ref="A4:E4"/>
    <mergeCell ref="A39:E39"/>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9"/>
  <sheetViews>
    <sheetView tabSelected="1" workbookViewId="0" topLeftCell="A1">
      <selection pane="topLeft" activeCell="A9" sqref="A9:J9"/>
    </sheetView>
  </sheetViews>
  <sheetFormatPr defaultRowHeight="12.75"/>
  <cols>
    <col min="11" max="11" width="9.14285714285714" style="3"/>
    <col min="12" max="12" width="90.7142857142857" style="3" customWidth="1"/>
    <col min="13" max="30" width="9.14285714285714" style="3"/>
  </cols>
  <sheetData>
    <row r="1" spans="1:12" ht="12.75" customHeight="1">
      <c r="A1" s="152"/>
      <c r="B1" s="152"/>
      <c r="C1" s="152"/>
      <c r="D1" s="152"/>
      <c r="E1" s="152"/>
      <c r="F1" s="152"/>
      <c r="G1" s="152"/>
      <c r="H1" s="152"/>
      <c r="I1" s="152"/>
      <c r="J1" s="152"/>
      <c r="L1" s="492"/>
    </row>
    <row r="2" spans="1:12" ht="12.75" customHeight="1">
      <c r="A2" s="152"/>
      <c r="B2" s="152"/>
      <c r="C2" s="152"/>
      <c r="D2" s="152"/>
      <c r="E2" s="152"/>
      <c r="F2" s="152"/>
      <c r="G2" s="152"/>
      <c r="H2" s="152"/>
      <c r="I2" s="152"/>
      <c r="J2" s="152"/>
      <c r="L2" s="492"/>
    </row>
    <row r="3" spans="1:12" ht="12.75" customHeight="1">
      <c r="A3" s="152"/>
      <c r="B3" s="152"/>
      <c r="C3" s="152"/>
      <c r="D3" s="152"/>
      <c r="E3" s="152"/>
      <c r="F3" s="152"/>
      <c r="G3" s="152"/>
      <c r="H3" s="152"/>
      <c r="I3" s="152"/>
      <c r="J3" s="152"/>
      <c r="L3" s="492"/>
    </row>
    <row r="4" spans="1:12" ht="12.75">
      <c r="A4" s="152"/>
      <c r="B4" s="152"/>
      <c r="C4" s="152"/>
      <c r="D4" s="152"/>
      <c r="E4" s="152"/>
      <c r="F4" s="152"/>
      <c r="G4" s="152"/>
      <c r="H4" s="152"/>
      <c r="I4" s="152"/>
      <c r="J4" s="152"/>
      <c r="L4" s="187"/>
    </row>
    <row r="5" spans="1:12" ht="12.75" customHeight="1">
      <c r="A5" s="152"/>
      <c r="B5" s="152"/>
      <c r="C5" s="152"/>
      <c r="D5" s="152"/>
      <c r="E5" s="152"/>
      <c r="F5" s="152"/>
      <c r="G5" s="152"/>
      <c r="H5" s="152"/>
      <c r="I5" s="152"/>
      <c r="J5" s="152"/>
      <c r="L5" s="493"/>
    </row>
    <row r="6" spans="1:12" ht="12.75">
      <c r="A6" s="152"/>
      <c r="B6" s="152"/>
      <c r="C6" s="152"/>
      <c r="D6" s="152"/>
      <c r="E6" s="152"/>
      <c r="F6" s="152"/>
      <c r="G6" s="152"/>
      <c r="H6" s="152"/>
      <c r="I6" s="152"/>
      <c r="J6" s="152"/>
      <c r="L6" s="493"/>
    </row>
    <row r="7" spans="1:12" ht="60" customHeight="1">
      <c r="A7" s="494" t="s">
        <v>3663</v>
      </c>
      <c r="B7" s="494"/>
      <c r="C7" s="494"/>
      <c r="D7" s="494"/>
      <c r="E7" s="494"/>
      <c r="F7" s="494"/>
      <c r="G7" s="494"/>
      <c r="H7" s="494"/>
      <c r="I7" s="494"/>
      <c r="J7" s="494"/>
      <c r="L7" s="493"/>
    </row>
    <row r="8" spans="1:12" ht="15" customHeight="1">
      <c r="A8" s="495" t="s">
        <v>3672</v>
      </c>
      <c r="B8" s="495"/>
      <c r="C8" s="495"/>
      <c r="D8" s="495"/>
      <c r="E8" s="495"/>
      <c r="F8" s="495"/>
      <c r="G8" s="495"/>
      <c r="H8" s="495"/>
      <c r="I8" s="495"/>
      <c r="J8" s="495"/>
      <c r="L8" s="493"/>
    </row>
    <row r="9" spans="1:12" ht="15" customHeight="1">
      <c r="A9" s="496" t="s">
        <v>3667</v>
      </c>
      <c r="B9" s="496"/>
      <c r="C9" s="496"/>
      <c r="D9" s="496"/>
      <c r="E9" s="496"/>
      <c r="F9" s="496"/>
      <c r="G9" s="496"/>
      <c r="H9" s="496"/>
      <c r="I9" s="496"/>
      <c r="J9" s="496"/>
      <c r="L9" s="493"/>
    </row>
    <row r="10" spans="1:12" ht="45" customHeight="1">
      <c r="A10" s="495"/>
      <c r="B10" s="495"/>
      <c r="C10" s="495"/>
      <c r="D10" s="495"/>
      <c r="E10" s="495"/>
      <c r="F10" s="495"/>
      <c r="G10" s="495"/>
      <c r="H10" s="495"/>
      <c r="I10" s="495"/>
      <c r="J10" s="495"/>
      <c r="L10" s="493"/>
    </row>
    <row r="11" spans="1:12" ht="15">
      <c r="A11" s="497" t="s">
        <v>3655</v>
      </c>
      <c r="B11" s="498"/>
      <c r="C11" s="498"/>
      <c r="D11" s="498"/>
      <c r="E11" s="498"/>
      <c r="F11" s="498"/>
      <c r="G11" s="498"/>
      <c r="H11" s="498"/>
      <c r="I11" s="498"/>
      <c r="J11" s="498"/>
      <c r="L11" s="493"/>
    </row>
    <row r="12" spans="1:12" ht="30" customHeight="1">
      <c r="A12" s="499" t="s">
        <v>3656</v>
      </c>
      <c r="B12" s="499"/>
      <c r="C12" s="499"/>
      <c r="D12" s="499"/>
      <c r="E12" s="499"/>
      <c r="F12" s="499"/>
      <c r="G12" s="499"/>
      <c r="H12" s="499"/>
      <c r="I12" s="499"/>
      <c r="J12" s="499"/>
      <c r="L12" s="493"/>
    </row>
    <row r="13" spans="1:12" ht="30" customHeight="1">
      <c r="A13" s="499" t="s">
        <v>3657</v>
      </c>
      <c r="B13" s="499"/>
      <c r="C13" s="499"/>
      <c r="D13" s="499"/>
      <c r="E13" s="499"/>
      <c r="F13" s="499"/>
      <c r="G13" s="499"/>
      <c r="H13" s="499"/>
      <c r="I13" s="499"/>
      <c r="J13" s="499"/>
      <c r="L13" s="493"/>
    </row>
    <row r="14" spans="1:12" ht="45" customHeight="1">
      <c r="A14" s="499" t="s">
        <v>3658</v>
      </c>
      <c r="B14" s="499"/>
      <c r="C14" s="499"/>
      <c r="D14" s="499"/>
      <c r="E14" s="499"/>
      <c r="F14" s="499"/>
      <c r="G14" s="499"/>
      <c r="H14" s="499"/>
      <c r="I14" s="499"/>
      <c r="J14" s="499"/>
      <c r="L14" s="493"/>
    </row>
    <row r="15" spans="1:12" ht="30" customHeight="1">
      <c r="A15" s="499" t="s">
        <v>3659</v>
      </c>
      <c r="B15" s="499"/>
      <c r="C15" s="499"/>
      <c r="D15" s="499"/>
      <c r="E15" s="499"/>
      <c r="F15" s="499"/>
      <c r="G15" s="499"/>
      <c r="H15" s="499"/>
      <c r="I15" s="499"/>
      <c r="J15" s="499"/>
      <c r="L15" s="493"/>
    </row>
    <row r="16" spans="1:12" ht="30" customHeight="1">
      <c r="A16" s="499" t="s">
        <v>3660</v>
      </c>
      <c r="B16" s="499"/>
      <c r="C16" s="499"/>
      <c r="D16" s="499"/>
      <c r="E16" s="499"/>
      <c r="F16" s="499"/>
      <c r="G16" s="499"/>
      <c r="H16" s="499"/>
      <c r="I16" s="499"/>
      <c r="J16" s="499"/>
      <c r="L16" s="493"/>
    </row>
    <row r="17" spans="1:12" ht="45" customHeight="1">
      <c r="A17" s="497"/>
      <c r="B17" s="500"/>
      <c r="C17" s="500"/>
      <c r="D17" s="500"/>
      <c r="E17" s="500"/>
      <c r="F17" s="500"/>
      <c r="G17" s="500"/>
      <c r="H17" s="500"/>
      <c r="I17" s="500"/>
      <c r="J17" s="500"/>
      <c r="L17" s="493"/>
    </row>
    <row r="18" spans="1:12" ht="45" customHeight="1">
      <c r="A18" s="501" t="s">
        <v>3665</v>
      </c>
      <c r="B18" s="501"/>
      <c r="C18" s="501"/>
      <c r="D18" s="501"/>
      <c r="E18" s="501"/>
      <c r="F18" s="501"/>
      <c r="G18" s="501"/>
      <c r="H18" s="501"/>
      <c r="I18" s="501"/>
      <c r="J18" s="501"/>
      <c r="L18" s="484"/>
    </row>
    <row r="19" spans="1:12" ht="34.5" customHeight="1">
      <c r="A19" s="502" t="str">
        <f>HYPERLINK("http://business.center.cz/business/sablony/s3-priznani-k-dani-z-prijmu-fyzickych-osob.aspx")</f>
        <v>http://business.center.cz/business/sablony/s3-priznani-k-dani-z-prijmu-fyzickych-osob.aspx</v>
      </c>
      <c r="B19" s="503"/>
      <c r="C19" s="503"/>
      <c r="D19" s="503"/>
      <c r="E19" s="503"/>
      <c r="F19" s="503"/>
      <c r="G19" s="503"/>
      <c r="H19" s="503"/>
      <c r="I19" s="503"/>
      <c r="J19" s="503"/>
      <c r="L19" s="493"/>
    </row>
    <row r="20" spans="1:12" ht="45" customHeight="1">
      <c r="A20" s="504"/>
      <c r="B20" s="504"/>
      <c r="C20" s="504"/>
      <c r="D20" s="504"/>
      <c r="E20" s="504"/>
      <c r="F20" s="504"/>
      <c r="G20" s="504"/>
      <c r="H20" s="504"/>
      <c r="I20" s="504"/>
      <c r="J20" s="504"/>
      <c r="L20" s="493"/>
    </row>
    <row r="21" spans="1:12" ht="30" customHeight="1">
      <c r="A21" s="505" t="s">
        <v>3666</v>
      </c>
      <c r="B21" s="506"/>
      <c r="C21" s="506"/>
      <c r="D21" s="506"/>
      <c r="E21" s="506"/>
      <c r="F21" s="506"/>
      <c r="G21" s="506"/>
      <c r="H21" s="506"/>
      <c r="I21" s="506"/>
      <c r="J21" s="506"/>
      <c r="L21" s="493"/>
    </row>
    <row r="22" spans="1:12" ht="15" customHeight="1">
      <c r="A22" s="507" t="s">
        <v>3669</v>
      </c>
      <c r="B22" s="507"/>
      <c r="C22" s="507"/>
      <c r="D22" s="507"/>
      <c r="E22" s="507"/>
      <c r="F22" s="507"/>
      <c r="G22" s="507"/>
      <c r="H22" s="507"/>
      <c r="I22" s="507"/>
      <c r="J22" s="507"/>
      <c r="L22" s="493"/>
    </row>
    <row r="23" spans="1:12" ht="15" customHeight="1">
      <c r="A23" s="507" t="s">
        <v>3668</v>
      </c>
      <c r="B23" s="507"/>
      <c r="C23" s="507"/>
      <c r="D23" s="507"/>
      <c r="E23" s="507"/>
      <c r="F23" s="507"/>
      <c r="G23" s="507"/>
      <c r="H23" s="507"/>
      <c r="I23" s="507"/>
      <c r="J23" s="507"/>
      <c r="L23" s="493"/>
    </row>
    <row r="24" spans="1:12" ht="12.75" customHeight="1">
      <c r="A24" s="508"/>
      <c r="B24" s="508"/>
      <c r="C24" s="508"/>
      <c r="D24" s="508"/>
      <c r="E24" s="508"/>
      <c r="F24" s="508"/>
      <c r="G24" s="508"/>
      <c r="H24" s="508"/>
      <c r="I24" s="508"/>
      <c r="J24" s="508"/>
      <c r="L24" s="493"/>
    </row>
    <row r="25" spans="1:12" ht="12.75" customHeight="1">
      <c r="A25" s="508"/>
      <c r="B25" s="508"/>
      <c r="C25" s="508"/>
      <c r="D25" s="508"/>
      <c r="E25" s="508"/>
      <c r="F25" s="508"/>
      <c r="G25" s="508"/>
      <c r="H25" s="508"/>
      <c r="I25" s="508"/>
      <c r="J25" s="508"/>
      <c r="L25" s="493"/>
    </row>
    <row r="26" spans="1:12" ht="12.75" customHeight="1">
      <c r="A26" s="508" t="s">
        <v>231</v>
      </c>
      <c r="B26" s="508"/>
      <c r="C26" s="508"/>
      <c r="D26" s="508"/>
      <c r="E26" s="508"/>
      <c r="F26" s="508"/>
      <c r="G26" s="508"/>
      <c r="H26" s="508"/>
      <c r="I26" s="508"/>
      <c r="J26" s="508"/>
      <c r="L26" s="493"/>
    </row>
    <row r="27" spans="1:10" ht="12.75">
      <c r="A27" s="3"/>
      <c r="B27" s="3"/>
      <c r="C27" s="3"/>
      <c r="D27" s="3"/>
      <c r="E27" s="3"/>
      <c r="F27" s="3"/>
      <c r="G27" s="3"/>
      <c r="H27" s="3"/>
      <c r="I27" s="3"/>
      <c r="J27" s="3"/>
    </row>
    <row r="28" spans="1:10" ht="12.75">
      <c r="A28" s="3"/>
      <c r="B28" s="3"/>
      <c r="C28" s="3"/>
      <c r="D28" s="3"/>
      <c r="E28" s="3"/>
      <c r="F28" s="3"/>
      <c r="G28" s="3"/>
      <c r="H28" s="3"/>
      <c r="I28" s="3"/>
      <c r="J28" s="3"/>
    </row>
    <row r="29" spans="1:10" ht="12.75">
      <c r="A29" s="3"/>
      <c r="B29" s="3"/>
      <c r="C29" s="3"/>
      <c r="D29" s="3"/>
      <c r="E29" s="3"/>
      <c r="F29" s="3"/>
      <c r="G29" s="3"/>
      <c r="H29" s="3"/>
      <c r="I29" s="3"/>
      <c r="J29" s="3"/>
    </row>
    <row r="30" spans="1:10" ht="12.75">
      <c r="A30" s="3"/>
      <c r="B30" s="3"/>
      <c r="C30" s="3"/>
      <c r="D30" s="3"/>
      <c r="E30" s="3"/>
      <c r="F30" s="3"/>
      <c r="G30" s="3"/>
      <c r="H30" s="3"/>
      <c r="I30" s="3"/>
      <c r="J30" s="3"/>
    </row>
    <row r="31" spans="1:10" ht="12.75">
      <c r="A31" s="3"/>
      <c r="B31" s="3"/>
      <c r="C31" s="3"/>
      <c r="D31" s="3"/>
      <c r="E31" s="3"/>
      <c r="F31" s="3"/>
      <c r="G31" s="3"/>
      <c r="H31" s="3"/>
      <c r="I31" s="3"/>
      <c r="J31" s="3"/>
    </row>
    <row r="32" spans="1:10" ht="12.75">
      <c r="A32" s="3"/>
      <c r="B32" s="3"/>
      <c r="C32" s="3"/>
      <c r="D32" s="3"/>
      <c r="E32" s="3"/>
      <c r="F32" s="3"/>
      <c r="G32" s="3"/>
      <c r="H32" s="3"/>
      <c r="I32" s="3"/>
      <c r="J32" s="3"/>
    </row>
    <row r="33" spans="1:10" ht="12.75">
      <c r="A33" s="3"/>
      <c r="B33" s="3"/>
      <c r="C33" s="3"/>
      <c r="D33" s="3"/>
      <c r="E33" s="3"/>
      <c r="F33" s="3"/>
      <c r="G33" s="3"/>
      <c r="H33" s="3"/>
      <c r="I33" s="3"/>
      <c r="J33" s="3"/>
    </row>
    <row r="34" s="3" customFormat="1" ht="12.75"/>
    <row r="35" s="3" customFormat="1" ht="12.75"/>
    <row r="36" s="3" customFormat="1" ht="12.75"/>
    <row r="37" s="3" customFormat="1" ht="12.75"/>
    <row r="38" s="3" customFormat="1" ht="12.75"/>
    <row r="39" s="3" customFormat="1" ht="12.75"/>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pans="1:1" s="3" customFormat="1" ht="12.75" hidden="1">
      <c r="A97" s="301">
        <v>1</v>
      </c>
    </row>
    <row r="98" spans="1:1" s="3" customFormat="1" ht="12.75" hidden="1">
      <c r="A98" s="301" t="s">
        <v>317</v>
      </c>
    </row>
    <row r="99" spans="1:1" s="3" customFormat="1" ht="12.75">
      <c r="A99" s="23">
        <v>1</v>
      </c>
    </row>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sheetData>
  <sheetProtection algorithmName="SHA-512" hashValue="Ziv1TqJBcn8X7dbrZtIyYZmoGejNWfPduZGi4XiRDUb0SQm5DmXMlKeGpa8nM432HmV+Gq/IaTT+sNo8sVOUwg==" saltValue="+uQ59CRG+3oGMjEGk+5htg==" spinCount="100000" sheet="1" objects="1" scenarios="1"/>
  <mergeCells count="23">
    <mergeCell ref="A18:J18"/>
    <mergeCell ref="A19:J19"/>
    <mergeCell ref="L19:L26"/>
    <mergeCell ref="A20:J20"/>
    <mergeCell ref="A21:J21"/>
    <mergeCell ref="A22:J22"/>
    <mergeCell ref="A23:J23"/>
    <mergeCell ref="A26:J26"/>
    <mergeCell ref="A24:J24"/>
    <mergeCell ref="A25:J25"/>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5" right="0.393700787401575" top="0.78740157480315" bottom="0.78740157480315" header="0.511811023622047" footer="0.511811023622047"/>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7" sqref="B7"/>
    </sheetView>
  </sheetViews>
  <sheetFormatPr defaultRowHeight="12.75"/>
  <cols>
    <col min="1" max="1" width="28.1428571428571" style="82" customWidth="1"/>
    <col min="2" max="2" width="65.7142857142857" style="82" customWidth="1"/>
    <col min="3" max="3" width="3" style="82" customWidth="1"/>
    <col min="4" max="4" width="65.7142857142857" style="82" customWidth="1"/>
    <col min="5" max="5" width="28.2857142857143" style="82" customWidth="1"/>
    <col min="6" max="37" width="9.14285714285714" style="27"/>
  </cols>
  <sheetData>
    <row r="1" spans="1:37" s="149" customFormat="1" ht="18">
      <c r="A1" s="517" t="s">
        <v>304</v>
      </c>
      <c r="B1" s="518"/>
      <c r="C1" s="518"/>
      <c r="D1" s="518"/>
      <c r="E1" s="518"/>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row>
    <row r="2" spans="1:37" s="149" customFormat="1" ht="18">
      <c r="A2" s="274"/>
      <c r="B2" s="379" t="s">
        <v>3516</v>
      </c>
      <c r="C2" s="275"/>
      <c r="D2" s="281" t="s">
        <v>174</v>
      </c>
      <c r="E2" s="276"/>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1:37" s="149" customFormat="1" ht="15.95" customHeight="1">
      <c r="A3" s="193"/>
      <c r="B3" s="194" t="s">
        <v>305</v>
      </c>
      <c r="C3" s="150"/>
      <c r="D3" s="194" t="s">
        <v>306</v>
      </c>
      <c r="E3" s="190"/>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row>
    <row r="4" spans="1:37" s="149" customFormat="1" ht="15.95" customHeight="1">
      <c r="A4" s="436" t="s">
        <v>3585</v>
      </c>
      <c r="B4" s="207"/>
      <c r="C4" s="196"/>
      <c r="D4" s="521"/>
      <c r="E4" s="435" t="s">
        <v>3582</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row>
    <row r="5" spans="1:37" s="149" customFormat="1" ht="15.95" customHeight="1">
      <c r="A5" s="436" t="s">
        <v>3586</v>
      </c>
      <c r="B5" s="208"/>
      <c r="C5" s="197"/>
      <c r="D5" s="522"/>
      <c r="E5" s="150"/>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row>
    <row r="6" spans="1:37" s="149" customFormat="1" ht="15.95" customHeight="1">
      <c r="A6" s="436" t="s">
        <v>3596</v>
      </c>
      <c r="B6" s="208"/>
      <c r="C6" s="197"/>
      <c r="D6" s="522"/>
      <c r="E6" s="150"/>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row>
    <row r="7" spans="1:37" s="149" customFormat="1" ht="15.95" customHeight="1">
      <c r="A7" s="436" t="s">
        <v>3587</v>
      </c>
      <c r="B7" s="208"/>
      <c r="C7" s="197"/>
      <c r="D7" s="209"/>
      <c r="E7" s="435" t="s">
        <v>3583</v>
      </c>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row>
    <row r="8" spans="1:37" s="149" customFormat="1" ht="15.95" customHeight="1">
      <c r="A8" s="436" t="s">
        <v>3597</v>
      </c>
      <c r="B8" s="210"/>
      <c r="C8" s="197"/>
      <c r="D8" s="209"/>
      <c r="E8" s="150"/>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row>
    <row r="9" spans="1:37" s="149" customFormat="1" ht="15.95" customHeight="1">
      <c r="A9" s="436" t="s">
        <v>40</v>
      </c>
      <c r="B9" s="211"/>
      <c r="C9" s="197"/>
      <c r="D9" s="209"/>
      <c r="E9" s="150"/>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row>
    <row r="10" spans="1:37" s="149" customFormat="1" ht="15.95" customHeight="1">
      <c r="A10" s="436" t="s">
        <v>3584</v>
      </c>
      <c r="B10" s="211"/>
      <c r="C10" s="197"/>
      <c r="D10" s="212"/>
      <c r="E10" s="435" t="s">
        <v>3584</v>
      </c>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row>
    <row r="11" spans="1:37" s="149" customFormat="1" ht="15.95" customHeight="1">
      <c r="A11" s="436" t="s">
        <v>3598</v>
      </c>
      <c r="B11" s="211"/>
      <c r="C11" s="197"/>
      <c r="D11" s="209"/>
      <c r="E11" s="150"/>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row>
    <row r="12" spans="1:37" s="149" customFormat="1" ht="15.95" customHeight="1">
      <c r="A12" s="195"/>
      <c r="B12" s="514"/>
      <c r="C12" s="515"/>
      <c r="D12" s="516"/>
      <c r="E12" s="150"/>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row>
    <row r="13" spans="1:37" s="149" customFormat="1" ht="15.95" customHeight="1">
      <c r="A13" s="437" t="s">
        <v>3599</v>
      </c>
      <c r="B13" s="213"/>
      <c r="C13" s="198"/>
      <c r="D13" s="214"/>
      <c r="E13" s="199" t="s">
        <v>309</v>
      </c>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row>
    <row r="14" spans="1:37" s="149" customFormat="1" ht="15.95" customHeight="1">
      <c r="A14" s="437" t="s">
        <v>3600</v>
      </c>
      <c r="B14" s="213"/>
      <c r="C14" s="197"/>
      <c r="D14" s="214"/>
      <c r="E14" s="435" t="s">
        <v>3585</v>
      </c>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row>
    <row r="15" spans="1:37" s="149" customFormat="1" ht="15.95" customHeight="1">
      <c r="A15" s="200" t="s">
        <v>311</v>
      </c>
      <c r="B15" s="213"/>
      <c r="C15" s="197"/>
      <c r="D15" s="214"/>
      <c r="E15" s="435" t="s">
        <v>3586</v>
      </c>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row>
    <row r="16" spans="1:37" s="149" customFormat="1" ht="15.95" customHeight="1">
      <c r="A16" s="436" t="s">
        <v>3601</v>
      </c>
      <c r="B16" s="213"/>
      <c r="C16" s="197"/>
      <c r="D16" s="214"/>
      <c r="E16" s="435" t="s">
        <v>3587</v>
      </c>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row>
    <row r="17" spans="1:37" s="149" customFormat="1" ht="15.95" customHeight="1">
      <c r="A17" s="436" t="s">
        <v>3591</v>
      </c>
      <c r="B17" s="215"/>
      <c r="C17" s="197"/>
      <c r="D17" s="214"/>
      <c r="E17" s="435" t="s">
        <v>3588</v>
      </c>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row>
    <row r="18" spans="1:37" s="149" customFormat="1" ht="15.95" customHeight="1">
      <c r="A18" s="436" t="s">
        <v>3592</v>
      </c>
      <c r="B18" s="213"/>
      <c r="C18" s="197"/>
      <c r="D18" s="214"/>
      <c r="E18" s="150"/>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row>
    <row r="19" spans="1:37" s="149" customFormat="1" ht="15.95" customHeight="1">
      <c r="A19" s="436" t="s">
        <v>3593</v>
      </c>
      <c r="B19" s="215"/>
      <c r="C19" s="198"/>
      <c r="D19" s="214"/>
      <c r="E19" s="199" t="s">
        <v>308</v>
      </c>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row>
    <row r="20" spans="1:37" s="149" customFormat="1" ht="15.95" customHeight="1">
      <c r="A20" s="437" t="s">
        <v>3602</v>
      </c>
      <c r="B20" s="213"/>
      <c r="C20" s="197"/>
      <c r="D20" s="214"/>
      <c r="E20" s="435" t="s">
        <v>3585</v>
      </c>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row>
    <row r="21" spans="1:37" s="149" customFormat="1" ht="15.95" customHeight="1">
      <c r="A21" s="436" t="s">
        <v>3603</v>
      </c>
      <c r="B21" s="213"/>
      <c r="C21" s="197"/>
      <c r="D21" s="214"/>
      <c r="E21" s="435" t="s">
        <v>3586</v>
      </c>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row>
    <row r="22" spans="1:37" s="149" customFormat="1" ht="15.95" customHeight="1">
      <c r="A22" s="195"/>
      <c r="B22" s="213"/>
      <c r="C22" s="197"/>
      <c r="D22" s="214"/>
      <c r="E22" s="435" t="s">
        <v>3587</v>
      </c>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row>
    <row r="23" spans="1:37" s="149" customFormat="1" ht="15.95" customHeight="1">
      <c r="A23" s="200" t="s">
        <v>3604</v>
      </c>
      <c r="B23" s="213"/>
      <c r="C23" s="197"/>
      <c r="D23" s="216"/>
      <c r="E23" s="435" t="s">
        <v>3589</v>
      </c>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row>
    <row r="24" spans="1:37" s="149" customFormat="1" ht="15.95" customHeight="1">
      <c r="A24" s="195"/>
      <c r="B24" s="213"/>
      <c r="C24" s="197"/>
      <c r="D24" s="214"/>
      <c r="E24" s="435" t="s">
        <v>3590</v>
      </c>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row>
    <row r="25" spans="1:37" s="149" customFormat="1" ht="15.95" customHeight="1">
      <c r="A25" s="436" t="s">
        <v>3589</v>
      </c>
      <c r="B25" s="217"/>
      <c r="C25" s="197"/>
      <c r="D25" s="218"/>
      <c r="E25" s="435" t="s">
        <v>3591</v>
      </c>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row>
    <row r="26" spans="1:37" s="149" customFormat="1" ht="15.95" customHeight="1">
      <c r="A26" s="436" t="s">
        <v>3605</v>
      </c>
      <c r="B26" s="217"/>
      <c r="C26" s="197"/>
      <c r="D26" s="214"/>
      <c r="E26" s="435" t="s">
        <v>3592</v>
      </c>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row>
    <row r="27" spans="1:37" s="149" customFormat="1" ht="15.95" customHeight="1">
      <c r="A27" s="436" t="s">
        <v>3595</v>
      </c>
      <c r="B27" s="456"/>
      <c r="C27" s="197"/>
      <c r="D27" s="219"/>
      <c r="E27" s="435" t="s">
        <v>3593</v>
      </c>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row>
    <row r="28" spans="1:37" s="149" customFormat="1" ht="15.95" customHeight="1">
      <c r="A28" s="436" t="s">
        <v>3606</v>
      </c>
      <c r="B28" s="213"/>
      <c r="C28" s="197"/>
      <c r="D28" s="214"/>
      <c r="E28" s="150"/>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row>
    <row r="29" spans="1:37" s="149" customFormat="1" ht="15.95" customHeight="1">
      <c r="A29" s="437" t="s">
        <v>3607</v>
      </c>
      <c r="B29" s="520"/>
      <c r="C29" s="198"/>
      <c r="D29" s="214"/>
      <c r="E29" s="199" t="s">
        <v>310</v>
      </c>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row>
    <row r="30" spans="1:37" s="149" customFormat="1" ht="15.95" customHeight="1">
      <c r="A30" s="376"/>
      <c r="B30" s="520"/>
      <c r="C30" s="197"/>
      <c r="D30" s="214"/>
      <c r="E30" s="435" t="s">
        <v>3585</v>
      </c>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row>
    <row r="31" spans="1:37" s="149" customFormat="1" ht="15.95" customHeight="1">
      <c r="A31" s="200" t="s">
        <v>307</v>
      </c>
      <c r="B31" s="213"/>
      <c r="C31" s="197"/>
      <c r="D31" s="214"/>
      <c r="E31" s="435" t="s">
        <v>3586</v>
      </c>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row>
    <row r="32" spans="1:37" s="149" customFormat="1" ht="15.95" customHeight="1">
      <c r="A32" s="436" t="s">
        <v>3608</v>
      </c>
      <c r="B32" s="215"/>
      <c r="C32" s="197"/>
      <c r="D32" s="214"/>
      <c r="E32" s="435" t="s">
        <v>3587</v>
      </c>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row>
    <row r="33" spans="1:37" s="149" customFormat="1" ht="15.95" customHeight="1">
      <c r="A33" s="436" t="s">
        <v>3609</v>
      </c>
      <c r="B33" s="215"/>
      <c r="C33" s="197"/>
      <c r="D33" s="216"/>
      <c r="E33" s="435" t="s">
        <v>3589</v>
      </c>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row>
    <row r="34" spans="1:37" s="149" customFormat="1" ht="15.95" customHeight="1">
      <c r="A34" s="436" t="s">
        <v>3610</v>
      </c>
      <c r="B34" s="213"/>
      <c r="C34" s="197"/>
      <c r="D34" s="216"/>
      <c r="E34" s="435" t="s">
        <v>3594</v>
      </c>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7" s="149" customFormat="1" ht="15.95" customHeight="1">
      <c r="A35" s="195"/>
      <c r="B35" s="213"/>
      <c r="C35" s="197"/>
      <c r="D35" s="306"/>
      <c r="E35" s="435" t="s">
        <v>3595</v>
      </c>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7" s="149" customFormat="1" ht="15.95" customHeight="1">
      <c r="A36" s="195"/>
      <c r="B36" s="220"/>
      <c r="C36" s="201"/>
      <c r="D36" s="221"/>
      <c r="E36" s="150"/>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s="149" customFormat="1" ht="12.75">
      <c r="A37" s="519" t="s">
        <v>3553</v>
      </c>
      <c r="B37" s="518"/>
      <c r="C37" s="518"/>
      <c r="D37" s="518"/>
      <c r="E37" s="518"/>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s="149" customFormat="1" ht="12.75">
      <c r="A38" s="202"/>
      <c r="B38" s="203" t="s">
        <v>313</v>
      </c>
      <c r="C38" s="150"/>
      <c r="D38" s="512" t="s">
        <v>315</v>
      </c>
      <c r="E38" s="513"/>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s="149" customFormat="1" ht="12.75">
      <c r="A39" s="204"/>
      <c r="B39" s="205" t="s">
        <v>312</v>
      </c>
      <c r="C39" s="150"/>
      <c r="D39" s="206" t="s">
        <v>0</v>
      </c>
      <c r="E39" s="150"/>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row>
    <row r="40" spans="1:37" s="149" customFormat="1" ht="12.75">
      <c r="A40" s="222"/>
      <c r="B40" s="223" t="s">
        <v>314</v>
      </c>
      <c r="C40" s="150"/>
      <c r="D40" s="150"/>
      <c r="E40" s="150"/>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row>
    <row r="41" spans="1:37" s="149" customFormat="1" ht="12.75">
      <c r="A41" s="511" t="s">
        <v>231</v>
      </c>
      <c r="B41" s="511"/>
      <c r="C41" s="511"/>
      <c r="D41" s="511"/>
      <c r="E41" s="191"/>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row>
    <row r="43" spans="1:1" s="27" customFormat="1" ht="12.75">
      <c r="A43" s="192"/>
    </row>
    <row r="44" spans="1:5" s="27" customFormat="1" ht="12.75">
      <c r="A44" s="509"/>
      <c r="B44" s="510"/>
      <c r="C44" s="510"/>
      <c r="D44" s="510"/>
      <c r="E44" s="510"/>
    </row>
    <row r="45" s="27" customFormat="1" ht="12.75"/>
    <row r="46" s="27" customFormat="1" ht="12.75"/>
    <row r="47" s="27" customFormat="1" ht="12.75"/>
    <row r="48" s="27" customFormat="1" ht="12.75"/>
    <row r="49" s="27" customFormat="1" ht="12.75"/>
    <row r="50" s="27" customFormat="1" ht="12.75"/>
    <row r="51" s="27" customFormat="1" ht="12.75"/>
    <row r="52" s="27" customFormat="1" ht="12.75"/>
    <row r="53" spans="1:1" s="27" customFormat="1" ht="12.75">
      <c r="A53" s="192"/>
    </row>
    <row r="54" s="27" customFormat="1" ht="12.75"/>
    <row r="55" s="27" customFormat="1" ht="12.75"/>
    <row r="56" s="27" customFormat="1" ht="12.75"/>
    <row r="57" s="27" customFormat="1" ht="12.75"/>
    <row r="58" s="27" customFormat="1" ht="12.75"/>
    <row r="59" s="27" customFormat="1" ht="12.75"/>
    <row r="60" s="27" customFormat="1" ht="12.75"/>
    <row r="61" s="27" customFormat="1" ht="12.75"/>
    <row r="62" s="27" customFormat="1" ht="12.75"/>
    <row r="63" s="27" customFormat="1" ht="12.75"/>
    <row r="64" s="27" customFormat="1" ht="12.75"/>
    <row r="65" s="27" customFormat="1" ht="12.75"/>
    <row r="66" s="27" customFormat="1" ht="12.75"/>
    <row r="67" s="27" customFormat="1" ht="12.75"/>
    <row r="68" s="27" customFormat="1" ht="12.75"/>
    <row r="69" s="27" customFormat="1" ht="12.75"/>
    <row r="70" s="27" customFormat="1" ht="12.75"/>
    <row r="71" s="27" customFormat="1" ht="12.75"/>
    <row r="72" s="27" customFormat="1" ht="12.75"/>
    <row r="73" s="27" customFormat="1" ht="12.75"/>
    <row r="74" s="27" customFormat="1" ht="12.75"/>
    <row r="75" s="27" customFormat="1" ht="12.75"/>
    <row r="76" s="27" customFormat="1" ht="12.75"/>
    <row r="77" s="27" customFormat="1" ht="12.75"/>
    <row r="78" s="27" customFormat="1" ht="12.75"/>
    <row r="79" s="27" customFormat="1" ht="12.75"/>
    <row r="80"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row r="175" s="27" customFormat="1" ht="12.75"/>
    <row r="176" s="27" customFormat="1" ht="12.75"/>
    <row r="177" s="27" customFormat="1" ht="12.75"/>
    <row r="178" s="27" customFormat="1" ht="12.75"/>
    <row r="179" s="27" customFormat="1" ht="12.75"/>
    <row r="180" s="27" customFormat="1" ht="12.75"/>
    <row r="181" s="27" customFormat="1" ht="12.75"/>
    <row r="182" s="27" customFormat="1" ht="12.75"/>
    <row r="183" s="27" customFormat="1" ht="12.75"/>
    <row r="184" s="27" customFormat="1" ht="12.75"/>
    <row r="185" s="27" customFormat="1" ht="12.75"/>
    <row r="186" s="27" customFormat="1" ht="12.75"/>
    <row r="187" s="27" customFormat="1" ht="12.75"/>
    <row r="188" s="27" customFormat="1" ht="12.75"/>
    <row r="189" s="27" customFormat="1" ht="12.75"/>
    <row r="190" s="27" customFormat="1" ht="12.75"/>
    <row r="191" s="27" customFormat="1" ht="12.75"/>
    <row r="192" s="27" customFormat="1" ht="12.75"/>
    <row r="193" s="27" customFormat="1" ht="12.75"/>
    <row r="194" s="27" customFormat="1" ht="12.75"/>
    <row r="195" s="27" customFormat="1" ht="12.75"/>
    <row r="196" s="27" customFormat="1" ht="12.75"/>
    <row r="197" s="27" customFormat="1" ht="12.75"/>
    <row r="198" s="27" customFormat="1" ht="12.75"/>
    <row r="199" s="27" customFormat="1" ht="12.75"/>
    <row r="200" s="27" customFormat="1" ht="12.75"/>
    <row r="201" s="27" customFormat="1" ht="12.75"/>
    <row r="202" s="27" customFormat="1" ht="12.75"/>
    <row r="203" s="27" customFormat="1" ht="12.75"/>
    <row r="204" s="27" customFormat="1" ht="12.75"/>
    <row r="205" s="27" customFormat="1" ht="12.75"/>
    <row r="206" s="27" customFormat="1" ht="12.75"/>
    <row r="207" s="27" customFormat="1" ht="12.75"/>
    <row r="208" s="27" customFormat="1" ht="12.75"/>
    <row r="209" s="27" customFormat="1" ht="12.75"/>
    <row r="210" s="27" customFormat="1" ht="12.75"/>
    <row r="211" s="27" customFormat="1" ht="12.75"/>
    <row r="212" s="27" customFormat="1" ht="12.75"/>
    <row r="213" s="27" customFormat="1" ht="12.75"/>
    <row r="214" s="27" customFormat="1" ht="12.75"/>
    <row r="215" s="27" customFormat="1" ht="12.75"/>
    <row r="216" s="27" customFormat="1" ht="12.75"/>
    <row r="217" s="27" customFormat="1" ht="12.75"/>
  </sheetData>
  <sheetProtection algorithmName="SHA-512" hashValue="TR7gCKzlMeINPeIseO5PdFQdI1tcj03t4OBrQKt+yERQX2QO3WoObsaEaI8I613HpMhOixuQ+ssze8lsAdOuhg==" saltValue="HZVGaVmv4ebphuF1M+mpA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workbookViewId="0" topLeftCell="A1">
      <selection pane="topLeft" activeCell="B15" sqref="B15"/>
    </sheetView>
  </sheetViews>
  <sheetFormatPr defaultColWidth="9.14428571428571" defaultRowHeight="12.75"/>
  <cols>
    <col min="1" max="1" width="4" style="312" customWidth="1"/>
    <col min="2" max="2" width="100.714285714286" style="312" customWidth="1"/>
    <col min="3" max="42" width="9.14285714285714" style="377"/>
    <col min="43" max="16384" width="9.14285714285714" style="312"/>
  </cols>
  <sheetData>
    <row r="1" spans="1:2" ht="18">
      <c r="A1" s="523" t="s">
        <v>3506</v>
      </c>
      <c r="B1" s="524"/>
    </row>
    <row r="2" spans="1:2" ht="12.75">
      <c r="A2" s="385"/>
      <c r="B2" s="385"/>
    </row>
    <row r="3" spans="1:2" ht="30">
      <c r="A3" s="386" t="s">
        <v>140</v>
      </c>
      <c r="B3" s="387" t="s">
        <v>3507</v>
      </c>
    </row>
    <row r="4" spans="1:2" ht="29.25">
      <c r="A4" s="386" t="s">
        <v>141</v>
      </c>
      <c r="B4" s="388" t="s">
        <v>3405</v>
      </c>
    </row>
    <row r="5" spans="1:2" ht="29.25">
      <c r="A5" s="386" t="s">
        <v>142</v>
      </c>
      <c r="B5" s="388" t="s">
        <v>3504</v>
      </c>
    </row>
    <row r="6" spans="1:2" ht="15">
      <c r="A6" s="386"/>
      <c r="B6" s="389" t="s">
        <v>3505</v>
      </c>
    </row>
    <row r="7" spans="1:2" s="377" customFormat="1" ht="15">
      <c r="A7" s="386"/>
      <c r="B7" s="389" t="s">
        <v>3508</v>
      </c>
    </row>
    <row r="8" spans="1:2" s="377" customFormat="1" ht="15">
      <c r="A8" s="386"/>
      <c r="B8" s="388" t="s">
        <v>3509</v>
      </c>
    </row>
    <row r="9" spans="1:2" s="377" customFormat="1" ht="29.25">
      <c r="A9" s="386"/>
      <c r="B9" s="388" t="s">
        <v>3510</v>
      </c>
    </row>
    <row r="10" spans="1:2" s="377" customFormat="1" ht="86.25">
      <c r="A10" s="386"/>
      <c r="B10" s="388" t="s">
        <v>3511</v>
      </c>
    </row>
    <row r="11" spans="1:2" s="377" customFormat="1" ht="29.25">
      <c r="A11" s="386" t="s">
        <v>293</v>
      </c>
      <c r="B11" s="391" t="s">
        <v>3512</v>
      </c>
    </row>
    <row r="12" spans="1:2" s="377" customFormat="1" ht="59.25">
      <c r="A12" s="386" t="s">
        <v>110</v>
      </c>
      <c r="B12" s="388" t="s">
        <v>3513</v>
      </c>
    </row>
    <row r="13" spans="1:2" s="377" customFormat="1" ht="15">
      <c r="A13" s="386" t="s">
        <v>292</v>
      </c>
      <c r="B13" s="388" t="s">
        <v>3537</v>
      </c>
    </row>
    <row r="14" spans="1:2" s="377" customFormat="1" ht="15">
      <c r="A14" s="386"/>
      <c r="B14" s="392" t="s">
        <v>3407</v>
      </c>
    </row>
    <row r="15" spans="1:2" s="377" customFormat="1" ht="42.75">
      <c r="A15" s="386"/>
      <c r="B15" s="393" t="s">
        <v>3408</v>
      </c>
    </row>
    <row r="16" spans="1:2" s="377" customFormat="1" ht="99.75">
      <c r="A16" s="386"/>
      <c r="B16" s="393" t="s">
        <v>3538</v>
      </c>
    </row>
    <row r="17" spans="1:2" s="377" customFormat="1" ht="45" customHeight="1">
      <c r="A17" s="386" t="s">
        <v>291</v>
      </c>
      <c r="B17" s="388" t="s">
        <v>3514</v>
      </c>
    </row>
    <row r="18" spans="1:2" s="377" customFormat="1" ht="15" customHeight="1">
      <c r="A18" s="386"/>
      <c r="B18" s="390" t="s">
        <v>3406</v>
      </c>
    </row>
    <row r="19" spans="1:2" s="377" customFormat="1" ht="14.25">
      <c r="A19" s="386" t="s">
        <v>290</v>
      </c>
      <c r="B19" s="393" t="s">
        <v>3515</v>
      </c>
    </row>
    <row r="20" spans="1:2" s="377" customFormat="1" ht="14.25">
      <c r="A20" s="386"/>
      <c r="B20" s="393" t="s">
        <v>3409</v>
      </c>
    </row>
    <row r="21" spans="1:2" s="377" customFormat="1" ht="28.5">
      <c r="A21" s="386"/>
      <c r="B21" s="393" t="s">
        <v>3413</v>
      </c>
    </row>
    <row r="22" spans="1:2" s="377" customFormat="1" ht="12.75">
      <c r="A22" s="385"/>
      <c r="B22" s="385"/>
    </row>
    <row r="23" spans="1:2" s="377" customFormat="1" ht="15.75">
      <c r="A23" s="385"/>
      <c r="B23" s="394" t="s">
        <v>3611</v>
      </c>
    </row>
    <row r="24" spans="1:2" s="377" customFormat="1" ht="14.25">
      <c r="A24" s="385"/>
      <c r="B24" s="395" t="s">
        <v>3410</v>
      </c>
    </row>
    <row r="25" spans="1:2" s="377" customFormat="1" ht="14.25">
      <c r="A25" s="385"/>
      <c r="B25" s="395" t="s">
        <v>3411</v>
      </c>
    </row>
    <row r="26" s="377" customFormat="1" ht="12.75"/>
    <row r="27" s="377" customFormat="1" ht="12.75"/>
    <row r="28" s="377" customFormat="1" ht="12.75"/>
    <row r="29" s="377" customFormat="1" ht="12.75"/>
    <row r="30" s="377" customFormat="1" ht="12.75"/>
    <row r="31" s="377" customFormat="1" ht="12.75"/>
    <row r="32" s="377" customFormat="1" ht="12.75"/>
    <row r="33" s="377" customFormat="1" ht="12.75"/>
    <row r="34" s="377" customFormat="1" ht="12.75"/>
    <row r="35" s="377" customFormat="1" ht="12.75"/>
    <row r="36" s="377" customFormat="1" ht="12.75"/>
    <row r="37" s="377" customFormat="1" ht="12.75"/>
    <row r="38" s="377" customFormat="1" ht="12.75"/>
    <row r="39" s="377" customFormat="1" ht="12.75"/>
    <row r="40" s="377" customFormat="1" ht="12.75"/>
    <row r="41" s="377" customFormat="1" ht="12.75"/>
    <row r="42" s="377" customFormat="1" ht="12.75"/>
    <row r="43" s="377" customFormat="1" ht="12.75"/>
    <row r="44" s="377" customFormat="1" ht="12.75"/>
    <row r="45" s="377" customFormat="1" ht="12.75"/>
    <row r="46" s="377" customFormat="1" ht="12.75"/>
    <row r="47" s="377" customFormat="1" ht="12.75"/>
    <row r="48" s="377" customFormat="1" ht="12.75"/>
    <row r="49" s="377" customFormat="1" ht="12.75"/>
    <row r="50" s="377" customFormat="1" ht="12.75"/>
    <row r="51" s="377" customFormat="1" ht="12.75"/>
    <row r="52" s="377" customFormat="1" ht="12.75"/>
    <row r="53" s="377" customFormat="1" ht="12.75"/>
    <row r="54" s="377" customFormat="1" ht="12.75"/>
    <row r="55" s="377" customFormat="1" ht="12.75"/>
    <row r="56" s="377" customFormat="1" ht="12.75"/>
    <row r="57" s="377" customFormat="1" ht="12.75"/>
    <row r="58" s="377" customFormat="1" ht="12.75"/>
    <row r="59" s="377" customFormat="1" ht="12.75"/>
    <row r="60" s="377" customFormat="1" ht="12.75"/>
    <row r="61" s="377" customFormat="1" ht="12.75"/>
    <row r="62" s="377" customFormat="1" ht="12.75"/>
    <row r="63" s="377" customFormat="1" ht="12.75"/>
    <row r="64" s="377" customFormat="1" ht="12.75"/>
    <row r="65" s="377" customFormat="1" ht="12.75"/>
    <row r="66" s="377" customFormat="1" ht="12.75"/>
    <row r="67" s="377" customFormat="1" ht="12.75"/>
    <row r="68" s="377" customFormat="1" ht="12.75"/>
    <row r="69" s="377" customFormat="1" ht="12.75"/>
    <row r="70" s="377" customFormat="1" ht="12.75"/>
    <row r="71" s="377" customFormat="1" ht="12.75"/>
    <row r="72" s="377" customFormat="1" ht="12.75"/>
    <row r="73" s="377" customFormat="1" ht="12.75"/>
    <row r="74" s="377" customFormat="1" ht="12.75"/>
    <row r="75" s="377" customFormat="1" ht="12.75"/>
    <row r="76" s="377" customFormat="1" ht="12.75"/>
    <row r="77" s="377" customFormat="1" ht="12.75"/>
    <row r="78" s="377" customFormat="1" ht="12.75"/>
    <row r="79" s="377" customFormat="1" ht="12.75"/>
    <row r="80" s="377" customFormat="1" ht="12.75"/>
    <row r="81" s="377" customFormat="1" ht="12.75"/>
    <row r="82" s="377" customFormat="1" ht="12.75"/>
    <row r="83" s="377" customFormat="1" ht="12.75"/>
    <row r="84" s="377" customFormat="1" ht="12.75"/>
    <row r="85" s="377" customFormat="1" ht="12.75"/>
    <row r="86" s="377" customFormat="1" ht="12.75"/>
    <row r="87" s="377" customFormat="1" ht="12.75"/>
    <row r="88" s="377" customFormat="1" ht="12.75"/>
    <row r="89" s="377" customFormat="1" ht="12.75"/>
    <row r="90" s="377" customFormat="1" ht="12.75"/>
    <row r="91" s="377" customFormat="1" ht="12.75"/>
    <row r="92" s="377" customFormat="1" ht="12.75"/>
    <row r="93" s="377" customFormat="1" ht="12.75"/>
    <row r="94" s="377" customFormat="1" ht="12.75"/>
    <row r="95" s="377" customFormat="1" ht="12.75"/>
    <row r="96" s="377" customFormat="1" ht="12.75"/>
    <row r="97" s="377" customFormat="1" ht="12.75"/>
    <row r="98" s="377" customFormat="1" ht="12.75"/>
    <row r="99" s="377" customFormat="1" ht="12.75"/>
    <row r="100" s="377" customFormat="1" ht="12.75"/>
    <row r="101" s="377" customFormat="1" ht="12.75"/>
    <row r="102" s="377" customFormat="1" ht="12.75"/>
    <row r="103" s="377" customFormat="1" ht="12.75"/>
    <row r="104" s="377" customFormat="1" ht="12.75"/>
    <row r="105" s="377" customFormat="1" ht="12.75"/>
    <row r="106" s="377" customFormat="1" ht="12.75"/>
    <row r="107" s="377" customFormat="1" ht="12.75"/>
    <row r="108" s="377" customFormat="1" ht="12.75"/>
    <row r="109" s="377" customFormat="1" ht="12.75"/>
    <row r="110" s="377" customFormat="1" ht="12.75"/>
    <row r="111" s="377" customFormat="1" ht="12.75"/>
    <row r="112" s="377" customFormat="1" ht="12.75"/>
    <row r="113" s="377" customFormat="1" ht="12.75"/>
    <row r="114" s="377" customFormat="1" ht="12.75"/>
    <row r="115" s="377" customFormat="1" ht="12.75"/>
    <row r="116" s="377" customFormat="1" ht="12.75"/>
    <row r="117" s="377" customFormat="1" ht="12.75"/>
    <row r="118" s="377" customFormat="1" ht="12.75"/>
    <row r="119" s="377" customFormat="1" ht="12.75"/>
    <row r="120" s="377" customFormat="1" ht="12.75"/>
    <row r="121" s="377" customFormat="1" ht="12.75"/>
    <row r="122" s="377" customFormat="1" ht="12.75"/>
    <row r="123" s="377" customFormat="1" ht="12.75"/>
    <row r="124" s="377" customFormat="1" ht="12.75"/>
    <row r="125" s="377" customFormat="1" ht="12.75"/>
    <row r="126" s="377" customFormat="1" ht="12.75"/>
    <row r="127" s="377" customFormat="1" ht="12.75"/>
    <row r="128" s="377" customFormat="1" ht="12.75"/>
    <row r="129" s="377" customFormat="1" ht="12.75"/>
    <row r="130" s="377" customFormat="1" ht="12.75"/>
    <row r="131" s="377" customFormat="1" ht="12.75"/>
    <row r="132" s="377" customFormat="1" ht="12.75"/>
    <row r="133" s="377" customFormat="1" ht="12.75"/>
    <row r="134" s="377" customFormat="1" ht="12.75"/>
    <row r="135" s="377" customFormat="1" ht="12.75"/>
    <row r="136" s="377" customFormat="1" ht="12.75"/>
    <row r="137" s="377" customFormat="1" ht="12.75"/>
    <row r="138" s="377" customFormat="1" ht="12.75"/>
    <row r="139" s="377" customFormat="1" ht="12.75"/>
    <row r="140" s="377" customFormat="1" ht="12.75"/>
    <row r="141" s="377" customFormat="1" ht="12.75"/>
    <row r="142" s="377" customFormat="1" ht="12.75"/>
    <row r="143" s="377" customFormat="1" ht="12.75"/>
    <row r="144" s="377" customFormat="1" ht="12.75"/>
    <row r="145" s="377" customFormat="1" ht="12.75"/>
    <row r="146" s="377" customFormat="1" ht="12.75"/>
    <row r="147" s="377" customFormat="1" ht="12.75"/>
    <row r="148" s="377" customFormat="1" ht="12.75"/>
    <row r="149" s="377" customFormat="1" ht="12.75"/>
    <row r="150" s="377" customFormat="1" ht="12.75"/>
    <row r="151" s="377" customFormat="1" ht="12.75"/>
    <row r="152" s="377" customFormat="1" ht="12.75"/>
    <row r="153" s="377" customFormat="1" ht="12.75"/>
    <row r="154" s="377" customFormat="1" ht="12.75"/>
    <row r="155" s="377" customFormat="1" ht="12.75"/>
    <row r="156" s="377" customFormat="1" ht="12.75"/>
    <row r="157" s="377" customFormat="1" ht="12.75"/>
    <row r="158" s="377" customFormat="1" ht="12.75"/>
    <row r="159" s="377" customFormat="1" ht="12.75"/>
    <row r="160" s="377" customFormat="1" ht="12.75"/>
    <row r="161" s="377" customFormat="1" ht="12.75"/>
    <row r="162" s="377" customFormat="1" ht="12.75"/>
    <row r="163" s="377" customFormat="1" ht="12.75"/>
    <row r="164" s="377" customFormat="1" ht="12.75"/>
    <row r="165" s="377" customFormat="1" ht="12.75"/>
    <row r="166" s="377" customFormat="1" ht="12.75"/>
    <row r="167" s="377" customFormat="1" ht="12.75"/>
    <row r="168" s="377" customFormat="1" ht="12.75"/>
    <row r="169" s="377" customFormat="1" ht="12.75"/>
    <row r="170" s="377" customFormat="1" ht="12.75"/>
    <row r="171" s="377" customFormat="1" ht="12.75"/>
    <row r="172" s="377" customFormat="1" ht="12.75"/>
    <row r="173" s="377" customFormat="1" ht="12.75"/>
    <row r="174" s="377" customFormat="1" ht="12.75"/>
    <row r="175" s="377" customFormat="1" ht="12.75"/>
    <row r="176" s="377" customFormat="1" ht="12.75"/>
    <row r="177" s="377" customFormat="1" ht="12.75"/>
    <row r="178" s="377" customFormat="1" ht="12.75"/>
    <row r="179" s="377" customFormat="1" ht="12.75"/>
    <row r="180" s="377" customFormat="1" ht="12.75"/>
    <row r="181" s="377" customFormat="1" ht="12.75"/>
    <row r="182" s="377" customFormat="1" ht="12.75"/>
    <row r="183" s="377" customFormat="1" ht="12.75"/>
    <row r="184" s="377" customFormat="1" ht="12.75"/>
    <row r="185" s="377" customFormat="1" ht="12.75"/>
    <row r="186" s="377" customFormat="1" ht="12.75"/>
    <row r="187" s="377" customFormat="1" ht="12.75"/>
    <row r="188" s="377" customFormat="1" ht="12.75"/>
    <row r="189" s="377" customFormat="1" ht="12.75"/>
    <row r="190" s="377" customFormat="1" ht="12.75"/>
    <row r="191" s="377" customFormat="1" ht="12.75"/>
    <row r="192" s="377" customFormat="1" ht="12.75"/>
    <row r="193" s="377" customFormat="1" ht="12.75"/>
    <row r="194" s="377" customFormat="1" ht="12.75"/>
    <row r="195" s="377" customFormat="1" ht="12.75"/>
    <row r="196" s="377" customFormat="1" ht="12.75"/>
    <row r="197" s="377" customFormat="1" ht="12.75"/>
    <row r="198" s="377" customFormat="1" ht="12.75"/>
    <row r="199" s="377" customFormat="1" ht="12.75"/>
    <row r="200" s="377" customFormat="1" ht="12.75"/>
    <row r="201" s="377" customFormat="1" ht="12.75"/>
    <row r="202" s="377" customFormat="1" ht="12.75"/>
    <row r="203" s="377" customFormat="1" ht="12.75"/>
    <row r="204" s="377" customFormat="1" ht="12.75"/>
    <row r="205" s="377" customFormat="1" ht="12.75"/>
    <row r="206" s="377" customFormat="1" ht="12.75"/>
    <row r="207" s="377" customFormat="1" ht="12.75"/>
    <row r="208" s="377" customFormat="1" ht="12.75"/>
    <row r="209" s="377" customFormat="1" ht="12.75"/>
    <row r="210" s="377" customFormat="1" ht="12.75"/>
    <row r="211" s="377" customFormat="1" ht="12.75"/>
    <row r="212" s="377" customFormat="1" ht="12.75"/>
    <row r="213" s="377" customFormat="1" ht="12.75"/>
    <row r="214" s="377" customFormat="1" ht="12.75"/>
    <row r="215" s="377" customFormat="1" ht="12.75"/>
    <row r="216" s="377" customFormat="1" ht="12.75"/>
    <row r="217" s="377" customFormat="1" ht="12.75"/>
    <row r="218" s="377" customFormat="1" ht="12.75"/>
    <row r="219" s="377" customFormat="1" ht="12.75"/>
    <row r="220" s="377" customFormat="1" ht="12.75"/>
    <row r="221" s="377" customFormat="1" ht="12.75"/>
    <row r="222" s="377" customFormat="1" ht="12.75"/>
    <row r="223" s="377" customFormat="1" ht="12.75"/>
    <row r="224" s="377" customFormat="1" ht="12.75"/>
    <row r="225" s="377" customFormat="1" ht="12.75"/>
    <row r="226" s="377" customFormat="1" ht="12.75"/>
    <row r="227" s="377" customFormat="1" ht="12.75"/>
    <row r="228" s="377" customFormat="1" ht="12.75"/>
    <row r="229" s="377" customFormat="1" ht="12.75"/>
    <row r="230" s="377" customFormat="1" ht="12.75"/>
    <row r="231" s="377" customFormat="1" ht="12.75"/>
    <row r="232" s="377" customFormat="1" ht="12.75"/>
    <row r="233" s="377" customFormat="1" ht="12.75"/>
    <row r="234" s="377" customFormat="1" ht="12.75"/>
    <row r="235" s="377" customFormat="1" ht="12.75"/>
    <row r="236" s="377" customFormat="1" ht="12.75"/>
    <row r="237" s="377" customFormat="1" ht="12.75"/>
    <row r="238" s="377" customFormat="1" ht="12.75"/>
    <row r="239" s="377" customFormat="1" ht="12.75"/>
    <row r="240" s="377" customFormat="1" ht="12.75"/>
    <row r="241" s="377" customFormat="1" ht="12.75"/>
    <row r="242" s="377" customFormat="1" ht="12.75"/>
  </sheetData>
  <sheetProtection password="EF65"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5" right="0.393700787401575" top="0.393700787401575" bottom="0.393700787401575" header="0.31496062992126" footer="0.31496062992126"/>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 defaultRowHeight="12.75"/>
  <cols>
    <col min="1" max="1" width="8.28571428571429" style="4" customWidth="1"/>
    <col min="2" max="2" width="4.71428571428571" style="4" customWidth="1"/>
    <col min="3" max="3" width="8.28571428571429" style="4" customWidth="1"/>
    <col min="4" max="4" width="4.71428571428571" style="4" customWidth="1"/>
    <col min="5" max="5" width="8.28571428571429" style="3" customWidth="1"/>
    <col min="6" max="6" width="11" style="3" customWidth="1"/>
    <col min="7" max="7" width="7.14285714285714" style="3" customWidth="1"/>
    <col min="8" max="8" width="14.7142857142857" style="4" customWidth="1"/>
    <col min="9" max="9" width="7.28571428571429" style="4" customWidth="1"/>
    <col min="10" max="10" width="9.85714285714286" style="3" customWidth="1"/>
    <col min="11" max="11" width="4.42857142857143" style="4" customWidth="1"/>
    <col min="12" max="12" width="10.7142857142857" style="4" customWidth="1"/>
    <col min="13" max="16384" width="9.14285714285714" style="3"/>
  </cols>
  <sheetData>
    <row r="1" spans="1:12" ht="12.75">
      <c r="A1" s="534" t="s">
        <v>295</v>
      </c>
      <c r="B1" s="534"/>
      <c r="C1" s="535"/>
      <c r="D1" s="535"/>
      <c r="E1" s="535"/>
      <c r="F1" s="535"/>
      <c r="G1" s="535"/>
      <c r="H1" s="535"/>
      <c r="I1" s="535"/>
      <c r="J1" s="535"/>
      <c r="K1" s="535"/>
      <c r="L1" s="535"/>
    </row>
    <row r="2" spans="1:12" ht="12.75">
      <c r="A2" s="547" t="s">
        <v>162</v>
      </c>
      <c r="B2" s="547"/>
      <c r="C2" s="510"/>
      <c r="D2" s="510"/>
      <c r="E2" s="510"/>
      <c r="F2" s="510"/>
      <c r="G2" s="510"/>
      <c r="H2" s="510"/>
      <c r="I2" s="510"/>
      <c r="J2" s="510"/>
      <c r="K2" s="510"/>
      <c r="L2" s="510"/>
    </row>
    <row r="3" spans="1:12" ht="20.25" customHeight="1">
      <c r="A3" s="539">
        <f>+ZAKL_DATA!B13</f>
        <v>0</v>
      </c>
      <c r="B3" s="540"/>
      <c r="C3" s="541"/>
      <c r="D3" s="541"/>
      <c r="E3" s="541"/>
      <c r="F3" s="542"/>
      <c r="G3" s="548"/>
      <c r="H3" s="549"/>
      <c r="I3" s="549"/>
      <c r="J3" s="549"/>
      <c r="K3" s="549"/>
      <c r="L3" s="549"/>
    </row>
    <row r="4" spans="1:12" ht="12.75">
      <c r="A4" s="547" t="s">
        <v>163</v>
      </c>
      <c r="B4" s="547"/>
      <c r="C4" s="510"/>
      <c r="D4" s="510"/>
      <c r="E4" s="510"/>
      <c r="F4" s="510"/>
      <c r="G4" s="510"/>
      <c r="H4" s="510"/>
      <c r="I4" s="510"/>
      <c r="J4" s="510"/>
      <c r="K4" s="510"/>
      <c r="L4" s="510"/>
    </row>
    <row r="5" spans="1:12" ht="20.25" customHeight="1">
      <c r="A5" s="539">
        <f>+ZAKL_DATA!B14</f>
        <v>0</v>
      </c>
      <c r="B5" s="540"/>
      <c r="C5" s="541"/>
      <c r="D5" s="541"/>
      <c r="E5" s="541"/>
      <c r="F5" s="542"/>
      <c r="G5" s="536"/>
      <c r="H5" s="554" t="s">
        <v>230</v>
      </c>
      <c r="I5" s="555"/>
      <c r="J5" s="555"/>
      <c r="K5" s="555"/>
      <c r="L5" s="556"/>
    </row>
    <row r="6" spans="1:12" ht="12.75">
      <c r="A6" s="550" t="s">
        <v>158</v>
      </c>
      <c r="B6" s="550"/>
      <c r="C6" s="551"/>
      <c r="D6" s="551"/>
      <c r="E6" s="551"/>
      <c r="F6" s="551"/>
      <c r="G6" s="537"/>
      <c r="H6" s="557"/>
      <c r="I6" s="558"/>
      <c r="J6" s="558"/>
      <c r="K6" s="558"/>
      <c r="L6" s="537"/>
    </row>
    <row r="7" spans="1:12" ht="20.25" customHeight="1">
      <c r="A7" s="543" t="str">
        <f>IF(EXACT(LEFT(+ZAKL_DATA!D2,1),"C"),+ZAKL_DATA!D2," ")</f>
        <v>CZ</v>
      </c>
      <c r="B7" s="544"/>
      <c r="C7" s="545"/>
      <c r="D7" s="545"/>
      <c r="E7" s="545"/>
      <c r="F7" s="546"/>
      <c r="G7" s="537"/>
      <c r="H7" s="557"/>
      <c r="I7" s="558"/>
      <c r="J7" s="558"/>
      <c r="K7" s="558"/>
      <c r="L7" s="537"/>
    </row>
    <row r="8" spans="1:12" ht="12.75">
      <c r="A8" s="552" t="s">
        <v>159</v>
      </c>
      <c r="B8" s="552"/>
      <c r="C8" s="551"/>
      <c r="D8" s="551"/>
      <c r="E8" s="551"/>
      <c r="F8" s="538"/>
      <c r="G8" s="510"/>
      <c r="H8" s="557"/>
      <c r="I8" s="558"/>
      <c r="J8" s="558"/>
      <c r="K8" s="558"/>
      <c r="L8" s="537"/>
    </row>
    <row r="9" spans="1:12" ht="20.25" customHeight="1">
      <c r="A9" s="585" t="str">
        <f>IF(EXACT(LEFT(+ZAKL_DATA!D2,1),"C"),+MID(A7,3,20),+ZAKL_DATA!D2)</f>
        <v/>
      </c>
      <c r="B9" s="544"/>
      <c r="C9" s="544"/>
      <c r="D9" s="544"/>
      <c r="E9" s="586"/>
      <c r="F9" s="510"/>
      <c r="G9" s="510"/>
      <c r="H9" s="557"/>
      <c r="I9" s="558"/>
      <c r="J9" s="558"/>
      <c r="K9" s="558"/>
      <c r="L9" s="537"/>
    </row>
    <row r="10" spans="1:12" ht="12.75">
      <c r="A10" s="553"/>
      <c r="B10" s="553"/>
      <c r="C10" s="553"/>
      <c r="D10" s="553"/>
      <c r="E10" s="553"/>
      <c r="F10" s="510"/>
      <c r="G10" s="510"/>
      <c r="H10" s="559"/>
      <c r="I10" s="560"/>
      <c r="J10" s="560"/>
      <c r="K10" s="560"/>
      <c r="L10" s="561"/>
    </row>
    <row r="11" spans="1:12" ht="12.75">
      <c r="A11" s="553" t="s">
        <v>223</v>
      </c>
      <c r="B11" s="553"/>
      <c r="C11" s="558"/>
      <c r="D11" s="558"/>
      <c r="E11" s="558"/>
      <c r="F11" s="510"/>
      <c r="G11" s="510"/>
      <c r="H11" s="510"/>
      <c r="I11" s="510"/>
      <c r="J11" s="510"/>
      <c r="K11" s="510"/>
      <c r="L11" s="510"/>
    </row>
    <row r="12" spans="1:12" ht="11.25" customHeight="1">
      <c r="A12" s="77" t="s">
        <v>160</v>
      </c>
      <c r="B12" s="75"/>
      <c r="C12" s="77" t="s">
        <v>239</v>
      </c>
      <c r="D12" s="10"/>
      <c r="E12" s="77" t="s">
        <v>240</v>
      </c>
      <c r="F12" s="76"/>
      <c r="G12" s="611" t="s">
        <v>224</v>
      </c>
      <c r="H12" s="612"/>
      <c r="I12" s="612"/>
      <c r="J12" s="612"/>
      <c r="K12" s="11"/>
      <c r="L12" s="76"/>
    </row>
    <row r="13" spans="1:12" ht="24" customHeight="1">
      <c r="A13" s="78" t="s">
        <v>241</v>
      </c>
      <c r="B13" s="75"/>
      <c r="C13" s="78"/>
      <c r="D13" s="75"/>
      <c r="E13" s="78"/>
      <c r="F13" s="76"/>
      <c r="G13" s="612"/>
      <c r="H13" s="612"/>
      <c r="I13" s="612"/>
      <c r="J13" s="612"/>
      <c r="K13" s="609"/>
      <c r="L13" s="610"/>
    </row>
    <row r="14" spans="1:12" ht="12.75">
      <c r="A14" s="657" t="s">
        <v>215</v>
      </c>
      <c r="B14" s="510"/>
      <c r="C14" s="510"/>
      <c r="D14" s="510"/>
      <c r="E14" s="510"/>
      <c r="F14" s="594"/>
      <c r="G14" s="594"/>
      <c r="H14" s="594"/>
      <c r="I14" s="594"/>
      <c r="J14" s="594"/>
      <c r="K14" s="594"/>
      <c r="L14" s="594"/>
    </row>
    <row r="15" spans="1:12" ht="20.25" customHeight="1">
      <c r="A15" s="78"/>
      <c r="B15" s="653"/>
      <c r="C15" s="654"/>
      <c r="D15" s="654"/>
      <c r="E15" s="654"/>
      <c r="F15" s="658"/>
      <c r="G15" s="600"/>
      <c r="H15" s="600"/>
      <c r="I15" s="600"/>
      <c r="J15" s="134" t="s">
        <v>316</v>
      </c>
      <c r="K15" s="609"/>
      <c r="L15" s="610"/>
    </row>
    <row r="16" spans="1:12" ht="12.75">
      <c r="A16" s="659"/>
      <c r="B16" s="660"/>
      <c r="C16" s="660"/>
      <c r="D16" s="660"/>
      <c r="E16" s="660"/>
      <c r="F16" s="600"/>
      <c r="G16" s="600"/>
      <c r="H16" s="600"/>
      <c r="I16" s="600"/>
      <c r="J16" s="79"/>
      <c r="K16" s="81"/>
      <c r="L16" s="80"/>
    </row>
    <row r="17" spans="1:12" ht="24" customHeight="1">
      <c r="A17" s="606" t="s">
        <v>3673</v>
      </c>
      <c r="B17" s="607"/>
      <c r="C17" s="607"/>
      <c r="D17" s="607"/>
      <c r="E17" s="607"/>
      <c r="F17" s="607"/>
      <c r="G17" s="607"/>
      <c r="H17" s="608"/>
      <c r="I17" s="131" t="s">
        <v>222</v>
      </c>
      <c r="J17" s="78"/>
      <c r="K17" s="130" t="s">
        <v>145</v>
      </c>
      <c r="L17" s="78" t="s">
        <v>241</v>
      </c>
    </row>
    <row r="18" spans="1:12" ht="9" customHeight="1">
      <c r="A18" s="584"/>
      <c r="B18" s="584"/>
      <c r="C18" s="594"/>
      <c r="D18" s="594"/>
      <c r="E18" s="594"/>
      <c r="F18" s="594"/>
      <c r="G18" s="594"/>
      <c r="H18" s="594"/>
      <c r="I18" s="594"/>
      <c r="J18" s="594"/>
      <c r="K18" s="594"/>
      <c r="L18" s="594"/>
    </row>
    <row r="19" spans="1:12" ht="24" customHeight="1">
      <c r="A19" s="606" t="s">
        <v>225</v>
      </c>
      <c r="B19" s="607"/>
      <c r="C19" s="607"/>
      <c r="D19" s="607"/>
      <c r="E19" s="607"/>
      <c r="F19" s="607"/>
      <c r="G19" s="607"/>
      <c r="H19" s="608"/>
      <c r="I19" s="131" t="s">
        <v>222</v>
      </c>
      <c r="J19" s="78"/>
      <c r="K19" s="130" t="s">
        <v>145</v>
      </c>
      <c r="L19" s="78" t="s">
        <v>241</v>
      </c>
    </row>
    <row r="20" spans="1:12" ht="20.1" customHeight="1">
      <c r="A20" s="584"/>
      <c r="B20" s="584"/>
      <c r="C20" s="584"/>
      <c r="D20" s="584"/>
      <c r="E20" s="584"/>
      <c r="F20" s="584"/>
      <c r="G20" s="584"/>
      <c r="H20" s="584"/>
      <c r="I20" s="584"/>
      <c r="J20" s="584"/>
      <c r="K20" s="584"/>
      <c r="L20" s="584"/>
    </row>
    <row r="21" spans="1:12" ht="27.95" customHeight="1">
      <c r="A21" s="597" t="s">
        <v>111</v>
      </c>
      <c r="B21" s="598"/>
      <c r="C21" s="598"/>
      <c r="D21" s="598"/>
      <c r="E21" s="598"/>
      <c r="F21" s="598"/>
      <c r="G21" s="598"/>
      <c r="H21" s="598"/>
      <c r="I21" s="598"/>
      <c r="J21" s="598"/>
      <c r="K21" s="598"/>
      <c r="L21" s="598"/>
    </row>
    <row r="22" spans="1:14" ht="18" customHeight="1">
      <c r="A22" s="599" t="s">
        <v>112</v>
      </c>
      <c r="B22" s="599"/>
      <c r="C22" s="600"/>
      <c r="D22" s="600"/>
      <c r="E22" s="600"/>
      <c r="F22" s="600"/>
      <c r="G22" s="600"/>
      <c r="H22" s="600"/>
      <c r="I22" s="600"/>
      <c r="J22" s="600"/>
      <c r="K22" s="510"/>
      <c r="L22" s="510"/>
      <c r="M22" s="23"/>
      <c r="N22" s="23"/>
    </row>
    <row r="23" spans="1:14" s="115" customFormat="1" ht="18" customHeight="1">
      <c r="A23" s="595" t="s">
        <v>3415</v>
      </c>
      <c r="B23" s="595"/>
      <c r="C23" s="596"/>
      <c r="D23" s="596"/>
      <c r="E23" s="596"/>
      <c r="F23" s="596"/>
      <c r="G23" s="596"/>
      <c r="H23" s="596"/>
      <c r="I23" s="596"/>
      <c r="J23" s="596"/>
      <c r="K23" s="596"/>
      <c r="L23" s="596"/>
      <c r="M23" s="121"/>
      <c r="N23" s="121"/>
    </row>
    <row r="24" spans="1:14" s="115" customFormat="1" ht="24" customHeight="1">
      <c r="A24" s="601" t="s">
        <v>243</v>
      </c>
      <c r="B24" s="602"/>
      <c r="C24" s="602"/>
      <c r="D24" s="602"/>
      <c r="E24" s="603"/>
      <c r="F24" s="655">
        <v>2020</v>
      </c>
      <c r="G24" s="656"/>
      <c r="H24" s="604" t="s">
        <v>186</v>
      </c>
      <c r="I24" s="605"/>
      <c r="J24" s="181"/>
      <c r="K24" s="180" t="s">
        <v>242</v>
      </c>
      <c r="L24" s="181"/>
      <c r="M24" s="121"/>
      <c r="N24" s="121"/>
    </row>
    <row r="25" spans="1:14" ht="18" customHeight="1">
      <c r="A25" s="584" t="s">
        <v>3416</v>
      </c>
      <c r="B25" s="584"/>
      <c r="C25" s="594"/>
      <c r="D25" s="594"/>
      <c r="E25" s="594"/>
      <c r="F25" s="594"/>
      <c r="G25" s="594"/>
      <c r="H25" s="594"/>
      <c r="I25" s="594"/>
      <c r="J25" s="594"/>
      <c r="K25" s="594"/>
      <c r="L25" s="594"/>
      <c r="M25" s="23"/>
      <c r="N25" s="23"/>
    </row>
    <row r="26" spans="1:14" ht="9.95" customHeight="1">
      <c r="A26" s="584"/>
      <c r="B26" s="584"/>
      <c r="C26" s="594"/>
      <c r="D26" s="594"/>
      <c r="E26" s="594"/>
      <c r="F26" s="594"/>
      <c r="G26" s="594"/>
      <c r="H26" s="594"/>
      <c r="I26" s="594"/>
      <c r="J26" s="594"/>
      <c r="K26" s="594"/>
      <c r="L26" s="594"/>
      <c r="M26" s="23"/>
      <c r="N26" s="23"/>
    </row>
    <row r="27" spans="1:14" ht="15" customHeight="1" thickBot="1">
      <c r="A27" s="617" t="s">
        <v>144</v>
      </c>
      <c r="B27" s="617"/>
      <c r="C27" s="618"/>
      <c r="D27" s="618"/>
      <c r="E27" s="618"/>
      <c r="F27" s="618"/>
      <c r="G27" s="618"/>
      <c r="H27" s="618"/>
      <c r="I27" s="618"/>
      <c r="J27" s="618"/>
      <c r="K27" s="618"/>
      <c r="L27" s="618"/>
      <c r="M27" s="23"/>
      <c r="N27" s="23"/>
    </row>
    <row r="28" spans="1:14" ht="24" customHeight="1">
      <c r="A28" s="254" t="s">
        <v>1</v>
      </c>
      <c r="B28" s="562">
        <f>+ZAKL_DATA!B5</f>
        <v>0</v>
      </c>
      <c r="C28" s="563"/>
      <c r="D28" s="563"/>
      <c r="E28" s="564"/>
      <c r="F28" s="255" t="s">
        <v>2</v>
      </c>
      <c r="G28" s="562">
        <f>+ZAKL_DATA!B6</f>
        <v>0</v>
      </c>
      <c r="H28" s="565"/>
      <c r="I28" s="256" t="s">
        <v>260</v>
      </c>
      <c r="J28" s="566">
        <f>+ZAKL_DATA!B4</f>
        <v>0</v>
      </c>
      <c r="K28" s="567"/>
      <c r="L28" s="568"/>
      <c r="M28" s="23"/>
      <c r="N28" s="23"/>
    </row>
    <row r="29" spans="1:14" ht="24" customHeight="1" thickBot="1">
      <c r="A29" s="257" t="s">
        <v>3</v>
      </c>
      <c r="B29" s="577">
        <f>+ZAKL_DATA!B7</f>
        <v>0</v>
      </c>
      <c r="C29" s="578"/>
      <c r="D29" s="578"/>
      <c r="E29" s="579"/>
      <c r="F29" s="625" t="s">
        <v>4</v>
      </c>
      <c r="G29" s="626"/>
      <c r="H29" s="398">
        <f>+ZAKL_DATA!B20</f>
        <v>0</v>
      </c>
      <c r="I29" s="258" t="s">
        <v>5</v>
      </c>
      <c r="J29" s="574"/>
      <c r="K29" s="575"/>
      <c r="L29" s="576"/>
      <c r="M29" s="23"/>
      <c r="N29" s="23"/>
    </row>
    <row r="30" spans="1:14" ht="15" customHeight="1" thickBot="1">
      <c r="A30" s="582" t="s">
        <v>206</v>
      </c>
      <c r="B30" s="582"/>
      <c r="C30" s="583"/>
      <c r="D30" s="583"/>
      <c r="E30" s="583"/>
      <c r="F30" s="583"/>
      <c r="G30" s="583"/>
      <c r="H30" s="583"/>
      <c r="I30" s="583"/>
      <c r="J30" s="583"/>
      <c r="K30" s="583"/>
      <c r="L30" s="583"/>
      <c r="M30" s="23"/>
      <c r="N30" s="23"/>
    </row>
    <row r="31" spans="1:14" ht="24" customHeight="1">
      <c r="A31" s="254" t="s">
        <v>6</v>
      </c>
      <c r="B31" s="571">
        <f>+ZAKL_DATA!B18</f>
        <v>0</v>
      </c>
      <c r="C31" s="580"/>
      <c r="D31" s="580"/>
      <c r="E31" s="581"/>
      <c r="F31" s="259" t="s">
        <v>3417</v>
      </c>
      <c r="G31" s="571">
        <f>+ZAKL_DATA!B16</f>
        <v>0</v>
      </c>
      <c r="H31" s="572"/>
      <c r="I31" s="573"/>
      <c r="J31" s="569" t="s">
        <v>7</v>
      </c>
      <c r="K31" s="570"/>
      <c r="L31" s="14">
        <f>+ZAKL_DATA!B17</f>
        <v>0</v>
      </c>
      <c r="M31" s="23"/>
      <c r="N31" s="23"/>
    </row>
    <row r="32" spans="1:14" ht="24" customHeight="1" thickBot="1">
      <c r="A32" s="257" t="s">
        <v>187</v>
      </c>
      <c r="B32" s="589">
        <f>+ZAKL_DATA!B19</f>
        <v>0</v>
      </c>
      <c r="C32" s="579"/>
      <c r="D32" s="638" t="s">
        <v>188</v>
      </c>
      <c r="E32" s="639"/>
      <c r="F32" s="268">
        <f>+ZAKL_DATA!B25</f>
        <v>0</v>
      </c>
      <c r="G32" s="260" t="s">
        <v>3558</v>
      </c>
      <c r="H32" s="647">
        <f>+ZAKL_DATA!B27</f>
        <v>0</v>
      </c>
      <c r="I32" s="648"/>
      <c r="J32" s="261" t="s">
        <v>189</v>
      </c>
      <c r="K32" s="661">
        <f>+ZAKL_DATA!B20</f>
        <v>0</v>
      </c>
      <c r="L32" s="662"/>
      <c r="M32" s="23"/>
      <c r="N32" s="23"/>
    </row>
    <row r="33" spans="1:14" ht="15" customHeight="1">
      <c r="A33" s="644" t="s">
        <v>3560</v>
      </c>
      <c r="B33" s="645"/>
      <c r="C33" s="645"/>
      <c r="D33" s="645"/>
      <c r="E33" s="645"/>
      <c r="F33" s="645"/>
      <c r="G33" s="645"/>
      <c r="H33" s="645"/>
      <c r="I33" s="645"/>
      <c r="J33" s="645"/>
      <c r="K33" s="646"/>
      <c r="L33" s="646"/>
      <c r="M33" s="23"/>
      <c r="N33" s="23"/>
    </row>
    <row r="34" spans="1:14" ht="15" customHeight="1" thickBot="1">
      <c r="A34" s="642" t="s">
        <v>117</v>
      </c>
      <c r="B34" s="643"/>
      <c r="C34" s="643"/>
      <c r="D34" s="643"/>
      <c r="E34" s="643"/>
      <c r="F34" s="643"/>
      <c r="G34" s="643"/>
      <c r="H34" s="643"/>
      <c r="I34" s="643"/>
      <c r="J34" s="643"/>
      <c r="K34" s="583"/>
      <c r="L34" s="583"/>
      <c r="M34" s="23"/>
      <c r="N34" s="23"/>
    </row>
    <row r="35" spans="1:14" ht="24" customHeight="1" thickBot="1">
      <c r="A35" s="262" t="s">
        <v>190</v>
      </c>
      <c r="B35" s="627"/>
      <c r="C35" s="628"/>
      <c r="D35" s="628"/>
      <c r="E35" s="629"/>
      <c r="F35" s="263" t="s">
        <v>116</v>
      </c>
      <c r="G35" s="651"/>
      <c r="H35" s="652"/>
      <c r="I35" s="264" t="s">
        <v>67</v>
      </c>
      <c r="J35" s="265"/>
      <c r="K35" s="266" t="s">
        <v>191</v>
      </c>
      <c r="L35" s="267"/>
      <c r="M35" s="135"/>
      <c r="N35" s="136"/>
    </row>
    <row r="36" spans="1:14" ht="15" customHeight="1">
      <c r="A36" s="633" t="s">
        <v>3580</v>
      </c>
      <c r="B36" s="634"/>
      <c r="C36" s="634"/>
      <c r="D36" s="634"/>
      <c r="E36" s="634"/>
      <c r="F36" s="634"/>
      <c r="G36" s="634"/>
      <c r="H36" s="634"/>
      <c r="I36" s="634"/>
      <c r="J36" s="634"/>
      <c r="K36" s="510"/>
      <c r="L36" s="510"/>
      <c r="M36" s="23"/>
      <c r="N36" s="23"/>
    </row>
    <row r="37" spans="1:14" ht="15" customHeight="1" thickBot="1">
      <c r="A37" s="635" t="s">
        <v>296</v>
      </c>
      <c r="B37" s="636"/>
      <c r="C37" s="636"/>
      <c r="D37" s="636"/>
      <c r="E37" s="636"/>
      <c r="F37" s="636"/>
      <c r="G37" s="636"/>
      <c r="H37" s="636"/>
      <c r="I37" s="636"/>
      <c r="J37" s="636"/>
      <c r="K37" s="637"/>
      <c r="L37" s="637"/>
      <c r="M37" s="23"/>
      <c r="N37" s="23"/>
    </row>
    <row r="38" spans="1:14" ht="24" customHeight="1">
      <c r="A38" s="12" t="s">
        <v>192</v>
      </c>
      <c r="B38" s="571"/>
      <c r="C38" s="649"/>
      <c r="D38" s="649"/>
      <c r="E38" s="650"/>
      <c r="F38" s="120" t="s">
        <v>3418</v>
      </c>
      <c r="G38" s="630"/>
      <c r="H38" s="631"/>
      <c r="I38" s="632"/>
      <c r="J38" s="640" t="s">
        <v>193</v>
      </c>
      <c r="K38" s="641"/>
      <c r="L38" s="14"/>
      <c r="M38" s="135"/>
      <c r="N38" s="136"/>
    </row>
    <row r="39" spans="1:14" ht="24" customHeight="1" thickBot="1">
      <c r="A39" s="13" t="s">
        <v>194</v>
      </c>
      <c r="B39" s="589"/>
      <c r="C39" s="590"/>
      <c r="D39" s="587" t="s">
        <v>220</v>
      </c>
      <c r="E39" s="588"/>
      <c r="F39" s="616"/>
      <c r="G39" s="590"/>
      <c r="H39" s="15" t="s">
        <v>3559</v>
      </c>
      <c r="I39" s="613"/>
      <c r="J39" s="614"/>
      <c r="K39" s="614"/>
      <c r="L39" s="615"/>
      <c r="M39" s="135"/>
      <c r="N39" s="136"/>
    </row>
    <row r="40" spans="1:14" ht="12" customHeight="1">
      <c r="A40" s="620"/>
      <c r="B40" s="621"/>
      <c r="C40" s="621"/>
      <c r="D40" s="621"/>
      <c r="E40" s="621"/>
      <c r="F40" s="621"/>
      <c r="G40" s="621"/>
      <c r="H40" s="621"/>
      <c r="I40" s="621"/>
      <c r="J40" s="621"/>
      <c r="K40" s="621"/>
      <c r="L40" s="621"/>
      <c r="M40" s="23"/>
      <c r="N40" s="23"/>
    </row>
    <row r="41" spans="1:14" ht="24" customHeight="1">
      <c r="A41" s="622" t="s">
        <v>118</v>
      </c>
      <c r="B41" s="623"/>
      <c r="C41" s="623"/>
      <c r="D41" s="623"/>
      <c r="E41" s="624"/>
      <c r="F41" s="122"/>
      <c r="G41" s="123"/>
      <c r="H41" s="531" t="s">
        <v>57</v>
      </c>
      <c r="I41" s="532"/>
      <c r="J41" s="533"/>
      <c r="K41" s="529"/>
      <c r="L41" s="530"/>
      <c r="M41" s="23"/>
      <c r="N41" s="23"/>
    </row>
    <row r="42" spans="1:14" ht="12" customHeight="1">
      <c r="A42" s="593"/>
      <c r="B42" s="510"/>
      <c r="C42" s="510"/>
      <c r="D42" s="510"/>
      <c r="E42" s="510"/>
      <c r="F42" s="510"/>
      <c r="G42" s="510"/>
      <c r="H42" s="510"/>
      <c r="I42" s="510"/>
      <c r="J42" s="510"/>
      <c r="K42" s="510"/>
      <c r="L42" s="510"/>
      <c r="M42" s="23"/>
      <c r="N42" s="23"/>
    </row>
    <row r="43" spans="1:14" ht="24" customHeight="1">
      <c r="A43" s="591" t="s">
        <v>3517</v>
      </c>
      <c r="B43" s="592"/>
      <c r="C43" s="592"/>
      <c r="D43" s="592"/>
      <c r="E43" s="130" t="s">
        <v>222</v>
      </c>
      <c r="F43" s="78"/>
      <c r="G43" s="130" t="s">
        <v>145</v>
      </c>
      <c r="H43" s="78" t="s">
        <v>241</v>
      </c>
      <c r="I43" s="619"/>
      <c r="J43" s="510"/>
      <c r="K43" s="510"/>
      <c r="L43" s="510"/>
      <c r="M43" s="23"/>
      <c r="N43" s="23"/>
    </row>
    <row r="44" spans="1:14" ht="9" customHeight="1">
      <c r="A44" s="527"/>
      <c r="B44" s="510"/>
      <c r="C44" s="510"/>
      <c r="D44" s="510"/>
      <c r="E44" s="510"/>
      <c r="F44" s="510"/>
      <c r="G44" s="510"/>
      <c r="H44" s="510"/>
      <c r="I44" s="510"/>
      <c r="J44" s="510"/>
      <c r="K44" s="510"/>
      <c r="L44" s="510"/>
      <c r="M44" s="23"/>
      <c r="N44" s="23"/>
    </row>
    <row r="45" spans="1:12" ht="9" customHeight="1">
      <c r="A45" s="528" t="s">
        <v>3674</v>
      </c>
      <c r="B45" s="528"/>
      <c r="C45" s="510"/>
      <c r="D45" s="510"/>
      <c r="E45" s="510"/>
      <c r="F45" s="510"/>
      <c r="G45" s="510"/>
      <c r="H45" s="510"/>
      <c r="I45" s="510"/>
      <c r="J45" s="510"/>
      <c r="K45" s="510"/>
      <c r="L45" s="510"/>
    </row>
    <row r="46" spans="1:12" ht="10.5" customHeight="1">
      <c r="A46" s="525" t="s">
        <v>231</v>
      </c>
      <c r="B46" s="526"/>
      <c r="C46" s="526"/>
      <c r="D46" s="526"/>
      <c r="E46" s="526"/>
      <c r="F46" s="526"/>
      <c r="G46" s="526"/>
      <c r="H46" s="526"/>
      <c r="I46" s="526"/>
      <c r="J46" s="526"/>
      <c r="K46" s="526"/>
      <c r="L46" s="526"/>
    </row>
    <row r="47" spans="1:12" ht="10.5" customHeight="1">
      <c r="A47" s="525">
        <f>+ZAKL_DATA!A44</f>
        <v>0</v>
      </c>
      <c r="B47" s="526"/>
      <c r="C47" s="526"/>
      <c r="D47" s="526"/>
      <c r="E47" s="526"/>
      <c r="F47" s="526"/>
      <c r="G47" s="526"/>
      <c r="H47" s="526"/>
      <c r="I47" s="526"/>
      <c r="J47" s="526"/>
      <c r="K47" s="526"/>
      <c r="L47" s="526"/>
    </row>
    <row r="48" spans="1:12" ht="10.5" customHeight="1">
      <c r="A48" s="584">
        <v>1</v>
      </c>
      <c r="B48" s="510"/>
      <c r="C48" s="510"/>
      <c r="D48" s="510"/>
      <c r="E48" s="510"/>
      <c r="F48" s="510"/>
      <c r="G48" s="510"/>
      <c r="H48" s="510"/>
      <c r="I48" s="510"/>
      <c r="J48" s="510"/>
      <c r="K48" s="510"/>
      <c r="L48" s="510"/>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99</v>
      </c>
      <c r="B55" s="3"/>
      <c r="C55" s="3"/>
      <c r="D55" s="3"/>
      <c r="H55" s="3"/>
      <c r="I55" s="3"/>
      <c r="K55" s="3"/>
      <c r="L55" s="3"/>
    </row>
    <row r="56" spans="1:12" ht="12.95" customHeight="1" hidden="1">
      <c r="A56" s="3" t="s">
        <v>100</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0">
        <v>1</v>
      </c>
    </row>
  </sheetData>
  <sheetProtection algorithmName="SHA-512" hashValue="qoy4m+zjLSwWYkfev1ByPbziMfAZpfazC5/zVf86r/si8DxrYa18At5QhbAblVlTxNs2utw3gXEgsyL/HGDWBA==" saltValue="aBBNI+QG8hcqFbJkmM+Jvw=="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6" customWidth="1"/>
    <col min="4" max="4" width="23.2857142857143" customWidth="1"/>
    <col min="5" max="10" width="8.71428571428571" customWidth="1"/>
    <col min="11" max="11" width="9.14285714285714" style="82"/>
    <col min="12" max="12" width="41.7142857142857" style="82" customWidth="1"/>
    <col min="13" max="18" width="14.7142857142857" style="82" customWidth="1"/>
    <col min="19" max="58" width="9.14285714285714" style="82"/>
  </cols>
  <sheetData>
    <row r="1" spans="1:10" ht="12.75">
      <c r="A1" s="749" t="s">
        <v>201</v>
      </c>
      <c r="B1" s="750"/>
      <c r="C1" s="750"/>
      <c r="D1" s="750"/>
      <c r="E1" s="750"/>
      <c r="F1" s="750"/>
      <c r="G1" s="751"/>
      <c r="H1" s="751"/>
      <c r="I1" s="751"/>
      <c r="J1" s="751"/>
    </row>
    <row r="2" spans="1:10" ht="13.5" thickBot="1">
      <c r="A2" s="733" t="s">
        <v>3419</v>
      </c>
      <c r="B2" s="734"/>
      <c r="C2" s="734"/>
      <c r="D2" s="734"/>
      <c r="E2" s="734"/>
      <c r="F2" s="734"/>
      <c r="G2" s="735"/>
      <c r="H2" s="735"/>
      <c r="I2" s="735"/>
      <c r="J2" s="735"/>
    </row>
    <row r="3" spans="1:18" ht="12" customHeight="1">
      <c r="A3" s="760"/>
      <c r="B3" s="761"/>
      <c r="C3" s="761"/>
      <c r="D3" s="762"/>
      <c r="E3" s="763" t="s">
        <v>153</v>
      </c>
      <c r="F3" s="763"/>
      <c r="G3" s="763"/>
      <c r="H3" s="763" t="s">
        <v>161</v>
      </c>
      <c r="I3" s="763"/>
      <c r="J3" s="764"/>
      <c r="L3" s="463" t="s">
        <v>3639</v>
      </c>
      <c r="M3" s="464" t="s">
        <v>3640</v>
      </c>
      <c r="N3" s="465" t="s">
        <v>3641</v>
      </c>
      <c r="O3" s="466" t="s">
        <v>3642</v>
      </c>
      <c r="P3" s="466" t="s">
        <v>3643</v>
      </c>
      <c r="Q3" s="466" t="s">
        <v>3644</v>
      </c>
      <c r="R3" s="467" t="s">
        <v>3645</v>
      </c>
    </row>
    <row r="4" spans="1:18" ht="15.95" customHeight="1">
      <c r="A4" s="21">
        <v>31</v>
      </c>
      <c r="B4" s="705" t="s">
        <v>199</v>
      </c>
      <c r="C4" s="712"/>
      <c r="D4" s="713"/>
      <c r="E4" s="736">
        <f>+M4</f>
        <v>0</v>
      </c>
      <c r="F4" s="737"/>
      <c r="G4" s="696"/>
      <c r="H4" s="727"/>
      <c r="I4" s="728"/>
      <c r="J4" s="729"/>
      <c r="L4" s="468" t="s">
        <v>3646</v>
      </c>
      <c r="M4" s="469">
        <f>+ROUND(SUM(N4:R4)+0.49,0)</f>
        <v>0</v>
      </c>
      <c r="N4" s="470">
        <v>0</v>
      </c>
      <c r="O4" s="471">
        <v>0</v>
      </c>
      <c r="P4" s="471">
        <v>0</v>
      </c>
      <c r="Q4" s="471">
        <v>0</v>
      </c>
      <c r="R4" s="472">
        <v>0</v>
      </c>
    </row>
    <row r="5" spans="1:18" ht="15.95" customHeight="1">
      <c r="A5" s="21">
        <v>32</v>
      </c>
      <c r="B5" s="705" t="s">
        <v>68</v>
      </c>
      <c r="C5" s="712"/>
      <c r="D5" s="713"/>
      <c r="E5" s="736">
        <f>+M5</f>
        <v>0</v>
      </c>
      <c r="F5" s="737"/>
      <c r="G5" s="696"/>
      <c r="H5" s="727"/>
      <c r="I5" s="728"/>
      <c r="J5" s="729"/>
      <c r="L5" s="468" t="s">
        <v>68</v>
      </c>
      <c r="M5" s="469">
        <f>+ROUND(SUM(N5:R5)+0.49,0)</f>
        <v>0</v>
      </c>
      <c r="N5" s="470">
        <v>0</v>
      </c>
      <c r="O5" s="471">
        <v>0</v>
      </c>
      <c r="P5" s="471">
        <v>0</v>
      </c>
      <c r="Q5" s="471">
        <v>0</v>
      </c>
      <c r="R5" s="472">
        <v>0</v>
      </c>
    </row>
    <row r="6" spans="1:18" ht="15.95" customHeight="1">
      <c r="A6" s="21">
        <v>33</v>
      </c>
      <c r="B6" s="705" t="s">
        <v>69</v>
      </c>
      <c r="C6" s="706"/>
      <c r="D6" s="707"/>
      <c r="E6" s="736">
        <v>0</v>
      </c>
      <c r="F6" s="737"/>
      <c r="G6" s="696"/>
      <c r="H6" s="727"/>
      <c r="I6" s="728"/>
      <c r="J6" s="729"/>
      <c r="L6" s="468" t="s">
        <v>3647</v>
      </c>
      <c r="M6" s="469">
        <f>+M4+M5</f>
        <v>0</v>
      </c>
      <c r="N6" s="473">
        <f>+N4+N5</f>
        <v>0</v>
      </c>
      <c r="O6" s="474">
        <f t="shared" si="0" ref="O6:Q6">+O4+O5</f>
        <v>0</v>
      </c>
      <c r="P6" s="474">
        <f t="shared" si="0"/>
        <v>0</v>
      </c>
      <c r="Q6" s="474">
        <f t="shared" si="0"/>
        <v>0</v>
      </c>
      <c r="R6" s="475">
        <f>+R4+R5</f>
        <v>0</v>
      </c>
    </row>
    <row r="7" spans="1:18" ht="15.95" customHeight="1">
      <c r="A7" s="21">
        <v>34</v>
      </c>
      <c r="B7" s="705" t="s">
        <v>3420</v>
      </c>
      <c r="C7" s="712"/>
      <c r="D7" s="713"/>
      <c r="E7" s="752">
        <f>+E4+E5-E6</f>
        <v>0</v>
      </c>
      <c r="F7" s="753"/>
      <c r="G7" s="754"/>
      <c r="H7" s="727"/>
      <c r="I7" s="728"/>
      <c r="J7" s="729"/>
      <c r="L7" s="468" t="s">
        <v>3648</v>
      </c>
      <c r="M7" s="469">
        <f>+ROUND(SUM(N7:R7)+0.49,0)</f>
        <v>0</v>
      </c>
      <c r="N7" s="470">
        <v>0</v>
      </c>
      <c r="O7" s="471">
        <v>0</v>
      </c>
      <c r="P7" s="471">
        <v>0</v>
      </c>
      <c r="Q7" s="471">
        <v>0</v>
      </c>
      <c r="R7" s="472">
        <v>0</v>
      </c>
    </row>
    <row r="8" spans="1:18" ht="24" customHeight="1" thickBot="1">
      <c r="A8" s="22">
        <v>35</v>
      </c>
      <c r="B8" s="765" t="s">
        <v>70</v>
      </c>
      <c r="C8" s="766"/>
      <c r="D8" s="767"/>
      <c r="E8" s="755">
        <v>0</v>
      </c>
      <c r="F8" s="756"/>
      <c r="G8" s="704"/>
      <c r="H8" s="724"/>
      <c r="I8" s="725"/>
      <c r="J8" s="726"/>
      <c r="L8" s="468" t="s">
        <v>3649</v>
      </c>
      <c r="M8" s="469">
        <f>+ROUND(SUM(N8:R8)+0.49,0)</f>
        <v>0</v>
      </c>
      <c r="N8" s="470">
        <v>0</v>
      </c>
      <c r="O8" s="471">
        <v>0</v>
      </c>
      <c r="P8" s="471">
        <v>0</v>
      </c>
      <c r="Q8" s="471">
        <v>0</v>
      </c>
      <c r="R8" s="472">
        <v>0</v>
      </c>
    </row>
    <row r="9" spans="1:18" ht="12.75" customHeight="1" thickBot="1">
      <c r="A9" s="733" t="s">
        <v>58</v>
      </c>
      <c r="B9" s="734"/>
      <c r="C9" s="734"/>
      <c r="D9" s="734"/>
      <c r="E9" s="734"/>
      <c r="F9" s="734"/>
      <c r="G9" s="735"/>
      <c r="H9" s="735"/>
      <c r="I9" s="735"/>
      <c r="J9" s="735"/>
      <c r="L9" s="476" t="s">
        <v>3650</v>
      </c>
      <c r="M9" s="477">
        <f>+ROUND(SUM(N9:R9)+0.49,0)</f>
        <v>0</v>
      </c>
      <c r="N9" s="478">
        <v>0</v>
      </c>
      <c r="O9" s="479">
        <v>0</v>
      </c>
      <c r="P9" s="479">
        <v>0</v>
      </c>
      <c r="Q9" s="479">
        <v>0</v>
      </c>
      <c r="R9" s="480">
        <v>0</v>
      </c>
    </row>
    <row r="10" spans="1:10" ht="15.95" customHeight="1">
      <c r="A10" s="126">
        <v>36</v>
      </c>
      <c r="B10" s="746" t="s">
        <v>59</v>
      </c>
      <c r="C10" s="747"/>
      <c r="D10" s="748"/>
      <c r="E10" s="757">
        <f>+E7</f>
        <v>0</v>
      </c>
      <c r="F10" s="758"/>
      <c r="G10" s="759"/>
      <c r="H10" s="730"/>
      <c r="I10" s="731"/>
      <c r="J10" s="732"/>
    </row>
    <row r="11" spans="1:10" ht="36" customHeight="1">
      <c r="A11" s="21" t="s">
        <v>166</v>
      </c>
      <c r="B11" s="705" t="s">
        <v>3421</v>
      </c>
      <c r="C11" s="712"/>
      <c r="D11" s="713"/>
      <c r="E11" s="736">
        <f>+E10</f>
        <v>0</v>
      </c>
      <c r="F11" s="737"/>
      <c r="G11" s="696"/>
      <c r="H11" s="173"/>
      <c r="I11" s="148"/>
      <c r="J11" s="174"/>
    </row>
    <row r="12" spans="1:10" ht="24" customHeight="1">
      <c r="A12" s="21">
        <v>37</v>
      </c>
      <c r="B12" s="705" t="s">
        <v>3581</v>
      </c>
      <c r="C12" s="712"/>
      <c r="D12" s="713"/>
      <c r="E12" s="752">
        <f>+'1Př1'!F23</f>
        <v>0</v>
      </c>
      <c r="F12" s="753"/>
      <c r="G12" s="754"/>
      <c r="H12" s="727"/>
      <c r="I12" s="728"/>
      <c r="J12" s="729"/>
    </row>
    <row r="13" spans="1:10" ht="15.95" customHeight="1">
      <c r="A13" s="21">
        <v>38</v>
      </c>
      <c r="B13" s="705" t="s">
        <v>221</v>
      </c>
      <c r="C13" s="706"/>
      <c r="D13" s="707"/>
      <c r="E13" s="736">
        <f>+ZAV!C32</f>
        <v>0</v>
      </c>
      <c r="F13" s="737"/>
      <c r="G13" s="696"/>
      <c r="H13" s="727"/>
      <c r="I13" s="728"/>
      <c r="J13" s="729"/>
    </row>
    <row r="14" spans="1:10" ht="24" customHeight="1">
      <c r="A14" s="21">
        <v>39</v>
      </c>
      <c r="B14" s="705" t="s">
        <v>3422</v>
      </c>
      <c r="C14" s="712"/>
      <c r="D14" s="713"/>
      <c r="E14" s="752">
        <f>+'2Př'!G16</f>
        <v>0</v>
      </c>
      <c r="F14" s="753"/>
      <c r="G14" s="754"/>
      <c r="H14" s="727"/>
      <c r="I14" s="728"/>
      <c r="J14" s="729"/>
    </row>
    <row r="15" spans="1:10" ht="24" customHeight="1">
      <c r="A15" s="21">
        <v>40</v>
      </c>
      <c r="B15" s="705" t="s">
        <v>202</v>
      </c>
      <c r="C15" s="706"/>
      <c r="D15" s="707"/>
      <c r="E15" s="752">
        <f>+'2Př'!G35</f>
        <v>0</v>
      </c>
      <c r="F15" s="753"/>
      <c r="G15" s="754"/>
      <c r="H15" s="727"/>
      <c r="I15" s="728"/>
      <c r="J15" s="729"/>
    </row>
    <row r="16" spans="1:10" ht="15.95" customHeight="1">
      <c r="A16" s="21">
        <v>41</v>
      </c>
      <c r="B16" s="705" t="s">
        <v>127</v>
      </c>
      <c r="C16" s="712"/>
      <c r="D16" s="713"/>
      <c r="E16" s="752">
        <f>SUM(E12:E15)</f>
        <v>0</v>
      </c>
      <c r="F16" s="753"/>
      <c r="G16" s="754"/>
      <c r="H16" s="727"/>
      <c r="I16" s="728"/>
      <c r="J16" s="729"/>
    </row>
    <row r="17" spans="1:10" ht="36" customHeight="1">
      <c r="A17" s="21" t="s">
        <v>167</v>
      </c>
      <c r="B17" s="705" t="s">
        <v>3423</v>
      </c>
      <c r="C17" s="712"/>
      <c r="D17" s="713"/>
      <c r="E17" s="736">
        <f>+E16</f>
        <v>0</v>
      </c>
      <c r="F17" s="737"/>
      <c r="G17" s="696"/>
      <c r="H17" s="169"/>
      <c r="I17" s="170"/>
      <c r="J17" s="171"/>
    </row>
    <row r="18" spans="1:12" ht="15.95" customHeight="1">
      <c r="A18" s="21">
        <v>42</v>
      </c>
      <c r="B18" s="708" t="s">
        <v>35</v>
      </c>
      <c r="C18" s="551"/>
      <c r="D18" s="709"/>
      <c r="E18" s="742">
        <f>+IF(AND(E16&gt;0,E17&gt;0),E17+E11,E11)</f>
        <v>0</v>
      </c>
      <c r="F18" s="743"/>
      <c r="G18" s="744"/>
      <c r="H18" s="727"/>
      <c r="I18" s="728"/>
      <c r="J18" s="729"/>
      <c r="L18" s="490"/>
    </row>
    <row r="19" spans="1:10" ht="36" customHeight="1">
      <c r="A19" s="172">
        <v>43</v>
      </c>
      <c r="B19" s="768" t="s">
        <v>3424</v>
      </c>
      <c r="C19" s="769"/>
      <c r="D19" s="770"/>
      <c r="E19" s="736">
        <f>+E4</f>
        <v>0</v>
      </c>
      <c r="F19" s="737"/>
      <c r="G19" s="696"/>
      <c r="H19" s="727"/>
      <c r="I19" s="728"/>
      <c r="J19" s="729"/>
    </row>
    <row r="20" spans="1:11" ht="24" customHeight="1">
      <c r="A20" s="21">
        <v>44</v>
      </c>
      <c r="B20" s="705" t="s">
        <v>3675</v>
      </c>
      <c r="C20" s="706"/>
      <c r="D20" s="707"/>
      <c r="E20" s="736">
        <f>+'6Př'!E20</f>
        <v>0</v>
      </c>
      <c r="F20" s="737"/>
      <c r="G20" s="696"/>
      <c r="H20" s="727"/>
      <c r="I20" s="728"/>
      <c r="J20" s="729"/>
      <c r="K20" s="489" t="str">
        <f>+IF(EXACT(E21,"LIMIT"),"Vaše hodnoty překračují limity této bezplatné šablony - viz list UVOD"," ")</f>
        <v xml:space="preserve"> </v>
      </c>
    </row>
    <row r="21" spans="1:11" ht="15.95" customHeight="1" thickBot="1">
      <c r="A21" s="22">
        <v>45</v>
      </c>
      <c r="B21" s="765" t="s">
        <v>3425</v>
      </c>
      <c r="C21" s="766"/>
      <c r="D21" s="767"/>
      <c r="E21" s="739">
        <f>IF(OR(E18&gt;300000,+E7+'1Př1'!F11+'1Př1'!A28+'2Př'!G10+'2Př'!D28&gt;800000),T("LIMIT"),+E18-E20)</f>
        <v>0</v>
      </c>
      <c r="F21" s="740"/>
      <c r="G21" s="741"/>
      <c r="H21" s="724"/>
      <c r="I21" s="725"/>
      <c r="J21" s="726"/>
      <c r="K21" s="489" t="str">
        <f>+IF(EXACT(E21,"LIMIT"),"Neomezenou verzi této šablony zakoupíte zde:"," ")</f>
        <v xml:space="preserve"> </v>
      </c>
    </row>
    <row r="22" spans="1:15" ht="15" customHeight="1" thickBot="1">
      <c r="A22" s="745" t="s">
        <v>56</v>
      </c>
      <c r="B22" s="600"/>
      <c r="C22" s="600"/>
      <c r="D22" s="600"/>
      <c r="E22" s="600"/>
      <c r="F22" s="600"/>
      <c r="G22" s="600"/>
      <c r="H22" s="600"/>
      <c r="I22" s="600"/>
      <c r="J22" s="600"/>
      <c r="K22" s="663" t="str">
        <f>+IF(EXACT(E21,"LIMIT"),"http://business.center.cz/business/sablony/s3-priznani-k-dani-z-prijmu-fyzickych-osob.aspx"," ")</f>
        <v xml:space="preserve"> </v>
      </c>
      <c r="L22" s="510"/>
      <c r="M22" s="510"/>
      <c r="N22" s="510"/>
      <c r="O22" s="510"/>
    </row>
    <row r="23" spans="1:12" ht="22.5" customHeight="1">
      <c r="A23" s="699" t="s">
        <v>101</v>
      </c>
      <c r="B23" s="700"/>
      <c r="C23" s="700"/>
      <c r="D23" s="701"/>
      <c r="E23" s="127" t="s">
        <v>219</v>
      </c>
      <c r="F23" s="722"/>
      <c r="G23" s="672"/>
      <c r="H23" s="127" t="s">
        <v>219</v>
      </c>
      <c r="I23" s="722"/>
      <c r="J23" s="723"/>
      <c r="L23" s="482"/>
    </row>
    <row r="24" spans="1:12" ht="15.95" customHeight="1">
      <c r="A24" s="48">
        <v>46</v>
      </c>
      <c r="B24" s="697" t="s">
        <v>71</v>
      </c>
      <c r="C24" s="697"/>
      <c r="D24" s="697"/>
      <c r="E24" s="153"/>
      <c r="F24" s="693">
        <v>0</v>
      </c>
      <c r="G24" s="696"/>
      <c r="H24" s="138"/>
      <c r="I24" s="664"/>
      <c r="J24" s="738"/>
      <c r="L24" s="483" t="str">
        <f>+IF(OR(AND(AND(0&lt;F24,F24&lt;E18*0.02),AND(0&lt;F24,F24&lt;1000)),F24&gt;E18*0.3),"CHYBA"," ")</f>
        <v xml:space="preserve"> </v>
      </c>
    </row>
    <row r="25" spans="1:12" ht="15.95" customHeight="1">
      <c r="A25" s="48">
        <v>47</v>
      </c>
      <c r="B25" s="697" t="s">
        <v>251</v>
      </c>
      <c r="C25" s="697"/>
      <c r="D25" s="702"/>
      <c r="E25" s="100"/>
      <c r="F25" s="693">
        <v>0</v>
      </c>
      <c r="G25" s="696"/>
      <c r="H25" s="138"/>
      <c r="I25" s="664"/>
      <c r="J25" s="695"/>
      <c r="L25" s="482" t="str">
        <f>+IF(F25&gt;300000,"CHYBA"," ")</f>
        <v xml:space="preserve"> </v>
      </c>
    </row>
    <row r="26" spans="1:12" ht="24" customHeight="1">
      <c r="A26" s="48">
        <v>48</v>
      </c>
      <c r="B26" s="679" t="s">
        <v>3426</v>
      </c>
      <c r="C26" s="679"/>
      <c r="D26" s="680"/>
      <c r="E26" s="153"/>
      <c r="F26" s="693">
        <v>0</v>
      </c>
      <c r="G26" s="696"/>
      <c r="H26" s="138"/>
      <c r="I26" s="664"/>
      <c r="J26" s="695"/>
      <c r="L26" s="482" t="str">
        <f>+IF(F26&gt;24000,"CHYBA"," ")</f>
        <v xml:space="preserve"> </v>
      </c>
    </row>
    <row r="27" spans="1:12" ht="15.95" customHeight="1">
      <c r="A27" s="48">
        <v>49</v>
      </c>
      <c r="B27" s="697" t="s">
        <v>3561</v>
      </c>
      <c r="C27" s="697"/>
      <c r="D27" s="697"/>
      <c r="E27" s="153"/>
      <c r="F27" s="693">
        <v>0</v>
      </c>
      <c r="G27" s="696"/>
      <c r="H27" s="138"/>
      <c r="I27" s="664"/>
      <c r="J27" s="695"/>
      <c r="L27" s="482" t="str">
        <f>+IF(F27&gt;24000,"CHYBA"," ")</f>
        <v xml:space="preserve"> </v>
      </c>
    </row>
    <row r="28" spans="1:12" ht="15.95" customHeight="1">
      <c r="A28" s="48">
        <v>50</v>
      </c>
      <c r="B28" s="697" t="s">
        <v>55</v>
      </c>
      <c r="C28" s="697"/>
      <c r="D28" s="697"/>
      <c r="E28" s="153"/>
      <c r="F28" s="693">
        <v>0</v>
      </c>
      <c r="G28" s="696"/>
      <c r="H28" s="138"/>
      <c r="I28" s="664"/>
      <c r="J28" s="695"/>
      <c r="L28" s="482" t="str">
        <f>+IF(OR(F28&gt;3000,F28&gt;0.015*E4),"CHYBA"," ")</f>
        <v xml:space="preserve"> </v>
      </c>
    </row>
    <row r="29" spans="1:12" ht="24" customHeight="1">
      <c r="A29" s="48">
        <v>51</v>
      </c>
      <c r="B29" s="679" t="s">
        <v>3562</v>
      </c>
      <c r="C29" s="679"/>
      <c r="D29" s="679"/>
      <c r="E29" s="153"/>
      <c r="F29" s="693">
        <v>0</v>
      </c>
      <c r="G29" s="696"/>
      <c r="H29" s="138"/>
      <c r="I29" s="664"/>
      <c r="J29" s="695"/>
      <c r="L29" s="482" t="str">
        <f>+IF(F29&gt;10000,"CHYBA"," ")</f>
        <v xml:space="preserve"> </v>
      </c>
    </row>
    <row r="30" spans="1:12" ht="15.95" customHeight="1">
      <c r="A30" s="48">
        <v>52</v>
      </c>
      <c r="B30" s="697" t="s">
        <v>3563</v>
      </c>
      <c r="C30" s="697"/>
      <c r="D30" s="697"/>
      <c r="E30" s="153"/>
      <c r="F30" s="693">
        <v>0</v>
      </c>
      <c r="G30" s="696"/>
      <c r="H30" s="138"/>
      <c r="I30" s="664"/>
      <c r="J30" s="695"/>
      <c r="L30" s="482"/>
    </row>
    <row r="31" spans="1:12" ht="15.95" customHeight="1">
      <c r="A31" s="48" t="s">
        <v>72</v>
      </c>
      <c r="B31" s="697" t="s">
        <v>3564</v>
      </c>
      <c r="C31" s="697"/>
      <c r="D31" s="697"/>
      <c r="E31" s="153"/>
      <c r="F31" s="693">
        <v>0</v>
      </c>
      <c r="G31" s="696"/>
      <c r="H31" s="138"/>
      <c r="I31" s="664"/>
      <c r="J31" s="695"/>
      <c r="L31" s="482"/>
    </row>
    <row r="32" spans="1:12" ht="15.95" customHeight="1" thickBot="1">
      <c r="A32" s="49">
        <v>53</v>
      </c>
      <c r="B32" s="74" t="s">
        <v>60</v>
      </c>
      <c r="C32" s="771"/>
      <c r="D32" s="772"/>
      <c r="E32" s="100"/>
      <c r="F32" s="703">
        <v>0</v>
      </c>
      <c r="G32" s="704"/>
      <c r="H32" s="138"/>
      <c r="I32" s="664"/>
      <c r="J32" s="695"/>
      <c r="L32" s="482"/>
    </row>
    <row r="33" spans="1:10" ht="6" customHeight="1" thickBot="1">
      <c r="A33" s="710"/>
      <c r="B33" s="711"/>
      <c r="C33" s="711"/>
      <c r="D33" s="711"/>
      <c r="E33" s="711"/>
      <c r="F33" s="711"/>
      <c r="G33" s="711"/>
      <c r="H33" s="711"/>
      <c r="I33" s="711"/>
      <c r="J33" s="711"/>
    </row>
    <row r="34" spans="1:10 59:61" ht="24" customHeight="1">
      <c r="A34" s="128">
        <v>54</v>
      </c>
      <c r="B34" s="669" t="s">
        <v>3427</v>
      </c>
      <c r="C34" s="669"/>
      <c r="D34" s="669"/>
      <c r="E34" s="670"/>
      <c r="F34" s="714">
        <f>+SUM('DAP2'!F24:G32)</f>
        <v>0</v>
      </c>
      <c r="G34" s="672"/>
      <c r="H34" s="673"/>
      <c r="I34" s="674"/>
      <c r="J34" s="675"/>
      <c r="BG34" s="82"/>
      <c r="BH34" s="82"/>
      <c r="BI34" s="82"/>
    </row>
    <row r="35" spans="1:10 59:61" ht="24" customHeight="1">
      <c r="A35" s="50">
        <v>55</v>
      </c>
      <c r="B35" s="679" t="s">
        <v>3428</v>
      </c>
      <c r="C35" s="712"/>
      <c r="D35" s="712"/>
      <c r="E35" s="713"/>
      <c r="F35" s="715">
        <f>MAX(+'DAP2'!E21-'DAP2'!F34,0)</f>
        <v>0</v>
      </c>
      <c r="G35" s="694"/>
      <c r="H35" s="664"/>
      <c r="I35" s="551"/>
      <c r="J35" s="665"/>
      <c r="BG35" s="82"/>
      <c r="BH35" s="82"/>
      <c r="BI35" s="82"/>
    </row>
    <row r="36" spans="1:10 59:61" ht="15" customHeight="1">
      <c r="A36" s="48">
        <v>56</v>
      </c>
      <c r="B36" s="697" t="s">
        <v>3536</v>
      </c>
      <c r="C36" s="697"/>
      <c r="D36" s="697"/>
      <c r="E36" s="702"/>
      <c r="F36" s="715">
        <f>+FLOOR(F35,100)</f>
        <v>0</v>
      </c>
      <c r="G36" s="716"/>
      <c r="H36" s="664"/>
      <c r="I36" s="551"/>
      <c r="J36" s="665"/>
      <c r="BG36" s="82"/>
      <c r="BH36" s="82"/>
      <c r="BI36" s="82"/>
    </row>
    <row r="37" spans="1:10 59:61" ht="15" customHeight="1" thickBot="1">
      <c r="A37" s="49">
        <v>57</v>
      </c>
      <c r="B37" s="717" t="s">
        <v>128</v>
      </c>
      <c r="C37" s="717"/>
      <c r="D37" s="717"/>
      <c r="E37" s="718"/>
      <c r="F37" s="719">
        <f>+F36*0.15</f>
        <v>0</v>
      </c>
      <c r="G37" s="720"/>
      <c r="H37" s="681"/>
      <c r="I37" s="682"/>
      <c r="J37" s="683"/>
      <c r="BG37" s="82"/>
      <c r="BH37" s="82"/>
      <c r="BI37" s="82"/>
    </row>
    <row r="38" spans="1:10" ht="15" customHeight="1" thickBot="1">
      <c r="A38" s="684" t="s">
        <v>281</v>
      </c>
      <c r="B38" s="685"/>
      <c r="C38" s="685"/>
      <c r="D38" s="685"/>
      <c r="E38" s="686"/>
      <c r="F38" s="686"/>
      <c r="G38" s="668"/>
      <c r="H38" s="668"/>
      <c r="I38" s="668"/>
      <c r="J38" s="668"/>
    </row>
    <row r="39" spans="1:10 59:61" ht="24" customHeight="1">
      <c r="A39" s="128">
        <v>58</v>
      </c>
      <c r="B39" s="669" t="s">
        <v>3429</v>
      </c>
      <c r="C39" s="669"/>
      <c r="D39" s="669"/>
      <c r="E39" s="670"/>
      <c r="F39" s="689">
        <f>+IF(OR(+'3Př'!F17+'3Př'!F20&gt;0),'3Př'!F20,F37)</f>
        <v>0</v>
      </c>
      <c r="G39" s="690"/>
      <c r="H39" s="673"/>
      <c r="I39" s="674"/>
      <c r="J39" s="675"/>
      <c r="BG39" s="82"/>
      <c r="BH39" s="82"/>
      <c r="BI39" s="82"/>
    </row>
    <row r="40" spans="1:10 59:61" ht="15.95" customHeight="1">
      <c r="A40" s="48">
        <v>59</v>
      </c>
      <c r="B40" s="679" t="s">
        <v>97</v>
      </c>
      <c r="C40" s="679"/>
      <c r="D40" s="679"/>
      <c r="E40" s="680"/>
      <c r="F40" s="691">
        <f>+MAX(0,(E4+E12-1672080-FLOOR(E8/1.34,1))*0.07)</f>
        <v>0</v>
      </c>
      <c r="G40" s="692"/>
      <c r="H40" s="664"/>
      <c r="I40" s="551"/>
      <c r="J40" s="665"/>
      <c r="BG40" s="82"/>
      <c r="BH40" s="82"/>
      <c r="BI40" s="82"/>
    </row>
    <row r="41" spans="1:10 59:61" ht="15" customHeight="1">
      <c r="A41" s="48">
        <v>60</v>
      </c>
      <c r="B41" s="679" t="s">
        <v>3430</v>
      </c>
      <c r="C41" s="679"/>
      <c r="D41" s="679"/>
      <c r="E41" s="680"/>
      <c r="F41" s="693">
        <f>+IF(F37=F39,CEILING(F39+F40,1),CEILING(F39,1))</f>
        <v>0</v>
      </c>
      <c r="G41" s="694"/>
      <c r="H41" s="664"/>
      <c r="I41" s="551"/>
      <c r="J41" s="665"/>
      <c r="BG41" s="82"/>
      <c r="BH41" s="82"/>
      <c r="BI41" s="82"/>
    </row>
    <row r="42" spans="1:10 59:61" ht="24" customHeight="1" thickBot="1">
      <c r="A42" s="278">
        <v>61</v>
      </c>
      <c r="B42" s="687" t="s">
        <v>61</v>
      </c>
      <c r="C42" s="687"/>
      <c r="D42" s="687"/>
      <c r="E42" s="688"/>
      <c r="F42" s="719">
        <f>IF('DAP2'!E16&lt;0,-'DAP2'!E16,0)</f>
        <v>0</v>
      </c>
      <c r="G42" s="721"/>
      <c r="H42" s="676"/>
      <c r="I42" s="677"/>
      <c r="J42" s="678"/>
      <c r="BG42" s="82"/>
      <c r="BH42" s="82"/>
      <c r="BI42" s="82"/>
    </row>
    <row r="43" spans="1:10" ht="15" customHeight="1" thickBot="1">
      <c r="A43" s="666" t="s">
        <v>297</v>
      </c>
      <c r="B43" s="667"/>
      <c r="C43" s="667"/>
      <c r="D43" s="667"/>
      <c r="E43" s="667"/>
      <c r="F43" s="667"/>
      <c r="G43" s="668"/>
      <c r="H43" s="668"/>
      <c r="I43" s="668"/>
      <c r="J43" s="668"/>
    </row>
    <row r="44" spans="1:10" ht="15.95" customHeight="1">
      <c r="A44" s="128">
        <v>62</v>
      </c>
      <c r="B44" s="669" t="s">
        <v>203</v>
      </c>
      <c r="C44" s="669"/>
      <c r="D44" s="669"/>
      <c r="E44" s="670"/>
      <c r="F44" s="671">
        <v>0</v>
      </c>
      <c r="G44" s="672"/>
      <c r="H44" s="673"/>
      <c r="I44" s="674"/>
      <c r="J44" s="675"/>
    </row>
    <row r="45" spans="1:10" ht="15.95" customHeight="1" thickBot="1">
      <c r="A45" s="48">
        <v>63</v>
      </c>
      <c r="B45" s="679" t="s">
        <v>207</v>
      </c>
      <c r="C45" s="679"/>
      <c r="D45" s="679"/>
      <c r="E45" s="680"/>
      <c r="F45" s="693">
        <v>0</v>
      </c>
      <c r="G45" s="694"/>
      <c r="H45" s="664"/>
      <c r="I45" s="551"/>
      <c r="J45" s="665"/>
    </row>
    <row r="46" spans="1:10" ht="12" customHeight="1">
      <c r="A46" s="698">
        <v>2</v>
      </c>
      <c r="B46" s="698"/>
      <c r="C46" s="698"/>
      <c r="D46" s="698"/>
      <c r="E46" s="698"/>
      <c r="F46" s="698"/>
      <c r="G46" s="698"/>
      <c r="H46" s="698"/>
      <c r="I46" s="698"/>
      <c r="J46" s="698"/>
    </row>
    <row r="47" spans="1:10" ht="12.75">
      <c r="A47" s="82"/>
      <c r="B47" s="82"/>
      <c r="C47" s="82"/>
      <c r="D47" s="82"/>
      <c r="E47" s="82"/>
      <c r="F47" s="82"/>
      <c r="G47" s="82"/>
      <c r="H47" s="82"/>
      <c r="I47" s="82"/>
      <c r="J47" s="82"/>
    </row>
    <row r="48" spans="1:10" ht="12.75">
      <c r="A48" s="82"/>
      <c r="B48" s="82"/>
      <c r="C48" s="82"/>
      <c r="D48" s="82"/>
      <c r="E48" s="82"/>
      <c r="F48" s="82"/>
      <c r="G48" s="82"/>
      <c r="H48" s="82"/>
      <c r="I48" s="82"/>
      <c r="J48" s="82"/>
    </row>
    <row r="49" spans="1:10" ht="12.75">
      <c r="A49" s="82"/>
      <c r="B49" s="82"/>
      <c r="C49" s="82"/>
      <c r="D49" s="82"/>
      <c r="E49" s="82"/>
      <c r="F49" s="82"/>
      <c r="G49" s="82"/>
      <c r="H49" s="82"/>
      <c r="I49" s="82"/>
      <c r="J49" s="82"/>
    </row>
    <row r="50" spans="1:10" ht="12.75">
      <c r="A50" s="82"/>
      <c r="B50" s="82"/>
      <c r="C50" s="82"/>
      <c r="D50" s="82"/>
      <c r="E50" s="82"/>
      <c r="F50" s="82"/>
      <c r="G50" s="82"/>
      <c r="H50" s="82"/>
      <c r="I50" s="82"/>
      <c r="J50" s="82"/>
    </row>
    <row r="51" spans="1:10" ht="12.75">
      <c r="A51" s="82"/>
      <c r="B51" s="82"/>
      <c r="C51" s="82"/>
      <c r="D51" s="82"/>
      <c r="E51" s="82"/>
      <c r="F51" s="82"/>
      <c r="G51" s="82"/>
      <c r="H51" s="82"/>
      <c r="I51" s="82"/>
      <c r="J51" s="82"/>
    </row>
    <row r="52" spans="1:10" ht="12.75">
      <c r="A52" s="82"/>
      <c r="B52" s="82"/>
      <c r="C52" s="82"/>
      <c r="D52" s="82"/>
      <c r="E52" s="82"/>
      <c r="F52" s="82"/>
      <c r="G52" s="82"/>
      <c r="H52" s="82"/>
      <c r="I52" s="82"/>
      <c r="J52" s="82"/>
    </row>
    <row r="53" spans="1:10" ht="12.75">
      <c r="A53" s="82"/>
      <c r="B53" s="82"/>
      <c r="C53" s="82"/>
      <c r="D53" s="82"/>
      <c r="E53" s="82"/>
      <c r="F53" s="82"/>
      <c r="G53" s="82"/>
      <c r="H53" s="82"/>
      <c r="I53" s="82"/>
      <c r="J53" s="82"/>
    </row>
    <row r="54" spans="1:10" ht="12.75">
      <c r="A54" s="82"/>
      <c r="B54" s="82"/>
      <c r="C54" s="82"/>
      <c r="D54" s="82"/>
      <c r="E54" s="82"/>
      <c r="F54" s="82"/>
      <c r="G54" s="82"/>
      <c r="H54" s="82"/>
      <c r="I54" s="82"/>
      <c r="J54" s="82"/>
    </row>
    <row r="55" spans="1:10" ht="12.75">
      <c r="A55" s="82"/>
      <c r="B55" s="82"/>
      <c r="C55" s="82"/>
      <c r="D55" s="82"/>
      <c r="E55" s="82"/>
      <c r="F55" s="82"/>
      <c r="G55" s="82"/>
      <c r="H55" s="82"/>
      <c r="I55" s="82"/>
      <c r="J55" s="82"/>
    </row>
    <row r="56" spans="1:10" ht="12.75">
      <c r="A56" s="82"/>
      <c r="B56" s="82"/>
      <c r="C56" s="82"/>
      <c r="D56" s="82"/>
      <c r="E56" s="82"/>
      <c r="F56" s="82"/>
      <c r="G56" s="82"/>
      <c r="H56" s="82"/>
      <c r="I56" s="82"/>
      <c r="J56" s="82"/>
    </row>
    <row r="57" spans="1:10" ht="12.75">
      <c r="A57" s="82"/>
      <c r="B57" s="82"/>
      <c r="C57" s="82"/>
      <c r="D57" s="82"/>
      <c r="E57" s="82"/>
      <c r="F57" s="82"/>
      <c r="G57" s="82"/>
      <c r="H57" s="82"/>
      <c r="I57" s="82"/>
      <c r="J57" s="82"/>
    </row>
    <row r="58" spans="1:10" ht="12.75">
      <c r="A58" s="82"/>
      <c r="B58" s="82"/>
      <c r="C58" s="82"/>
      <c r="D58" s="82"/>
      <c r="E58" s="82"/>
      <c r="F58" s="82"/>
      <c r="G58" s="82"/>
      <c r="H58" s="82"/>
      <c r="I58" s="82"/>
      <c r="J58" s="82"/>
    </row>
    <row r="59" spans="1:10" ht="12.75">
      <c r="A59" s="82"/>
      <c r="B59" s="82"/>
      <c r="C59" s="82"/>
      <c r="D59" s="82"/>
      <c r="E59" s="82"/>
      <c r="F59" s="82"/>
      <c r="G59" s="82"/>
      <c r="H59" s="82"/>
      <c r="I59" s="82"/>
      <c r="J59" s="82"/>
    </row>
    <row r="60" spans="1:10" ht="12.75">
      <c r="A60" s="82"/>
      <c r="B60" s="82"/>
      <c r="C60" s="82"/>
      <c r="D60" s="82"/>
      <c r="E60" s="82"/>
      <c r="F60" s="82"/>
      <c r="G60" s="82"/>
      <c r="H60" s="82"/>
      <c r="I60" s="82"/>
      <c r="J60" s="82"/>
    </row>
    <row r="61" spans="1:10" ht="12.75">
      <c r="A61" s="82"/>
      <c r="B61" s="82"/>
      <c r="C61" s="82"/>
      <c r="D61" s="82"/>
      <c r="E61" s="82"/>
      <c r="F61" s="82"/>
      <c r="G61" s="82"/>
      <c r="H61" s="82"/>
      <c r="I61" s="82"/>
      <c r="J61" s="82"/>
    </row>
    <row r="62" spans="1:10" ht="12.75">
      <c r="A62" s="82"/>
      <c r="B62" s="82"/>
      <c r="C62" s="82"/>
      <c r="D62" s="82"/>
      <c r="E62" s="82"/>
      <c r="F62" s="82"/>
      <c r="G62" s="82"/>
      <c r="H62" s="82"/>
      <c r="I62" s="82"/>
      <c r="J62" s="82"/>
    </row>
    <row r="63" spans="1:10" ht="12.75">
      <c r="A63" s="82"/>
      <c r="B63" s="82"/>
      <c r="C63" s="82"/>
      <c r="D63" s="82"/>
      <c r="E63" s="82"/>
      <c r="F63" s="82"/>
      <c r="G63" s="82"/>
      <c r="H63" s="82"/>
      <c r="I63" s="82"/>
      <c r="J63" s="82"/>
    </row>
    <row r="64" spans="1:10" ht="12.75">
      <c r="A64" s="82"/>
      <c r="B64" s="82"/>
      <c r="C64" s="82"/>
      <c r="D64" s="82"/>
      <c r="E64" s="82"/>
      <c r="F64" s="82"/>
      <c r="G64" s="82"/>
      <c r="H64" s="82"/>
      <c r="I64" s="82"/>
      <c r="J64" s="82"/>
    </row>
    <row r="65" spans="1:10" ht="12.75">
      <c r="A65" s="82"/>
      <c r="B65" s="82"/>
      <c r="C65" s="82"/>
      <c r="D65" s="82"/>
      <c r="E65" s="82"/>
      <c r="F65" s="82"/>
      <c r="G65" s="82"/>
      <c r="H65" s="82"/>
      <c r="I65" s="82"/>
      <c r="J65" s="82"/>
    </row>
    <row r="66" spans="1:10" ht="12.75">
      <c r="A66" s="82"/>
      <c r="B66" s="82"/>
      <c r="C66" s="82"/>
      <c r="D66" s="82"/>
      <c r="E66" s="82"/>
      <c r="F66" s="82"/>
      <c r="G66" s="82"/>
      <c r="H66" s="82"/>
      <c r="I66" s="82"/>
      <c r="J66" s="82"/>
    </row>
    <row r="67" spans="1:10" ht="12.75">
      <c r="A67" s="82"/>
      <c r="B67" s="82"/>
      <c r="C67" s="82"/>
      <c r="D67" s="82"/>
      <c r="E67" s="82"/>
      <c r="F67" s="82"/>
      <c r="G67" s="82"/>
      <c r="H67" s="82"/>
      <c r="I67" s="82"/>
      <c r="J67" s="82"/>
    </row>
    <row r="68" spans="1:10" ht="12.75">
      <c r="A68" s="82"/>
      <c r="B68" s="82"/>
      <c r="C68" s="82"/>
      <c r="D68" s="82"/>
      <c r="E68" s="82"/>
      <c r="F68" s="82"/>
      <c r="G68" s="82"/>
      <c r="H68" s="82"/>
      <c r="I68" s="82"/>
      <c r="J68" s="82"/>
    </row>
    <row r="69" spans="1:10" ht="12.75">
      <c r="A69" s="82"/>
      <c r="B69" s="82"/>
      <c r="C69" s="82"/>
      <c r="D69" s="82"/>
      <c r="E69" s="82"/>
      <c r="F69" s="82"/>
      <c r="G69" s="82"/>
      <c r="H69" s="82"/>
      <c r="I69" s="82"/>
      <c r="J69" s="82"/>
    </row>
    <row r="70" spans="1:10" ht="12.75">
      <c r="A70" s="82"/>
      <c r="B70" s="82"/>
      <c r="C70" s="82"/>
      <c r="D70" s="82"/>
      <c r="E70" s="82"/>
      <c r="F70" s="82"/>
      <c r="G70" s="82"/>
      <c r="H70" s="82"/>
      <c r="I70" s="82"/>
      <c r="J70" s="82"/>
    </row>
    <row r="71" spans="1:10" ht="12.75">
      <c r="A71" s="82"/>
      <c r="B71" s="82"/>
      <c r="C71" s="82"/>
      <c r="D71" s="82"/>
      <c r="E71" s="82"/>
      <c r="F71" s="82"/>
      <c r="G71" s="82"/>
      <c r="H71" s="82"/>
      <c r="I71" s="82"/>
      <c r="J71" s="82"/>
    </row>
    <row r="72" spans="1:10" ht="12.75">
      <c r="A72" s="82"/>
      <c r="B72" s="82"/>
      <c r="C72" s="82"/>
      <c r="D72" s="82"/>
      <c r="E72" s="82"/>
      <c r="F72" s="82"/>
      <c r="G72" s="82"/>
      <c r="H72" s="82"/>
      <c r="I72" s="82"/>
      <c r="J72" s="82"/>
    </row>
    <row r="73" spans="1:10" ht="12.75">
      <c r="A73" s="82"/>
      <c r="B73" s="82"/>
      <c r="C73" s="82"/>
      <c r="D73" s="82"/>
      <c r="E73" s="82"/>
      <c r="F73" s="82"/>
      <c r="G73" s="82"/>
      <c r="H73" s="82"/>
      <c r="I73" s="82"/>
      <c r="J73" s="82"/>
    </row>
    <row r="74" spans="1:10" ht="12.75">
      <c r="A74" s="82"/>
      <c r="B74" s="82"/>
      <c r="C74" s="82"/>
      <c r="D74" s="82"/>
      <c r="E74" s="82"/>
      <c r="F74" s="82"/>
      <c r="G74" s="82"/>
      <c r="H74" s="82"/>
      <c r="I74" s="82"/>
      <c r="J74" s="82"/>
    </row>
    <row r="75" spans="1:10" ht="12.75">
      <c r="A75" s="82"/>
      <c r="B75" s="82"/>
      <c r="C75" s="82"/>
      <c r="D75" s="82"/>
      <c r="E75" s="82"/>
      <c r="F75" s="82"/>
      <c r="G75" s="82"/>
      <c r="H75" s="82"/>
      <c r="I75" s="82"/>
      <c r="J75" s="82"/>
    </row>
    <row r="76" spans="1:10" ht="12.75">
      <c r="A76" s="82"/>
      <c r="B76" s="82"/>
      <c r="C76" s="82"/>
      <c r="D76" s="82"/>
      <c r="E76" s="82"/>
      <c r="F76" s="82"/>
      <c r="G76" s="82"/>
      <c r="H76" s="82"/>
      <c r="I76" s="82"/>
      <c r="J76" s="82"/>
    </row>
    <row r="77" spans="1:10" ht="12.75">
      <c r="A77" s="82"/>
      <c r="B77" s="82"/>
      <c r="C77" s="82"/>
      <c r="D77" s="82"/>
      <c r="E77" s="82"/>
      <c r="F77" s="82"/>
      <c r="G77" s="82"/>
      <c r="H77" s="82"/>
      <c r="I77" s="82"/>
      <c r="J77" s="82"/>
    </row>
    <row r="78" spans="1:10" ht="12.75">
      <c r="A78" s="82"/>
      <c r="B78" s="82"/>
      <c r="C78" s="82"/>
      <c r="D78" s="82"/>
      <c r="E78" s="82"/>
      <c r="F78" s="82"/>
      <c r="G78" s="82"/>
      <c r="H78" s="82"/>
      <c r="I78" s="82"/>
      <c r="J78" s="82"/>
    </row>
    <row r="79" spans="1:10" ht="12.75">
      <c r="A79" s="82"/>
      <c r="B79" s="82"/>
      <c r="C79" s="82"/>
      <c r="D79" s="82"/>
      <c r="E79" s="82"/>
      <c r="F79" s="82"/>
      <c r="G79" s="82"/>
      <c r="H79" s="82"/>
      <c r="I79" s="82"/>
      <c r="J79" s="82"/>
    </row>
    <row r="80" spans="1:10" ht="12.75">
      <c r="A80" s="82"/>
      <c r="B80" s="82"/>
      <c r="C80" s="82"/>
      <c r="D80" s="82"/>
      <c r="E80" s="82"/>
      <c r="F80" s="82"/>
      <c r="G80" s="82"/>
      <c r="H80" s="82"/>
      <c r="I80" s="82"/>
      <c r="J80" s="82"/>
    </row>
    <row r="81" spans="1:10" ht="12.75">
      <c r="A81" s="82"/>
      <c r="B81" s="82"/>
      <c r="C81" s="82"/>
      <c r="D81" s="82"/>
      <c r="E81" s="82"/>
      <c r="F81" s="82"/>
      <c r="G81" s="82"/>
      <c r="H81" s="82"/>
      <c r="I81" s="82"/>
      <c r="J81" s="82"/>
    </row>
    <row r="82" spans="1:10" ht="12.75">
      <c r="A82" s="82"/>
      <c r="B82" s="82"/>
      <c r="C82" s="82"/>
      <c r="D82" s="82"/>
      <c r="E82" s="82"/>
      <c r="F82" s="82"/>
      <c r="G82" s="82"/>
      <c r="H82" s="82"/>
      <c r="I82" s="82"/>
      <c r="J82" s="82"/>
    </row>
    <row r="83" spans="1:10" ht="12.75">
      <c r="A83" s="82"/>
      <c r="B83" s="82"/>
      <c r="C83" s="82"/>
      <c r="D83" s="82"/>
      <c r="E83" s="82"/>
      <c r="F83" s="82"/>
      <c r="G83" s="82"/>
      <c r="H83" s="82"/>
      <c r="I83" s="82"/>
      <c r="J83" s="82"/>
    </row>
    <row r="84" spans="1:10" ht="12.75">
      <c r="A84" s="82"/>
      <c r="B84" s="82"/>
      <c r="C84" s="82"/>
      <c r="D84" s="82"/>
      <c r="E84" s="82"/>
      <c r="F84" s="82"/>
      <c r="G84" s="82"/>
      <c r="H84" s="82"/>
      <c r="I84" s="82"/>
      <c r="J84" s="82"/>
    </row>
    <row r="85" spans="1:10" ht="12.75">
      <c r="A85" s="82"/>
      <c r="B85" s="82"/>
      <c r="C85" s="82"/>
      <c r="D85" s="82"/>
      <c r="E85" s="82"/>
      <c r="F85" s="82"/>
      <c r="G85" s="82"/>
      <c r="H85" s="82"/>
      <c r="I85" s="82"/>
      <c r="J85" s="82"/>
    </row>
    <row r="86" spans="1:10" ht="12.75">
      <c r="A86" s="82"/>
      <c r="B86" s="82"/>
      <c r="C86" s="82"/>
      <c r="D86" s="82"/>
      <c r="E86" s="82"/>
      <c r="F86" s="82"/>
      <c r="G86" s="82"/>
      <c r="H86" s="82"/>
      <c r="I86" s="82"/>
      <c r="J86" s="82"/>
    </row>
    <row r="87" spans="1:10" ht="12.75">
      <c r="A87" s="82"/>
      <c r="B87" s="82"/>
      <c r="C87" s="82"/>
      <c r="D87" s="82"/>
      <c r="E87" s="82"/>
      <c r="F87" s="82"/>
      <c r="G87" s="82"/>
      <c r="H87" s="82"/>
      <c r="I87" s="82"/>
      <c r="J87" s="82"/>
    </row>
    <row r="88" spans="1:10" ht="12.75">
      <c r="A88" s="82"/>
      <c r="B88" s="82"/>
      <c r="C88" s="82"/>
      <c r="D88" s="82"/>
      <c r="E88" s="82"/>
      <c r="F88" s="82"/>
      <c r="G88" s="82"/>
      <c r="H88" s="82"/>
      <c r="I88" s="82"/>
      <c r="J88" s="82"/>
    </row>
    <row r="89" spans="1:10" ht="12.75">
      <c r="A89" s="82"/>
      <c r="B89" s="82"/>
      <c r="C89" s="82"/>
      <c r="D89" s="82"/>
      <c r="E89" s="82"/>
      <c r="F89" s="82"/>
      <c r="G89" s="82"/>
      <c r="H89" s="82"/>
      <c r="I89" s="82"/>
      <c r="J89" s="82"/>
    </row>
    <row r="90" spans="1:10" ht="12.75">
      <c r="A90" s="82"/>
      <c r="B90" s="82"/>
      <c r="C90" s="82"/>
      <c r="D90" s="82"/>
      <c r="E90" s="82"/>
      <c r="F90" s="82"/>
      <c r="G90" s="82"/>
      <c r="H90" s="82"/>
      <c r="I90" s="82"/>
      <c r="J90" s="82"/>
    </row>
    <row r="91" spans="1:10" ht="12.75">
      <c r="A91" s="82"/>
      <c r="B91" s="82"/>
      <c r="C91" s="82"/>
      <c r="D91" s="82"/>
      <c r="E91" s="82"/>
      <c r="F91" s="82"/>
      <c r="G91" s="82"/>
      <c r="H91" s="82"/>
      <c r="I91" s="82"/>
      <c r="J91" s="82"/>
    </row>
    <row r="92" spans="1:10" ht="12.75">
      <c r="A92" s="82"/>
      <c r="B92" s="82"/>
      <c r="C92" s="82"/>
      <c r="D92" s="82"/>
      <c r="E92" s="82"/>
      <c r="F92" s="82"/>
      <c r="G92" s="82"/>
      <c r="H92" s="82"/>
      <c r="I92" s="82"/>
      <c r="J92" s="82"/>
    </row>
    <row r="93" spans="1:10" ht="12.75">
      <c r="A93" s="82"/>
      <c r="B93" s="82"/>
      <c r="C93" s="82"/>
      <c r="D93" s="82"/>
      <c r="E93" s="82"/>
      <c r="F93" s="82"/>
      <c r="G93" s="82"/>
      <c r="H93" s="82"/>
      <c r="I93" s="82"/>
      <c r="J93" s="82"/>
    </row>
    <row r="94" spans="1:10" ht="12.75">
      <c r="A94" s="82"/>
      <c r="B94" s="82"/>
      <c r="C94" s="82"/>
      <c r="D94" s="82"/>
      <c r="E94" s="82"/>
      <c r="F94" s="82"/>
      <c r="G94" s="82"/>
      <c r="H94" s="82"/>
      <c r="I94" s="82"/>
      <c r="J94" s="82"/>
    </row>
    <row r="95" spans="1:10" ht="12.75">
      <c r="A95" s="82"/>
      <c r="B95" s="82"/>
      <c r="C95" s="82"/>
      <c r="D95" s="82"/>
      <c r="E95" s="82"/>
      <c r="F95" s="82"/>
      <c r="G95" s="82"/>
      <c r="H95" s="82"/>
      <c r="I95" s="82"/>
      <c r="J95" s="82"/>
    </row>
    <row r="96" spans="1:10" ht="12.75">
      <c r="A96" s="82"/>
      <c r="B96" s="82"/>
      <c r="C96" s="82"/>
      <c r="D96" s="82"/>
      <c r="E96" s="82"/>
      <c r="F96" s="82"/>
      <c r="G96" s="82"/>
      <c r="H96" s="82"/>
      <c r="I96" s="82"/>
      <c r="J96" s="82"/>
    </row>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sheetData>
  <sheetProtection algorithmName="SHA-512" hashValue="S9LZHx2rM4NKVUIp21o7sMDFQ+wQY6heDTnGp4BhxY0peTJdyCdbVDtXna+EkmOy3yTKeWisYQMrPbHdvcreBg==" saltValue="y5LENusFU9v1MeaNZqu1qw==" spinCount="100000" sheet="1" objects="1" scenarios="1"/>
  <mergeCells count="121">
    <mergeCell ref="I28:J28"/>
    <mergeCell ref="I31:J31"/>
    <mergeCell ref="B26:D26"/>
    <mergeCell ref="B27:D27"/>
    <mergeCell ref="B28:D28"/>
    <mergeCell ref="C32:D32"/>
    <mergeCell ref="F30:G30"/>
    <mergeCell ref="B29:D29"/>
    <mergeCell ref="B30:D30"/>
    <mergeCell ref="F28:G28"/>
    <mergeCell ref="F29:G29"/>
    <mergeCell ref="B31:D31"/>
    <mergeCell ref="F31:G31"/>
    <mergeCell ref="A3:D3"/>
    <mergeCell ref="E3:G3"/>
    <mergeCell ref="H3:J3"/>
    <mergeCell ref="H13:J13"/>
    <mergeCell ref="H14:J14"/>
    <mergeCell ref="B11:D11"/>
    <mergeCell ref="B21:D21"/>
    <mergeCell ref="B19:D19"/>
    <mergeCell ref="E12:G12"/>
    <mergeCell ref="B8:D8"/>
    <mergeCell ref="E6:G6"/>
    <mergeCell ref="H6:J6"/>
    <mergeCell ref="A1:J1"/>
    <mergeCell ref="B15:D15"/>
    <mergeCell ref="B16:D16"/>
    <mergeCell ref="A2:J2"/>
    <mergeCell ref="E14:G14"/>
    <mergeCell ref="B14:D14"/>
    <mergeCell ref="B4:D4"/>
    <mergeCell ref="E4:G4"/>
    <mergeCell ref="H4:J4"/>
    <mergeCell ref="E15:G15"/>
    <mergeCell ref="H15:J15"/>
    <mergeCell ref="H16:J16"/>
    <mergeCell ref="B7:D7"/>
    <mergeCell ref="E7:G7"/>
    <mergeCell ref="H7:J7"/>
    <mergeCell ref="B5:D5"/>
    <mergeCell ref="E8:G8"/>
    <mergeCell ref="H8:J8"/>
    <mergeCell ref="E5:G5"/>
    <mergeCell ref="H5:J5"/>
    <mergeCell ref="B6:D6"/>
    <mergeCell ref="E13:G13"/>
    <mergeCell ref="E16:G16"/>
    <mergeCell ref="E10:G10"/>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H19:J19"/>
    <mergeCell ref="E19:G19"/>
    <mergeCell ref="A22:J22"/>
    <mergeCell ref="B10:D10"/>
    <mergeCell ref="B12:D12"/>
    <mergeCell ref="E20:G20"/>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K22:O22"/>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I25:J25"/>
    <mergeCell ref="F24:G24"/>
    <mergeCell ref="B24:D24"/>
    <mergeCell ref="I29:J29"/>
    <mergeCell ref="I30:J30"/>
    <mergeCell ref="I32:J32"/>
    <mergeCell ref="I26:J26"/>
    <mergeCell ref="I27:J27"/>
  </mergeCells>
  <hyperlinks>
    <hyperlink ref="K22"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1">
      <selection pane="topLeft" activeCell="E5" sqref="E5:G5"/>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2"/>
  </cols>
  <sheetData>
    <row r="1" spans="1:11 70:73" ht="15" customHeight="1" thickBot="1">
      <c r="A1" s="826" t="s">
        <v>3431</v>
      </c>
      <c r="B1" s="826"/>
      <c r="C1" s="558"/>
      <c r="D1" s="558"/>
      <c r="E1" s="558"/>
      <c r="F1" s="558"/>
      <c r="G1" s="558"/>
      <c r="H1" s="558"/>
      <c r="I1" s="558"/>
      <c r="J1" s="558"/>
      <c r="K1" s="558"/>
      <c r="BR1"/>
      <c r="BS1"/>
      <c r="BT1"/>
      <c r="BU1"/>
    </row>
    <row r="2" spans="1:11 70:73" ht="24" customHeight="1" thickBot="1">
      <c r="A2" s="829" t="s">
        <v>33</v>
      </c>
      <c r="B2" s="830"/>
      <c r="C2" s="831" t="s">
        <v>3412</v>
      </c>
      <c r="D2" s="832"/>
      <c r="E2" s="833"/>
      <c r="F2" s="844" t="s">
        <v>152</v>
      </c>
      <c r="G2" s="845"/>
      <c r="H2" s="834"/>
      <c r="I2" s="835"/>
      <c r="J2" s="835"/>
      <c r="K2" s="836"/>
      <c r="BR2"/>
      <c r="BS2"/>
      <c r="BT2"/>
      <c r="BU2"/>
    </row>
    <row r="3" spans="1:11 70:73" ht="8.1" customHeight="1" thickBot="1">
      <c r="A3" s="827"/>
      <c r="B3" s="827"/>
      <c r="C3" s="560"/>
      <c r="D3" s="560"/>
      <c r="E3" s="560"/>
      <c r="F3" s="560"/>
      <c r="G3" s="560"/>
      <c r="H3" s="560"/>
      <c r="I3" s="560"/>
      <c r="J3" s="560"/>
      <c r="K3" s="560"/>
      <c r="BR3"/>
      <c r="BS3"/>
      <c r="BT3"/>
      <c r="BU3"/>
    </row>
    <row r="4" spans="1:11 67:73" ht="24" customHeight="1">
      <c r="A4" s="699" t="s">
        <v>34</v>
      </c>
      <c r="B4" s="700"/>
      <c r="C4" s="701"/>
      <c r="D4" s="127" t="s">
        <v>219</v>
      </c>
      <c r="E4" s="722"/>
      <c r="F4" s="842"/>
      <c r="G4" s="672"/>
      <c r="H4" s="127" t="s">
        <v>219</v>
      </c>
      <c r="I4" s="722"/>
      <c r="J4" s="828"/>
      <c r="K4" s="723"/>
      <c r="BO4"/>
      <c r="BP4"/>
      <c r="BQ4"/>
      <c r="BR4"/>
      <c r="BS4"/>
      <c r="BT4"/>
      <c r="BU4"/>
    </row>
    <row r="5" spans="1:11 67:73" ht="18" customHeight="1">
      <c r="A5" s="48">
        <v>64</v>
      </c>
      <c r="B5" s="697" t="s">
        <v>75</v>
      </c>
      <c r="C5" s="702"/>
      <c r="D5" s="132"/>
      <c r="E5" s="693">
        <v>24840</v>
      </c>
      <c r="F5" s="843"/>
      <c r="G5" s="694"/>
      <c r="H5" s="137"/>
      <c r="I5" s="664"/>
      <c r="J5" s="823"/>
      <c r="K5" s="824"/>
      <c r="BO5"/>
      <c r="BP5"/>
      <c r="BQ5"/>
      <c r="BR5"/>
      <c r="BS5"/>
      <c r="BT5"/>
      <c r="BU5"/>
    </row>
    <row r="6" spans="1:12 67:73" ht="18" customHeight="1">
      <c r="A6" s="48" t="s">
        <v>298</v>
      </c>
      <c r="B6" s="697" t="s">
        <v>76</v>
      </c>
      <c r="C6" s="702"/>
      <c r="D6" s="100">
        <v>0</v>
      </c>
      <c r="E6" s="693">
        <f>+D6*2070</f>
        <v>0</v>
      </c>
      <c r="F6" s="813"/>
      <c r="G6" s="814"/>
      <c r="H6" s="137"/>
      <c r="I6" s="664"/>
      <c r="J6" s="823"/>
      <c r="K6" s="824"/>
      <c r="L6" s="150"/>
      <c r="BO6"/>
      <c r="BP6"/>
      <c r="BQ6"/>
      <c r="BR6"/>
      <c r="BS6"/>
      <c r="BT6"/>
      <c r="BU6"/>
    </row>
    <row r="7" spans="1:12 67:73" ht="24" customHeight="1">
      <c r="A7" s="48" t="s">
        <v>299</v>
      </c>
      <c r="B7" s="679" t="s">
        <v>77</v>
      </c>
      <c r="C7" s="680"/>
      <c r="D7" s="100">
        <v>0</v>
      </c>
      <c r="E7" s="693">
        <f>+D7*4140</f>
        <v>0</v>
      </c>
      <c r="F7" s="813"/>
      <c r="G7" s="814"/>
      <c r="H7" s="137"/>
      <c r="I7" s="664"/>
      <c r="J7" s="823"/>
      <c r="K7" s="824"/>
      <c r="L7" s="150"/>
      <c r="BO7"/>
      <c r="BP7"/>
      <c r="BQ7"/>
      <c r="BR7"/>
      <c r="BS7"/>
      <c r="BT7"/>
      <c r="BU7"/>
    </row>
    <row r="8" spans="1:11 67:73" ht="24" customHeight="1">
      <c r="A8" s="48">
        <v>66</v>
      </c>
      <c r="B8" s="679" t="s">
        <v>3432</v>
      </c>
      <c r="C8" s="680"/>
      <c r="D8" s="100">
        <v>0</v>
      </c>
      <c r="E8" s="715">
        <f>+D8*210</f>
        <v>0</v>
      </c>
      <c r="F8" s="811"/>
      <c r="G8" s="812"/>
      <c r="H8" s="137"/>
      <c r="I8" s="664"/>
      <c r="J8" s="823"/>
      <c r="K8" s="824"/>
      <c r="BO8"/>
      <c r="BP8"/>
      <c r="BQ8"/>
      <c r="BR8"/>
      <c r="BS8"/>
      <c r="BT8"/>
      <c r="BU8"/>
    </row>
    <row r="9" spans="1:11 67:73" ht="24" customHeight="1">
      <c r="A9" s="48">
        <v>67</v>
      </c>
      <c r="B9" s="679" t="s">
        <v>3433</v>
      </c>
      <c r="C9" s="680"/>
      <c r="D9" s="100">
        <v>0</v>
      </c>
      <c r="E9" s="715">
        <f>+D9*420</f>
        <v>0</v>
      </c>
      <c r="F9" s="811"/>
      <c r="G9" s="812"/>
      <c r="H9" s="137"/>
      <c r="I9" s="664"/>
      <c r="J9" s="823"/>
      <c r="K9" s="824"/>
      <c r="BO9"/>
      <c r="BP9"/>
      <c r="BQ9"/>
      <c r="BR9"/>
      <c r="BS9"/>
      <c r="BT9"/>
      <c r="BU9"/>
    </row>
    <row r="10" spans="1:11 67:73" ht="18" customHeight="1">
      <c r="A10" s="48">
        <v>68</v>
      </c>
      <c r="B10" s="679" t="s">
        <v>3676</v>
      </c>
      <c r="C10" s="680"/>
      <c r="D10" s="100">
        <v>0</v>
      </c>
      <c r="E10" s="715">
        <f>+D10*1345</f>
        <v>0</v>
      </c>
      <c r="F10" s="811"/>
      <c r="G10" s="812"/>
      <c r="H10" s="137"/>
      <c r="I10" s="664"/>
      <c r="J10" s="823"/>
      <c r="K10" s="824"/>
      <c r="BO10"/>
      <c r="BP10"/>
      <c r="BQ10"/>
      <c r="BR10"/>
      <c r="BS10"/>
      <c r="BT10"/>
      <c r="BU10"/>
    </row>
    <row r="11" spans="1:11 67:73" ht="18" customHeight="1">
      <c r="A11" s="48">
        <v>69</v>
      </c>
      <c r="B11" s="679" t="s">
        <v>78</v>
      </c>
      <c r="C11" s="680"/>
      <c r="D11" s="100">
        <v>0</v>
      </c>
      <c r="E11" s="715">
        <f>+D11*335</f>
        <v>0</v>
      </c>
      <c r="F11" s="811"/>
      <c r="G11" s="812"/>
      <c r="H11" s="137"/>
      <c r="I11" s="664"/>
      <c r="J11" s="823"/>
      <c r="K11" s="824"/>
      <c r="BO11"/>
      <c r="BP11"/>
      <c r="BQ11"/>
      <c r="BR11"/>
      <c r="BS11"/>
      <c r="BT11"/>
      <c r="BU11"/>
    </row>
    <row r="12" spans="1:11 67:73" ht="18" customHeight="1">
      <c r="A12" s="48" t="s">
        <v>73</v>
      </c>
      <c r="B12" s="679" t="s">
        <v>74</v>
      </c>
      <c r="C12" s="680"/>
      <c r="D12" s="132"/>
      <c r="E12" s="693">
        <v>0</v>
      </c>
      <c r="F12" s="813"/>
      <c r="G12" s="814"/>
      <c r="H12" s="137"/>
      <c r="I12" s="664"/>
      <c r="J12" s="823"/>
      <c r="K12" s="824"/>
      <c r="BO12"/>
      <c r="BP12"/>
      <c r="BQ12"/>
      <c r="BR12"/>
      <c r="BS12"/>
      <c r="BT12"/>
      <c r="BU12"/>
    </row>
    <row r="13" spans="1:11 67:73" ht="18" customHeight="1">
      <c r="A13" s="48" t="s">
        <v>3565</v>
      </c>
      <c r="B13" s="679" t="s">
        <v>3670</v>
      </c>
      <c r="C13" s="680"/>
      <c r="D13" s="132"/>
      <c r="E13" s="693">
        <v>0</v>
      </c>
      <c r="F13" s="813"/>
      <c r="G13" s="814"/>
      <c r="H13" s="137"/>
      <c r="I13" s="664"/>
      <c r="J13" s="823"/>
      <c r="K13" s="824"/>
      <c r="BO13"/>
      <c r="BP13"/>
      <c r="BQ13"/>
      <c r="BR13"/>
      <c r="BS13"/>
      <c r="BT13"/>
      <c r="BU13"/>
    </row>
    <row r="14" spans="1:11 70:73" ht="30" customHeight="1">
      <c r="A14" s="48">
        <v>70</v>
      </c>
      <c r="B14" s="679" t="s">
        <v>3612</v>
      </c>
      <c r="C14" s="680"/>
      <c r="D14" s="132"/>
      <c r="E14" s="715">
        <f>+SUM(E5:F13)+'DAP2'!F44+'DAP2'!F45</f>
        <v>24840</v>
      </c>
      <c r="F14" s="811"/>
      <c r="G14" s="812"/>
      <c r="H14" s="137"/>
      <c r="I14" s="664"/>
      <c r="J14" s="823"/>
      <c r="K14" s="824"/>
      <c r="BR14"/>
      <c r="BS14"/>
      <c r="BT14"/>
      <c r="BU14"/>
    </row>
    <row r="15" spans="1:11 70:73" ht="24" customHeight="1" thickBot="1">
      <c r="A15" s="49">
        <v>71</v>
      </c>
      <c r="B15" s="855" t="s">
        <v>3434</v>
      </c>
      <c r="C15" s="856"/>
      <c r="D15" s="133"/>
      <c r="E15" s="719">
        <f>+MAX('DAP2'!F41-'DAP3'!E14,0)</f>
        <v>0</v>
      </c>
      <c r="F15" s="815"/>
      <c r="G15" s="816"/>
      <c r="H15" s="139"/>
      <c r="I15" s="681"/>
      <c r="J15" s="846"/>
      <c r="K15" s="847"/>
      <c r="BR15"/>
      <c r="BS15"/>
      <c r="BT15"/>
      <c r="BU15"/>
    </row>
    <row r="16" spans="1:11" ht="15.95" customHeight="1" thickBot="1">
      <c r="A16" s="848" t="s">
        <v>3435</v>
      </c>
      <c r="B16" s="848"/>
      <c r="C16" s="849"/>
      <c r="D16" s="849"/>
      <c r="E16" s="849"/>
      <c r="F16" s="849"/>
      <c r="G16" s="849"/>
      <c r="H16" s="849"/>
      <c r="I16" s="849"/>
      <c r="J16" s="849"/>
      <c r="K16" s="849"/>
    </row>
    <row r="17" spans="1:11 69:73" ht="22.5" customHeight="1">
      <c r="A17" s="851"/>
      <c r="B17" s="780" t="s">
        <v>3438</v>
      </c>
      <c r="C17" s="781"/>
      <c r="D17" s="780" t="s">
        <v>152</v>
      </c>
      <c r="E17" s="818"/>
      <c r="F17" s="819" t="s">
        <v>3436</v>
      </c>
      <c r="G17" s="820"/>
      <c r="H17" s="819" t="s">
        <v>3437</v>
      </c>
      <c r="I17" s="820"/>
      <c r="J17" s="819" t="s">
        <v>3520</v>
      </c>
      <c r="K17" s="838"/>
      <c r="BQ17"/>
      <c r="BR17"/>
      <c r="BS17"/>
      <c r="BT17"/>
      <c r="BU17"/>
    </row>
    <row r="18" spans="1:11 69:73" ht="21.95" customHeight="1">
      <c r="A18" s="852"/>
      <c r="B18" s="782"/>
      <c r="C18" s="783"/>
      <c r="D18" s="782"/>
      <c r="E18" s="783"/>
      <c r="F18" s="381" t="s">
        <v>3518</v>
      </c>
      <c r="G18" s="381" t="s">
        <v>3519</v>
      </c>
      <c r="H18" s="381" t="s">
        <v>3518</v>
      </c>
      <c r="I18" s="381" t="s">
        <v>3519</v>
      </c>
      <c r="J18" s="381" t="s">
        <v>3518</v>
      </c>
      <c r="K18" s="382" t="s">
        <v>3519</v>
      </c>
      <c r="BQ18"/>
      <c r="BR18"/>
      <c r="BS18"/>
      <c r="BT18"/>
      <c r="BU18"/>
    </row>
    <row r="19" spans="1:11 69:73" ht="12" customHeight="1">
      <c r="A19" s="853"/>
      <c r="B19" s="805">
        <v>1</v>
      </c>
      <c r="C19" s="850"/>
      <c r="D19" s="805">
        <v>2</v>
      </c>
      <c r="E19" s="805"/>
      <c r="F19" s="821">
        <v>3</v>
      </c>
      <c r="G19" s="822"/>
      <c r="H19" s="821">
        <v>4</v>
      </c>
      <c r="I19" s="822"/>
      <c r="J19" s="821">
        <v>5</v>
      </c>
      <c r="K19" s="854"/>
      <c r="BQ19"/>
      <c r="BR19"/>
      <c r="BS19"/>
      <c r="BT19"/>
      <c r="BU19"/>
    </row>
    <row r="20" spans="1:11 69:73" ht="18" customHeight="1">
      <c r="A20" s="143">
        <v>1</v>
      </c>
      <c r="B20" s="803" t="s">
        <v>146</v>
      </c>
      <c r="C20" s="804"/>
      <c r="D20" s="806"/>
      <c r="E20" s="817"/>
      <c r="F20" s="459"/>
      <c r="G20" s="460"/>
      <c r="H20" s="459"/>
      <c r="I20" s="460"/>
      <c r="J20" s="459"/>
      <c r="K20" s="461"/>
      <c r="BQ20"/>
      <c r="BR20"/>
      <c r="BS20"/>
      <c r="BT20"/>
      <c r="BU20"/>
    </row>
    <row r="21" spans="1:11 69:73" ht="18" customHeight="1">
      <c r="A21" s="143">
        <v>2</v>
      </c>
      <c r="B21" s="803" t="s">
        <v>146</v>
      </c>
      <c r="C21" s="804"/>
      <c r="D21" s="806"/>
      <c r="E21" s="806"/>
      <c r="F21" s="459"/>
      <c r="G21" s="460"/>
      <c r="H21" s="459"/>
      <c r="I21" s="460"/>
      <c r="J21" s="459"/>
      <c r="K21" s="461"/>
      <c r="BQ21"/>
      <c r="BR21"/>
      <c r="BS21"/>
      <c r="BT21"/>
      <c r="BU21"/>
    </row>
    <row r="22" spans="1:11 69:73" ht="18" customHeight="1">
      <c r="A22" s="143">
        <v>3</v>
      </c>
      <c r="B22" s="803" t="s">
        <v>146</v>
      </c>
      <c r="C22" s="804"/>
      <c r="D22" s="806"/>
      <c r="E22" s="806"/>
      <c r="F22" s="459"/>
      <c r="G22" s="460"/>
      <c r="H22" s="459"/>
      <c r="I22" s="460"/>
      <c r="J22" s="459"/>
      <c r="K22" s="461"/>
      <c r="BQ22"/>
      <c r="BR22"/>
      <c r="BS22"/>
      <c r="BT22"/>
      <c r="BU22"/>
    </row>
    <row r="23" spans="1:11 69:73" ht="18" customHeight="1">
      <c r="A23" s="143">
        <v>4</v>
      </c>
      <c r="B23" s="803" t="s">
        <v>146</v>
      </c>
      <c r="C23" s="804"/>
      <c r="D23" s="806"/>
      <c r="E23" s="806"/>
      <c r="F23" s="459"/>
      <c r="G23" s="460"/>
      <c r="H23" s="459"/>
      <c r="I23" s="460"/>
      <c r="J23" s="459"/>
      <c r="K23" s="461"/>
      <c r="BQ23"/>
      <c r="BR23"/>
      <c r="BS23"/>
      <c r="BT23"/>
      <c r="BU23"/>
    </row>
    <row r="24" spans="1:11 73:73" ht="15.95" customHeight="1" thickBot="1">
      <c r="A24" s="144"/>
      <c r="B24" s="807" t="s">
        <v>62</v>
      </c>
      <c r="C24" s="808"/>
      <c r="D24" s="837"/>
      <c r="E24" s="837"/>
      <c r="F24" s="380">
        <f t="shared" si="0" ref="F24:K24">+SUM(F20:F23)</f>
        <v>0</v>
      </c>
      <c r="G24" s="380">
        <f t="shared" si="0"/>
        <v>0</v>
      </c>
      <c r="H24" s="380">
        <f t="shared" si="0"/>
        <v>0</v>
      </c>
      <c r="I24" s="380">
        <f t="shared" si="0"/>
        <v>0</v>
      </c>
      <c r="J24" s="380">
        <f t="shared" si="0"/>
        <v>0</v>
      </c>
      <c r="K24" s="462">
        <f t="shared" si="0"/>
        <v>0</v>
      </c>
      <c r="BU24"/>
    </row>
    <row r="25" spans="1:11" ht="6" customHeight="1" thickBot="1">
      <c r="A25" s="809"/>
      <c r="B25" s="809"/>
      <c r="C25" s="810"/>
      <c r="D25" s="810"/>
      <c r="E25" s="810"/>
      <c r="F25" s="810"/>
      <c r="G25" s="810"/>
      <c r="H25" s="810"/>
      <c r="I25" s="810"/>
      <c r="J25" s="810"/>
      <c r="K25" s="810"/>
    </row>
    <row r="26" spans="1:12" ht="18" customHeight="1">
      <c r="A26" s="126">
        <v>72</v>
      </c>
      <c r="B26" s="746" t="s">
        <v>63</v>
      </c>
      <c r="C26" s="777"/>
      <c r="D26" s="800">
        <f>+F24*1267+G24*2534+H24*1617+I24*3234+J24*2017+K24*4034</f>
        <v>0</v>
      </c>
      <c r="E26" s="801"/>
      <c r="F26" s="801"/>
      <c r="G26" s="802"/>
      <c r="H26" s="763"/>
      <c r="I26" s="792"/>
      <c r="J26" s="792"/>
      <c r="K26" s="793"/>
      <c r="L26" s="150"/>
    </row>
    <row r="27" spans="1:11" ht="24" customHeight="1">
      <c r="A27" s="21">
        <v>73</v>
      </c>
      <c r="B27" s="705" t="s">
        <v>3439</v>
      </c>
      <c r="C27" s="773"/>
      <c r="D27" s="736">
        <f>+MIN(D26,E15)</f>
        <v>0</v>
      </c>
      <c r="E27" s="737"/>
      <c r="F27" s="737"/>
      <c r="G27" s="798"/>
      <c r="H27" s="774"/>
      <c r="I27" s="775"/>
      <c r="J27" s="775"/>
      <c r="K27" s="776"/>
    </row>
    <row r="28" spans="1:11" ht="18" customHeight="1" thickBot="1">
      <c r="A28" s="279">
        <v>74</v>
      </c>
      <c r="B28" s="796" t="s">
        <v>3566</v>
      </c>
      <c r="C28" s="797"/>
      <c r="D28" s="755">
        <f>+E15-D27</f>
        <v>0</v>
      </c>
      <c r="E28" s="756"/>
      <c r="F28" s="756"/>
      <c r="G28" s="799"/>
      <c r="H28" s="784"/>
      <c r="I28" s="785"/>
      <c r="J28" s="785"/>
      <c r="K28" s="786"/>
    </row>
    <row r="29" spans="1:11" ht="6" customHeight="1" thickBot="1">
      <c r="A29" s="809"/>
      <c r="B29" s="809"/>
      <c r="C29" s="810"/>
      <c r="D29" s="810"/>
      <c r="E29" s="810"/>
      <c r="F29" s="810"/>
      <c r="G29" s="810"/>
      <c r="H29" s="810"/>
      <c r="I29" s="810"/>
      <c r="J29" s="810"/>
      <c r="K29" s="810"/>
    </row>
    <row r="30" spans="1:11" ht="18" customHeight="1">
      <c r="A30" s="126">
        <v>75</v>
      </c>
      <c r="B30" s="746" t="s">
        <v>3440</v>
      </c>
      <c r="C30" s="777"/>
      <c r="D30" s="800">
        <f>IF(OR(+D26-D27&lt;99,+MAX('1Př1'!F11+'1Př1'!A28+'1Př1'!F19+'1Př1'!F22)+'DAP2'!E7&lt;6*14600),0,MIN(60300,+D26-D27))</f>
        <v>0</v>
      </c>
      <c r="E30" s="801"/>
      <c r="F30" s="801"/>
      <c r="G30" s="802"/>
      <c r="H30" s="763"/>
      <c r="I30" s="792"/>
      <c r="J30" s="792"/>
      <c r="K30" s="793"/>
    </row>
    <row r="31" spans="1:11" ht="24" customHeight="1">
      <c r="A31" s="21">
        <v>76</v>
      </c>
      <c r="B31" s="705" t="s">
        <v>3441</v>
      </c>
      <c r="C31" s="773"/>
      <c r="D31" s="736">
        <f>+'DAP2'!M9</f>
        <v>0</v>
      </c>
      <c r="E31" s="737"/>
      <c r="F31" s="737"/>
      <c r="G31" s="798"/>
      <c r="H31" s="774"/>
      <c r="I31" s="775"/>
      <c r="J31" s="775"/>
      <c r="K31" s="776"/>
    </row>
    <row r="32" spans="1:11" ht="18" customHeight="1" thickBot="1">
      <c r="A32" s="22">
        <v>77</v>
      </c>
      <c r="B32" s="790" t="s">
        <v>3442</v>
      </c>
      <c r="C32" s="791"/>
      <c r="D32" s="755">
        <f>+D30-D31</f>
        <v>0</v>
      </c>
      <c r="E32" s="756"/>
      <c r="F32" s="756"/>
      <c r="G32" s="799"/>
      <c r="H32" s="787"/>
      <c r="I32" s="788"/>
      <c r="J32" s="788"/>
      <c r="K32" s="789"/>
    </row>
    <row r="33" spans="1:11" ht="15.95" customHeight="1" thickBot="1">
      <c r="A33" s="794" t="s">
        <v>300</v>
      </c>
      <c r="B33" s="794"/>
      <c r="C33" s="795"/>
      <c r="D33" s="795"/>
      <c r="E33" s="795"/>
      <c r="F33" s="795"/>
      <c r="G33" s="795"/>
      <c r="H33" s="795"/>
      <c r="I33" s="795"/>
      <c r="J33" s="795"/>
      <c r="K33" s="795"/>
    </row>
    <row r="34" spans="1:11" ht="18" customHeight="1">
      <c r="A34" s="21">
        <v>78</v>
      </c>
      <c r="B34" s="857" t="s">
        <v>208</v>
      </c>
      <c r="C34" s="858"/>
      <c r="D34" s="800">
        <v>0</v>
      </c>
      <c r="E34" s="801"/>
      <c r="F34" s="801"/>
      <c r="G34" s="802"/>
      <c r="H34" s="774"/>
      <c r="I34" s="775"/>
      <c r="J34" s="775"/>
      <c r="K34" s="776"/>
    </row>
    <row r="35" spans="1:11" ht="24" customHeight="1">
      <c r="A35" s="21">
        <v>79</v>
      </c>
      <c r="B35" s="778" t="s">
        <v>3661</v>
      </c>
      <c r="C35" s="779"/>
      <c r="D35" s="736">
        <f>+IF(OR(EXACT("X",'DAP1'!E13),EXACT("x",'DAP1'!E13)),'DAP3'!D28,0)</f>
        <v>0</v>
      </c>
      <c r="E35" s="737"/>
      <c r="F35" s="737"/>
      <c r="G35" s="798"/>
      <c r="H35" s="774"/>
      <c r="I35" s="775"/>
      <c r="J35" s="775"/>
      <c r="K35" s="776"/>
    </row>
    <row r="36" spans="1:11" ht="24" customHeight="1">
      <c r="A36" s="21">
        <v>80</v>
      </c>
      <c r="B36" s="778" t="s">
        <v>3443</v>
      </c>
      <c r="C36" s="779"/>
      <c r="D36" s="752">
        <f>+D35-D34</f>
        <v>0</v>
      </c>
      <c r="E36" s="753"/>
      <c r="F36" s="753"/>
      <c r="G36" s="859"/>
      <c r="H36" s="774"/>
      <c r="I36" s="775"/>
      <c r="J36" s="775"/>
      <c r="K36" s="776"/>
    </row>
    <row r="37" spans="1:11" ht="24" customHeight="1">
      <c r="A37" s="21">
        <v>81</v>
      </c>
      <c r="B37" s="778" t="s">
        <v>3444</v>
      </c>
      <c r="C37" s="779"/>
      <c r="D37" s="736">
        <v>0</v>
      </c>
      <c r="E37" s="737"/>
      <c r="F37" s="737"/>
      <c r="G37" s="798"/>
      <c r="H37" s="774"/>
      <c r="I37" s="775"/>
      <c r="J37" s="775"/>
      <c r="K37" s="776"/>
    </row>
    <row r="38" spans="1:11" ht="24" customHeight="1">
      <c r="A38" s="21">
        <v>82</v>
      </c>
      <c r="B38" s="778" t="s">
        <v>209</v>
      </c>
      <c r="C38" s="779"/>
      <c r="D38" s="736">
        <f>+IF(OR(EXACT("X",'DAP1'!E13),EXACT("x",'DAP1'!E13)),'DAP2'!F42,0)</f>
        <v>0</v>
      </c>
      <c r="E38" s="737"/>
      <c r="F38" s="737"/>
      <c r="G38" s="798"/>
      <c r="H38" s="774"/>
      <c r="I38" s="775"/>
      <c r="J38" s="775"/>
      <c r="K38" s="776"/>
    </row>
    <row r="39" spans="1:11" ht="24" customHeight="1" thickBot="1">
      <c r="A39" s="22">
        <v>83</v>
      </c>
      <c r="B39" s="840" t="s">
        <v>3445</v>
      </c>
      <c r="C39" s="841"/>
      <c r="D39" s="739">
        <f>+D38-D37</f>
        <v>0</v>
      </c>
      <c r="E39" s="740"/>
      <c r="F39" s="740"/>
      <c r="G39" s="825"/>
      <c r="H39" s="787"/>
      <c r="I39" s="788"/>
      <c r="J39" s="788"/>
      <c r="K39" s="789"/>
    </row>
    <row r="40" spans="1:11" ht="15.95" customHeight="1" thickBot="1">
      <c r="A40" s="794" t="s">
        <v>301</v>
      </c>
      <c r="B40" s="794"/>
      <c r="C40" s="795"/>
      <c r="D40" s="795"/>
      <c r="E40" s="795"/>
      <c r="F40" s="795"/>
      <c r="G40" s="795"/>
      <c r="H40" s="795"/>
      <c r="I40" s="795"/>
      <c r="J40" s="795"/>
      <c r="K40" s="795"/>
    </row>
    <row r="41" spans="1:11" ht="24" customHeight="1">
      <c r="A41" s="124">
        <v>84</v>
      </c>
      <c r="B41" s="705" t="s">
        <v>3446</v>
      </c>
      <c r="C41" s="773"/>
      <c r="D41" s="800">
        <f>+'DAP2'!M7</f>
        <v>0</v>
      </c>
      <c r="E41" s="801"/>
      <c r="F41" s="801"/>
      <c r="G41" s="802"/>
      <c r="H41" s="774"/>
      <c r="I41" s="775"/>
      <c r="J41" s="775"/>
      <c r="K41" s="776"/>
    </row>
    <row r="42" spans="1:11" ht="18" customHeight="1">
      <c r="A42" s="21">
        <v>85</v>
      </c>
      <c r="B42" s="708" t="s">
        <v>113</v>
      </c>
      <c r="C42" s="839"/>
      <c r="D42" s="736">
        <v>0</v>
      </c>
      <c r="E42" s="737"/>
      <c r="F42" s="737"/>
      <c r="G42" s="798"/>
      <c r="H42" s="774"/>
      <c r="I42" s="775"/>
      <c r="J42" s="775"/>
      <c r="K42" s="776"/>
    </row>
    <row r="43" spans="1:11" ht="18" customHeight="1">
      <c r="A43" s="21">
        <v>86</v>
      </c>
      <c r="B43" s="708" t="s">
        <v>119</v>
      </c>
      <c r="C43" s="839"/>
      <c r="D43" s="736">
        <v>0</v>
      </c>
      <c r="E43" s="737"/>
      <c r="F43" s="737"/>
      <c r="G43" s="798"/>
      <c r="H43" s="774"/>
      <c r="I43" s="775"/>
      <c r="J43" s="775"/>
      <c r="K43" s="776"/>
    </row>
    <row r="44" spans="1:11" ht="18" customHeight="1">
      <c r="A44" s="21">
        <v>87</v>
      </c>
      <c r="B44" s="708" t="s">
        <v>263</v>
      </c>
      <c r="C44" s="839"/>
      <c r="D44" s="736">
        <v>0</v>
      </c>
      <c r="E44" s="737"/>
      <c r="F44" s="737"/>
      <c r="G44" s="798"/>
      <c r="H44" s="774"/>
      <c r="I44" s="775"/>
      <c r="J44" s="775"/>
      <c r="K44" s="776"/>
    </row>
    <row r="45" spans="1:11" ht="18" customHeight="1">
      <c r="A45" s="21" t="s">
        <v>261</v>
      </c>
      <c r="B45" s="708" t="s">
        <v>262</v>
      </c>
      <c r="C45" s="839"/>
      <c r="D45" s="736">
        <f>+'DAP2'!M8</f>
        <v>0</v>
      </c>
      <c r="E45" s="737"/>
      <c r="F45" s="737"/>
      <c r="G45" s="798"/>
      <c r="H45" s="774"/>
      <c r="I45" s="775"/>
      <c r="J45" s="775"/>
      <c r="K45" s="776"/>
    </row>
    <row r="46" spans="1:11" ht="18" customHeight="1">
      <c r="A46" s="21" t="s">
        <v>79</v>
      </c>
      <c r="B46" s="708" t="s">
        <v>80</v>
      </c>
      <c r="C46" s="839"/>
      <c r="D46" s="736">
        <v>0</v>
      </c>
      <c r="E46" s="737"/>
      <c r="F46" s="737"/>
      <c r="G46" s="798"/>
      <c r="H46" s="774"/>
      <c r="I46" s="775"/>
      <c r="J46" s="775"/>
      <c r="K46" s="776"/>
    </row>
    <row r="47" spans="1:11" ht="18" customHeight="1">
      <c r="A47" s="21">
        <v>88</v>
      </c>
      <c r="B47" s="708" t="s">
        <v>124</v>
      </c>
      <c r="C47" s="839"/>
      <c r="D47" s="736">
        <v>0</v>
      </c>
      <c r="E47" s="737"/>
      <c r="F47" s="737"/>
      <c r="G47" s="798"/>
      <c r="H47" s="774"/>
      <c r="I47" s="775"/>
      <c r="J47" s="775"/>
      <c r="K47" s="776"/>
    </row>
    <row r="48" spans="1:11" ht="18" customHeight="1">
      <c r="A48" s="21">
        <v>89</v>
      </c>
      <c r="B48" s="708" t="s">
        <v>36</v>
      </c>
      <c r="C48" s="839"/>
      <c r="D48" s="736">
        <v>0</v>
      </c>
      <c r="E48" s="737"/>
      <c r="F48" s="737"/>
      <c r="G48" s="798"/>
      <c r="H48" s="774"/>
      <c r="I48" s="775"/>
      <c r="J48" s="775"/>
      <c r="K48" s="776"/>
    </row>
    <row r="49" spans="1:11" ht="18" customHeight="1">
      <c r="A49" s="21">
        <v>90</v>
      </c>
      <c r="B49" s="708" t="s">
        <v>98</v>
      </c>
      <c r="C49" s="839"/>
      <c r="D49" s="736">
        <v>0</v>
      </c>
      <c r="E49" s="737"/>
      <c r="F49" s="737"/>
      <c r="G49" s="798"/>
      <c r="H49" s="774"/>
      <c r="I49" s="775"/>
      <c r="J49" s="775"/>
      <c r="K49" s="776"/>
    </row>
    <row r="50" spans="1:11" ht="24" customHeight="1" thickBot="1">
      <c r="A50" s="21">
        <v>91</v>
      </c>
      <c r="B50" s="840" t="s">
        <v>3567</v>
      </c>
      <c r="C50" s="841"/>
      <c r="D50" s="739">
        <f>+IF(OR(EXACT("X",'DAP1'!E13),EXACT("x",'DAP1'!E13)),0,+D28-D32-SUM(D41:E49))</f>
        <v>0</v>
      </c>
      <c r="E50" s="740"/>
      <c r="F50" s="740"/>
      <c r="G50" s="825"/>
      <c r="H50" s="774"/>
      <c r="I50" s="775"/>
      <c r="J50" s="775"/>
      <c r="K50" s="776"/>
    </row>
    <row r="51" spans="1:11" ht="12.75">
      <c r="A51" s="684">
        <v>3</v>
      </c>
      <c r="B51" s="684"/>
      <c r="C51" s="684"/>
      <c r="D51" s="684"/>
      <c r="E51" s="684"/>
      <c r="F51" s="684"/>
      <c r="G51" s="684"/>
      <c r="H51" s="684"/>
      <c r="I51" s="684"/>
      <c r="J51" s="684"/>
      <c r="K51" s="684"/>
    </row>
    <row r="52" spans="1:11" ht="12.75">
      <c r="A52" s="82"/>
      <c r="B52" s="82"/>
      <c r="C52" s="82"/>
      <c r="D52" s="82"/>
      <c r="E52" s="82"/>
      <c r="F52" s="82"/>
      <c r="G52" s="82"/>
      <c r="H52" s="82"/>
      <c r="I52" s="82"/>
      <c r="J52" s="82"/>
      <c r="K52" s="82"/>
    </row>
    <row r="53" spans="1:11" ht="12.75">
      <c r="A53" s="82"/>
      <c r="B53" s="82"/>
      <c r="C53" s="82"/>
      <c r="D53" s="82"/>
      <c r="E53" s="82"/>
      <c r="F53" s="82"/>
      <c r="G53" s="82"/>
      <c r="H53" s="82"/>
      <c r="I53" s="82"/>
      <c r="J53" s="82"/>
      <c r="K53" s="82"/>
    </row>
    <row r="54" spans="1:11" ht="12.75">
      <c r="A54" s="82"/>
      <c r="B54" s="82"/>
      <c r="C54" s="82"/>
      <c r="D54" s="82"/>
      <c r="E54" s="82"/>
      <c r="F54" s="82"/>
      <c r="G54" s="82"/>
      <c r="H54" s="82"/>
      <c r="I54" s="82"/>
      <c r="J54" s="82"/>
      <c r="K54" s="82"/>
    </row>
    <row r="55" spans="1:11" ht="12.75">
      <c r="A55" s="82"/>
      <c r="B55" s="82"/>
      <c r="C55" s="82"/>
      <c r="D55" s="82"/>
      <c r="E55" s="82"/>
      <c r="F55" s="82"/>
      <c r="G55" s="82"/>
      <c r="H55" s="82"/>
      <c r="I55" s="82"/>
      <c r="J55" s="82"/>
      <c r="K55" s="82"/>
    </row>
    <row r="56" spans="1:11" ht="12.75">
      <c r="A56" s="82"/>
      <c r="B56" s="82"/>
      <c r="C56" s="82"/>
      <c r="D56" s="82"/>
      <c r="E56" s="82"/>
      <c r="F56" s="82"/>
      <c r="G56" s="82"/>
      <c r="H56" s="82"/>
      <c r="I56" s="82"/>
      <c r="J56" s="82"/>
      <c r="K56" s="82"/>
    </row>
    <row r="57" spans="1:11" ht="12.75">
      <c r="A57" s="82"/>
      <c r="B57" s="82"/>
      <c r="C57" s="82"/>
      <c r="D57" s="82"/>
      <c r="E57" s="82"/>
      <c r="F57" s="82"/>
      <c r="G57" s="82"/>
      <c r="H57" s="82"/>
      <c r="I57" s="82"/>
      <c r="J57" s="82"/>
      <c r="K57" s="82"/>
    </row>
    <row r="58" spans="1:11" ht="12.75">
      <c r="A58" s="82"/>
      <c r="B58" s="82"/>
      <c r="C58" s="82"/>
      <c r="D58" s="82"/>
      <c r="E58" s="82"/>
      <c r="F58" s="82"/>
      <c r="G58" s="82"/>
      <c r="H58" s="82"/>
      <c r="I58" s="82"/>
      <c r="J58" s="82"/>
      <c r="K58" s="82"/>
    </row>
    <row r="59" spans="1:11" ht="12.75">
      <c r="A59" s="82"/>
      <c r="B59" s="82"/>
      <c r="C59" s="82"/>
      <c r="D59" s="82"/>
      <c r="E59" s="82"/>
      <c r="F59" s="82"/>
      <c r="G59" s="82"/>
      <c r="H59" s="82"/>
      <c r="I59" s="82"/>
      <c r="J59" s="82"/>
      <c r="K59" s="82"/>
    </row>
    <row r="60" spans="1:11" ht="12.75">
      <c r="A60" s="82"/>
      <c r="B60" s="82"/>
      <c r="C60" s="82"/>
      <c r="D60" s="82"/>
      <c r="E60" s="82"/>
      <c r="F60" s="82"/>
      <c r="G60" s="82"/>
      <c r="H60" s="82"/>
      <c r="I60" s="82"/>
      <c r="J60" s="82"/>
      <c r="K60" s="82"/>
    </row>
    <row r="61" spans="1:11" ht="12.75">
      <c r="A61" s="82"/>
      <c r="B61" s="82"/>
      <c r="C61" s="82"/>
      <c r="D61" s="82"/>
      <c r="E61" s="82"/>
      <c r="F61" s="82"/>
      <c r="G61" s="82"/>
      <c r="H61" s="82"/>
      <c r="I61" s="82"/>
      <c r="J61" s="82"/>
      <c r="K61" s="82"/>
    </row>
    <row r="62" spans="1:11" ht="12.75">
      <c r="A62" s="82"/>
      <c r="B62" s="82"/>
      <c r="C62" s="82"/>
      <c r="D62" s="82"/>
      <c r="E62" s="82"/>
      <c r="F62" s="82"/>
      <c r="G62" s="82"/>
      <c r="H62" s="82"/>
      <c r="I62" s="82"/>
      <c r="J62" s="82"/>
      <c r="K62" s="82"/>
    </row>
    <row r="63" spans="1:11" ht="12.75">
      <c r="A63" s="82"/>
      <c r="B63" s="82"/>
      <c r="C63" s="82"/>
      <c r="D63" s="82"/>
      <c r="E63" s="82"/>
      <c r="F63" s="82"/>
      <c r="G63" s="82"/>
      <c r="H63" s="82"/>
      <c r="I63" s="82"/>
      <c r="J63" s="82"/>
      <c r="K63" s="82"/>
    </row>
    <row r="64" spans="1:11" ht="12.75">
      <c r="A64" s="82"/>
      <c r="B64" s="82"/>
      <c r="C64" s="82"/>
      <c r="D64" s="82"/>
      <c r="E64" s="82"/>
      <c r="F64" s="82"/>
      <c r="G64" s="82"/>
      <c r="H64" s="82"/>
      <c r="I64" s="82"/>
      <c r="J64" s="82"/>
      <c r="K64" s="82"/>
    </row>
    <row r="65" spans="1:11" ht="12.75">
      <c r="A65" s="82"/>
      <c r="B65" s="82"/>
      <c r="C65" s="82"/>
      <c r="D65" s="82"/>
      <c r="E65" s="82"/>
      <c r="F65" s="82"/>
      <c r="G65" s="82"/>
      <c r="H65" s="82"/>
      <c r="I65" s="82"/>
      <c r="J65" s="82"/>
      <c r="K65" s="82"/>
    </row>
    <row r="66" spans="1:11" ht="12.75">
      <c r="A66" s="82"/>
      <c r="B66" s="82"/>
      <c r="C66" s="82"/>
      <c r="D66" s="82"/>
      <c r="E66" s="82"/>
      <c r="F66" s="82"/>
      <c r="G66" s="82"/>
      <c r="H66" s="82"/>
      <c r="I66" s="82"/>
      <c r="J66" s="82"/>
      <c r="K66" s="82"/>
    </row>
    <row r="67" spans="1:11" ht="12.75">
      <c r="A67" s="82"/>
      <c r="B67" s="82"/>
      <c r="C67" s="82"/>
      <c r="D67" s="82"/>
      <c r="E67" s="82"/>
      <c r="F67" s="82"/>
      <c r="G67" s="82"/>
      <c r="H67" s="82"/>
      <c r="I67" s="82"/>
      <c r="J67" s="82"/>
      <c r="K67" s="82"/>
    </row>
    <row r="68" spans="1:11" ht="12.75">
      <c r="A68" s="82"/>
      <c r="B68" s="82"/>
      <c r="C68" s="82"/>
      <c r="D68" s="82"/>
      <c r="E68" s="82"/>
      <c r="F68" s="82"/>
      <c r="G68" s="82"/>
      <c r="H68" s="82"/>
      <c r="I68" s="82"/>
      <c r="J68" s="82"/>
      <c r="K68" s="82"/>
    </row>
    <row r="69" spans="1:11" ht="12.75">
      <c r="A69" s="82"/>
      <c r="B69" s="82"/>
      <c r="C69" s="82"/>
      <c r="D69" s="82"/>
      <c r="E69" s="82"/>
      <c r="F69" s="82"/>
      <c r="G69" s="82"/>
      <c r="H69" s="82"/>
      <c r="I69" s="82"/>
      <c r="J69" s="82"/>
      <c r="K69" s="82"/>
    </row>
    <row r="70" spans="1:11" ht="12.75">
      <c r="A70" s="82"/>
      <c r="B70" s="82"/>
      <c r="C70" s="82"/>
      <c r="D70" s="82"/>
      <c r="E70" s="82"/>
      <c r="F70" s="82"/>
      <c r="G70" s="82"/>
      <c r="H70" s="82"/>
      <c r="I70" s="82"/>
      <c r="J70" s="82"/>
      <c r="K70" s="82"/>
    </row>
    <row r="71" spans="1:11" ht="12.75">
      <c r="A71" s="82"/>
      <c r="B71" s="82"/>
      <c r="C71" s="82"/>
      <c r="D71" s="82"/>
      <c r="E71" s="82"/>
      <c r="F71" s="82"/>
      <c r="G71" s="82"/>
      <c r="H71" s="82"/>
      <c r="I71" s="82"/>
      <c r="J71" s="82"/>
      <c r="K71" s="82"/>
    </row>
    <row r="72" spans="1:11" ht="12.75">
      <c r="A72" s="82"/>
      <c r="B72" s="82"/>
      <c r="C72" s="82"/>
      <c r="D72" s="82"/>
      <c r="E72" s="82"/>
      <c r="F72" s="82"/>
      <c r="G72" s="82"/>
      <c r="H72" s="82"/>
      <c r="I72" s="82"/>
      <c r="J72" s="82"/>
      <c r="K72" s="82"/>
    </row>
    <row r="73" spans="1:11" ht="12.75">
      <c r="A73" s="82"/>
      <c r="B73" s="82"/>
      <c r="C73" s="82"/>
      <c r="D73" s="82"/>
      <c r="E73" s="82"/>
      <c r="F73" s="82"/>
      <c r="G73" s="82"/>
      <c r="H73" s="82"/>
      <c r="I73" s="82"/>
      <c r="J73" s="82"/>
      <c r="K73" s="82"/>
    </row>
    <row r="74" spans="1:11" ht="12.75">
      <c r="A74" s="82"/>
      <c r="B74" s="82"/>
      <c r="C74" s="82"/>
      <c r="D74" s="82"/>
      <c r="E74" s="82"/>
      <c r="F74" s="82"/>
      <c r="G74" s="82"/>
      <c r="H74" s="82"/>
      <c r="I74" s="82"/>
      <c r="J74" s="82"/>
      <c r="K74" s="82"/>
    </row>
    <row r="75" spans="1:11" ht="12.75">
      <c r="A75" s="82"/>
      <c r="B75" s="82"/>
      <c r="C75" s="82"/>
      <c r="D75" s="82"/>
      <c r="E75" s="82"/>
      <c r="F75" s="82"/>
      <c r="G75" s="82"/>
      <c r="H75" s="82"/>
      <c r="I75" s="82"/>
      <c r="J75" s="82"/>
      <c r="K75" s="82"/>
    </row>
    <row r="76" spans="1:11" ht="12.75">
      <c r="A76" s="82"/>
      <c r="B76" s="82"/>
      <c r="C76" s="82"/>
      <c r="D76" s="82"/>
      <c r="E76" s="82"/>
      <c r="F76" s="82"/>
      <c r="G76" s="82"/>
      <c r="H76" s="82"/>
      <c r="I76" s="82"/>
      <c r="J76" s="82"/>
      <c r="K76" s="82"/>
    </row>
    <row r="77" spans="1:11" ht="12.75">
      <c r="A77" s="82"/>
      <c r="B77" s="82"/>
      <c r="C77" s="82"/>
      <c r="D77" s="82"/>
      <c r="E77" s="82"/>
      <c r="F77" s="82"/>
      <c r="G77" s="82"/>
      <c r="H77" s="82"/>
      <c r="I77" s="82"/>
      <c r="J77" s="82"/>
      <c r="K77" s="82"/>
    </row>
    <row r="78" spans="1:11" ht="12.75">
      <c r="A78" s="82"/>
      <c r="B78" s="82"/>
      <c r="C78" s="82"/>
      <c r="D78" s="82"/>
      <c r="E78" s="82"/>
      <c r="F78" s="82"/>
      <c r="G78" s="82"/>
      <c r="H78" s="82"/>
      <c r="I78" s="82"/>
      <c r="J78" s="82"/>
      <c r="K78" s="82"/>
    </row>
    <row r="79" spans="1:11" ht="12.75">
      <c r="A79" s="82"/>
      <c r="B79" s="82"/>
      <c r="C79" s="82"/>
      <c r="D79" s="82"/>
      <c r="E79" s="82"/>
      <c r="F79" s="82"/>
      <c r="G79" s="82"/>
      <c r="H79" s="82"/>
      <c r="I79" s="82"/>
      <c r="J79" s="82"/>
      <c r="K79" s="82"/>
    </row>
    <row r="80" spans="1:11" ht="12.75">
      <c r="A80" s="82"/>
      <c r="B80" s="82"/>
      <c r="C80" s="82"/>
      <c r="D80" s="82"/>
      <c r="E80" s="82"/>
      <c r="F80" s="82"/>
      <c r="G80" s="82"/>
      <c r="H80" s="82"/>
      <c r="I80" s="82"/>
      <c r="J80" s="82"/>
      <c r="K80" s="82"/>
    </row>
    <row r="81" spans="1:11" ht="12.75">
      <c r="A81" s="82"/>
      <c r="B81" s="82"/>
      <c r="C81" s="82"/>
      <c r="D81" s="82"/>
      <c r="E81" s="82"/>
      <c r="F81" s="82"/>
      <c r="G81" s="82"/>
      <c r="H81" s="82"/>
      <c r="I81" s="82"/>
      <c r="J81" s="82"/>
      <c r="K81" s="82"/>
    </row>
    <row r="82" spans="1:11" ht="12.75">
      <c r="A82" s="82"/>
      <c r="B82" s="82"/>
      <c r="C82" s="82"/>
      <c r="D82" s="82"/>
      <c r="E82" s="82"/>
      <c r="F82" s="82"/>
      <c r="G82" s="82"/>
      <c r="H82" s="82"/>
      <c r="I82" s="82"/>
      <c r="J82" s="82"/>
      <c r="K82" s="82"/>
    </row>
    <row r="83" spans="1:11" ht="12.75">
      <c r="A83" s="82"/>
      <c r="B83" s="82"/>
      <c r="C83" s="82"/>
      <c r="D83" s="82"/>
      <c r="E83" s="82"/>
      <c r="F83" s="82"/>
      <c r="G83" s="82"/>
      <c r="H83" s="82"/>
      <c r="I83" s="82"/>
      <c r="J83" s="82"/>
      <c r="K83" s="82"/>
    </row>
    <row r="84" spans="1:11" ht="12.75">
      <c r="A84" s="82"/>
      <c r="B84" s="82"/>
      <c r="C84" s="82"/>
      <c r="D84" s="82"/>
      <c r="E84" s="82"/>
      <c r="F84" s="82"/>
      <c r="G84" s="82"/>
      <c r="H84" s="82"/>
      <c r="I84" s="82"/>
      <c r="J84" s="82"/>
      <c r="K84" s="82"/>
    </row>
    <row r="85" spans="1:11" ht="12.75">
      <c r="A85" s="82"/>
      <c r="B85" s="82"/>
      <c r="C85" s="82"/>
      <c r="D85" s="82"/>
      <c r="E85" s="82"/>
      <c r="F85" s="82"/>
      <c r="G85" s="82"/>
      <c r="H85" s="82"/>
      <c r="I85" s="82"/>
      <c r="J85" s="82"/>
      <c r="K85" s="82"/>
    </row>
    <row r="86" spans="1:11" ht="12.75">
      <c r="A86" s="82"/>
      <c r="B86" s="82"/>
      <c r="C86" s="82"/>
      <c r="D86" s="82"/>
      <c r="E86" s="82"/>
      <c r="F86" s="82"/>
      <c r="G86" s="82"/>
      <c r="H86" s="82"/>
      <c r="I86" s="82"/>
      <c r="J86" s="82"/>
      <c r="K86" s="82"/>
    </row>
    <row r="87" spans="1:11" ht="12.75">
      <c r="A87" s="82"/>
      <c r="B87" s="82"/>
      <c r="C87" s="82"/>
      <c r="D87" s="82"/>
      <c r="E87" s="82"/>
      <c r="F87" s="82"/>
      <c r="G87" s="82"/>
      <c r="H87" s="82"/>
      <c r="I87" s="82"/>
      <c r="J87" s="82"/>
      <c r="K87" s="82"/>
    </row>
    <row r="88" spans="1:11" ht="12.75">
      <c r="A88" s="82"/>
      <c r="B88" s="82"/>
      <c r="C88" s="82"/>
      <c r="D88" s="82"/>
      <c r="E88" s="82"/>
      <c r="F88" s="82"/>
      <c r="G88" s="82"/>
      <c r="H88" s="82"/>
      <c r="I88" s="82"/>
      <c r="J88" s="82"/>
      <c r="K88" s="82"/>
    </row>
    <row r="89" spans="1:11" ht="12.75">
      <c r="A89" s="82"/>
      <c r="B89" s="82"/>
      <c r="C89" s="82"/>
      <c r="D89" s="82"/>
      <c r="E89" s="82"/>
      <c r="F89" s="82"/>
      <c r="G89" s="82"/>
      <c r="H89" s="82"/>
      <c r="I89" s="82"/>
      <c r="J89" s="82"/>
      <c r="K89" s="82"/>
    </row>
    <row r="90" spans="1:11" ht="12.75">
      <c r="A90" s="82"/>
      <c r="B90" s="82"/>
      <c r="C90" s="82"/>
      <c r="D90" s="82"/>
      <c r="E90" s="82"/>
      <c r="F90" s="82"/>
      <c r="G90" s="82"/>
      <c r="H90" s="82"/>
      <c r="I90" s="82"/>
      <c r="J90" s="82"/>
      <c r="K90" s="82"/>
    </row>
    <row r="91" spans="1:11" ht="12.75">
      <c r="A91" s="82"/>
      <c r="B91" s="82"/>
      <c r="C91" s="82"/>
      <c r="D91" s="82"/>
      <c r="E91" s="82"/>
      <c r="F91" s="82"/>
      <c r="G91" s="82"/>
      <c r="H91" s="82"/>
      <c r="I91" s="82"/>
      <c r="J91" s="82"/>
      <c r="K91" s="82"/>
    </row>
    <row r="92" spans="1:11" ht="12.75">
      <c r="A92" s="82"/>
      <c r="B92" s="82"/>
      <c r="C92" s="82"/>
      <c r="D92" s="82"/>
      <c r="E92" s="82"/>
      <c r="F92" s="82"/>
      <c r="G92" s="82"/>
      <c r="H92" s="82"/>
      <c r="I92" s="82"/>
      <c r="J92" s="82"/>
      <c r="K92" s="82"/>
    </row>
    <row r="93" spans="1:11" ht="12.75">
      <c r="A93" s="82"/>
      <c r="B93" s="82"/>
      <c r="C93" s="82"/>
      <c r="D93" s="82"/>
      <c r="E93" s="82"/>
      <c r="F93" s="82"/>
      <c r="G93" s="82"/>
      <c r="H93" s="82"/>
      <c r="I93" s="82"/>
      <c r="J93" s="82"/>
      <c r="K93" s="82"/>
    </row>
    <row r="94" spans="1:11" ht="12.75">
      <c r="A94" s="82"/>
      <c r="B94" s="82"/>
      <c r="C94" s="82"/>
      <c r="D94" s="82"/>
      <c r="E94" s="82"/>
      <c r="F94" s="82"/>
      <c r="G94" s="82"/>
      <c r="H94" s="82"/>
      <c r="I94" s="82"/>
      <c r="J94" s="82"/>
      <c r="K94" s="82"/>
    </row>
    <row r="95" spans="1:11" ht="12.75">
      <c r="A95" s="82"/>
      <c r="B95" s="82"/>
      <c r="C95" s="82"/>
      <c r="D95" s="82"/>
      <c r="E95" s="82"/>
      <c r="F95" s="82"/>
      <c r="G95" s="82"/>
      <c r="H95" s="82"/>
      <c r="I95" s="82"/>
      <c r="J95" s="82"/>
      <c r="K95" s="82"/>
    </row>
    <row r="96" spans="1:11" ht="12.75">
      <c r="A96" s="82"/>
      <c r="B96" s="82"/>
      <c r="C96" s="82"/>
      <c r="D96" s="82"/>
      <c r="E96" s="82"/>
      <c r="F96" s="82"/>
      <c r="G96" s="82"/>
      <c r="H96" s="82"/>
      <c r="I96" s="82"/>
      <c r="J96" s="82"/>
      <c r="K96" s="82"/>
    </row>
    <row r="97" spans="1:11" ht="12.75">
      <c r="A97" s="82"/>
      <c r="B97" s="82"/>
      <c r="C97" s="82"/>
      <c r="D97" s="82"/>
      <c r="E97" s="82"/>
      <c r="F97" s="82"/>
      <c r="G97" s="82"/>
      <c r="H97" s="82"/>
      <c r="I97" s="82"/>
      <c r="J97" s="82"/>
      <c r="K97" s="82"/>
    </row>
    <row r="98" spans="1:11" ht="12.75">
      <c r="A98" s="82"/>
      <c r="B98" s="82"/>
      <c r="C98" s="82"/>
      <c r="D98" s="82"/>
      <c r="E98" s="82"/>
      <c r="F98" s="82"/>
      <c r="G98" s="82"/>
      <c r="H98" s="82"/>
      <c r="I98" s="82"/>
      <c r="J98" s="82"/>
      <c r="K98" s="82"/>
    </row>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row r="202" s="82" customFormat="1" ht="12.75"/>
    <row r="203" s="82" customFormat="1" ht="12.75"/>
    <row r="204" s="82" customFormat="1" ht="12.75"/>
    <row r="205" s="82" customFormat="1" ht="12.75"/>
    <row r="206" s="82" customFormat="1" ht="12.75"/>
    <row r="207" s="82" customFormat="1" ht="12.75"/>
    <row r="208" s="82" customFormat="1" ht="12.75"/>
    <row r="209" s="82" customFormat="1" ht="12.75"/>
    <row r="210" s="82" customFormat="1" ht="12.75"/>
    <row r="211" s="82" customFormat="1" ht="12.75"/>
    <row r="212" s="82" customFormat="1" ht="12.75"/>
    <row r="213" s="82" customFormat="1" ht="12.75"/>
    <row r="214" s="82" customFormat="1" ht="12.75"/>
    <row r="215" s="82" customFormat="1" ht="12.75"/>
    <row r="216" s="82" customFormat="1" ht="12.75"/>
    <row r="217" s="82" customFormat="1" ht="12.75"/>
    <row r="218" s="82" customFormat="1" ht="12.75"/>
    <row r="219" s="82" customFormat="1" ht="12.75"/>
    <row r="220" s="82" customFormat="1" ht="12.75"/>
    <row r="221" s="82" customFormat="1" ht="12.75"/>
    <row r="222" s="82" customFormat="1" ht="12.75"/>
    <row r="223" s="82" customFormat="1" ht="12.75"/>
    <row r="224" s="82" customFormat="1" ht="12.75"/>
    <row r="225" s="82" customFormat="1" ht="12.75"/>
    <row r="226" s="82" customFormat="1" ht="12.75"/>
    <row r="227" s="82" customFormat="1" ht="12.75"/>
    <row r="228" s="82" customFormat="1" ht="12.75"/>
    <row r="229" s="82" customFormat="1" ht="12.75"/>
    <row r="230" s="82" customFormat="1" ht="12.75"/>
    <row r="231" s="82" customFormat="1" ht="12.75"/>
    <row r="232" s="82" customFormat="1" ht="12.75"/>
    <row r="233" s="82" customFormat="1" ht="12.75"/>
    <row r="234" s="82" customFormat="1" ht="12.75"/>
    <row r="235" s="82" customFormat="1" ht="12.75"/>
    <row r="236" s="82" customFormat="1" ht="12.75"/>
    <row r="237" s="82" customFormat="1" ht="12.75"/>
    <row r="238" s="82" customFormat="1" ht="12.75"/>
    <row r="239" s="82" customFormat="1" ht="12.75"/>
    <row r="240" s="82" customFormat="1" ht="12.75"/>
    <row r="241" s="82" customFormat="1" ht="12.75"/>
    <row r="242" s="82" customFormat="1" ht="12.75"/>
    <row r="243" s="82" customFormat="1" ht="12.75"/>
    <row r="244" s="82" customFormat="1" ht="12.75"/>
    <row r="245" s="82" customFormat="1" ht="12.75"/>
    <row r="246" s="82" customFormat="1" ht="12.75"/>
    <row r="247" s="82" customFormat="1" ht="12.75"/>
    <row r="248" s="82" customFormat="1" ht="12.75"/>
    <row r="249" s="82" customFormat="1" ht="12.75"/>
    <row r="250" s="82" customFormat="1" ht="12.75"/>
    <row r="251" s="82" customFormat="1" ht="12.75"/>
    <row r="252" s="82" customFormat="1" ht="12.75"/>
    <row r="253" s="82" customFormat="1" ht="12.75"/>
    <row r="254" s="82" customFormat="1" ht="12.75"/>
    <row r="255" s="82" customFormat="1" ht="12.75"/>
    <row r="256" s="82" customFormat="1" ht="12.75"/>
    <row r="257" s="82" customFormat="1" ht="12.75"/>
    <row r="258" s="82" customFormat="1" ht="12.75"/>
    <row r="259" s="82" customFormat="1" ht="12.75"/>
    <row r="260" s="82" customFormat="1" ht="12.75"/>
    <row r="261" s="82" customFormat="1" ht="12.75"/>
    <row r="262" s="82" customFormat="1" ht="12.75"/>
    <row r="263" s="82" customFormat="1" ht="12.75"/>
    <row r="264" s="82" customFormat="1" ht="12.75"/>
    <row r="265" s="82" customFormat="1" ht="12.75"/>
    <row r="266" s="82" customFormat="1" ht="12.75"/>
    <row r="267" s="82" customFormat="1" ht="12.75"/>
    <row r="268" s="82" customFormat="1" ht="12.75"/>
    <row r="269" s="82" customFormat="1" ht="12.75"/>
    <row r="270" s="82" customFormat="1" ht="12.75"/>
    <row r="271" s="82" customFormat="1" ht="12.75"/>
    <row r="272" s="82" customFormat="1" ht="12.75"/>
    <row r="273" s="82" customFormat="1" ht="12.75"/>
    <row r="274" s="82" customFormat="1" ht="12.75"/>
    <row r="275" s="82" customFormat="1" ht="12.75"/>
    <row r="276" s="82" customFormat="1" ht="12.75"/>
    <row r="277" s="82" customFormat="1" ht="12.75"/>
    <row r="278" s="82" customFormat="1" ht="12.75"/>
    <row r="279" s="82" customFormat="1" ht="12.75"/>
    <row r="280" s="82" customFormat="1" ht="12.75"/>
    <row r="281" s="82" customFormat="1" ht="12.75"/>
    <row r="282" s="82" customFormat="1" ht="12.75"/>
    <row r="283" s="82" customFormat="1" ht="12.75"/>
    <row r="284" s="82" customFormat="1" ht="12.75"/>
    <row r="285" s="82" customFormat="1" ht="12.75"/>
    <row r="286" s="82" customFormat="1" ht="12.75"/>
    <row r="287" s="82" customFormat="1" ht="12.75"/>
    <row r="288" s="82" customFormat="1" ht="12.75"/>
    <row r="289" s="82" customFormat="1" ht="12.75"/>
    <row r="290" s="82" customFormat="1" ht="12.75"/>
    <row r="291" s="82" customFormat="1" ht="12.75"/>
    <row r="292" s="82" customFormat="1" ht="12.75"/>
    <row r="293" s="82" customFormat="1" ht="12.75"/>
    <row r="294" s="82" customFormat="1" ht="12.75"/>
    <row r="295" s="82" customFormat="1" ht="12.75"/>
    <row r="296" s="82" customFormat="1" ht="12.75"/>
    <row r="297" s="82" customFormat="1" ht="12.75"/>
    <row r="298" s="82" customFormat="1" ht="12.75"/>
    <row r="299" s="82" customFormat="1" ht="12.75"/>
    <row r="300" s="82" customFormat="1" ht="12.75"/>
    <row r="301" s="82" customFormat="1" ht="12.75"/>
    <row r="302" s="82" customFormat="1" ht="12.75"/>
    <row r="303" s="82" customFormat="1" ht="12.75"/>
    <row r="304" s="82" customFormat="1" ht="12.75"/>
    <row r="305" s="82" customFormat="1" ht="12.75"/>
    <row r="306" s="82" customFormat="1" ht="12.75"/>
    <row r="307" s="82" customFormat="1" ht="12.75"/>
    <row r="308" s="82" customFormat="1" ht="12.75"/>
    <row r="309" s="82" customFormat="1" ht="12.75"/>
    <row r="310" s="82" customFormat="1" ht="12.75"/>
    <row r="311" s="82" customFormat="1" ht="12.75"/>
    <row r="312" s="82" customFormat="1" ht="12.75"/>
    <row r="313" s="82" customFormat="1" ht="12.75"/>
    <row r="314" s="82" customFormat="1" ht="12.75"/>
    <row r="315" s="82" customFormat="1" ht="12.75"/>
    <row r="316" s="82" customFormat="1" ht="12.75"/>
    <row r="317" s="82" customFormat="1" ht="12.75"/>
    <row r="318" s="82" customFormat="1" ht="12.75"/>
    <row r="319" s="82" customFormat="1" ht="12.75"/>
    <row r="320" s="82" customFormat="1" ht="12.75"/>
    <row r="321" s="82" customFormat="1" ht="12.75"/>
    <row r="322" s="82" customFormat="1" ht="12.75"/>
    <row r="323" s="82" customFormat="1" ht="12.75"/>
    <row r="324" s="82" customFormat="1" ht="12.75"/>
    <row r="325" s="82" customFormat="1" ht="12.75"/>
    <row r="326" s="82" customFormat="1" ht="12.75"/>
    <row r="327" s="82" customFormat="1" ht="12.75"/>
    <row r="328" s="82" customFormat="1" ht="12.75"/>
    <row r="329" s="82" customFormat="1" ht="12.75"/>
    <row r="330" s="82" customFormat="1" ht="12.75"/>
    <row r="331" s="82" customFormat="1" ht="12.75"/>
    <row r="332" s="82" customFormat="1" ht="12.75"/>
    <row r="333" s="82" customFormat="1" ht="12.75"/>
    <row r="334" s="82" customFormat="1" ht="12.75"/>
    <row r="335" s="82" customFormat="1" ht="12.75"/>
    <row r="336" s="82" customFormat="1" ht="12.75"/>
    <row r="337" s="82" customFormat="1" ht="12.75"/>
    <row r="338" s="82" customFormat="1" ht="12.75"/>
    <row r="339" s="82" customFormat="1" ht="12.75"/>
    <row r="340" s="82" customFormat="1" ht="12.75"/>
    <row r="341" s="82" customFormat="1" ht="12.75"/>
    <row r="342" s="82" customFormat="1" ht="12.75"/>
    <row r="343" s="82" customFormat="1" ht="12.75"/>
    <row r="344" s="82" customFormat="1" ht="12.75"/>
    <row r="345" s="82" customFormat="1" ht="12.75"/>
    <row r="346" s="82" customFormat="1" ht="12.75"/>
    <row r="347" s="82" customFormat="1" ht="12.75"/>
    <row r="348" s="82" customFormat="1" ht="12.75"/>
    <row r="349" s="82" customFormat="1" ht="12.75"/>
    <row r="350" s="82" customFormat="1" ht="12.75"/>
    <row r="351" s="82" customFormat="1" ht="12.75"/>
    <row r="352" s="82" customFormat="1" ht="12.75"/>
    <row r="353" s="82" customFormat="1" ht="12.75"/>
    <row r="354" s="82" customFormat="1" ht="12.75"/>
    <row r="355" s="82" customFormat="1" ht="12.75"/>
    <row r="356" s="82" customFormat="1" ht="12.75"/>
    <row r="357" s="82" customFormat="1" ht="12.75"/>
    <row r="358" s="82" customFormat="1" ht="12.75"/>
    <row r="359" s="82" customFormat="1" ht="12.75"/>
    <row r="360" s="82" customFormat="1" ht="12.75"/>
    <row r="361" s="82" customFormat="1" ht="12.75"/>
    <row r="362" s="82" customFormat="1" ht="12.75"/>
    <row r="363" s="82" customFormat="1" ht="12.75"/>
    <row r="364" s="82" customFormat="1" ht="12.75"/>
    <row r="365" s="82" customFormat="1" ht="12.75"/>
    <row r="366" s="82" customFormat="1" ht="12.75"/>
    <row r="367" s="82" customFormat="1" ht="12.75"/>
    <row r="368" s="82" customFormat="1" ht="12.75"/>
    <row r="369" s="82" customFormat="1" ht="12.75"/>
    <row r="370" s="82" customFormat="1" ht="12.75"/>
    <row r="371" s="82" customFormat="1" ht="12.75"/>
    <row r="372" s="82" customFormat="1" ht="12.75"/>
    <row r="373" s="82" customFormat="1" ht="12.75"/>
    <row r="374" s="82" customFormat="1" ht="12.75"/>
    <row r="375" s="82" customFormat="1" ht="12.75"/>
    <row r="376" s="82" customFormat="1" ht="12.75"/>
    <row r="377" s="82" customFormat="1" ht="12.75"/>
    <row r="378" s="82" customFormat="1" ht="12.75"/>
    <row r="379" s="82" customFormat="1" ht="12.75"/>
    <row r="380" s="82" customFormat="1" ht="12.75"/>
    <row r="381" s="82" customFormat="1" ht="12.75"/>
    <row r="382" s="82" customFormat="1" ht="12.75"/>
    <row r="383" s="82" customFormat="1" ht="12.75"/>
    <row r="384" s="82" customFormat="1" ht="12.75"/>
    <row r="385" s="82" customFormat="1" ht="12.75"/>
    <row r="386" s="82" customFormat="1" ht="12.75"/>
    <row r="387" s="82" customFormat="1" ht="12.75"/>
    <row r="388" s="82" customFormat="1" ht="12.75"/>
    <row r="389" s="82" customFormat="1" ht="12.75"/>
    <row r="390" s="82" customFormat="1" ht="12.75"/>
    <row r="391" s="82" customFormat="1" ht="12.75"/>
    <row r="392" s="82" customFormat="1" ht="12.75"/>
    <row r="393" s="82" customFormat="1" ht="12.75"/>
    <row r="394" s="82" customFormat="1" ht="12.75"/>
    <row r="395" s="82" customFormat="1" ht="12.75"/>
    <row r="396" s="82" customFormat="1" ht="12.75"/>
    <row r="397" s="82" customFormat="1" ht="12.75"/>
    <row r="398" s="82" customFormat="1" ht="12.75"/>
    <row r="399" s="82" customFormat="1" ht="12.75"/>
    <row r="400" s="82" customFormat="1" ht="12.75"/>
    <row r="401" s="82" customFormat="1" ht="12.75"/>
    <row r="402" s="82" customFormat="1" ht="12.75"/>
    <row r="403" s="82" customFormat="1" ht="12.75"/>
    <row r="404" s="82" customFormat="1" ht="12.75"/>
    <row r="405" s="82" customFormat="1" ht="12.75"/>
    <row r="406" s="82" customFormat="1" ht="12.75"/>
    <row r="407" s="82" customFormat="1" ht="12.75"/>
    <row r="408" s="82" customFormat="1" ht="12.75"/>
    <row r="409" s="82" customFormat="1" ht="12.75"/>
    <row r="410" s="82" customFormat="1" ht="12.75"/>
    <row r="411" s="82" customFormat="1" ht="12.75"/>
    <row r="412" s="82" customFormat="1" ht="12.75"/>
    <row r="413" s="82" customFormat="1" ht="12.75"/>
    <row r="414" s="82" customFormat="1" ht="12.75"/>
    <row r="415" s="82" customFormat="1" ht="12.75"/>
    <row r="416" s="82" customFormat="1" ht="12.75"/>
    <row r="417" s="82" customFormat="1" ht="12.75"/>
    <row r="418" s="82" customFormat="1" ht="12.75"/>
    <row r="419" s="82" customFormat="1" ht="12.75"/>
    <row r="420" s="82" customFormat="1" ht="12.75"/>
    <row r="421" s="82" customFormat="1" ht="12.75"/>
    <row r="422" s="82" customFormat="1" ht="12.75"/>
    <row r="423" s="82" customFormat="1" ht="12.75"/>
    <row r="424" s="82" customFormat="1" ht="12.75"/>
    <row r="425" s="82" customFormat="1" ht="12.75"/>
    <row r="426" s="82" customFormat="1" ht="12.75"/>
    <row r="427" s="82" customFormat="1" ht="12.75"/>
    <row r="428" s="82" customFormat="1" ht="12.75"/>
    <row r="429" s="82" customFormat="1" ht="12.75"/>
    <row r="430" s="82" customFormat="1" ht="12.75"/>
    <row r="431" s="82" customFormat="1" ht="12.75"/>
    <row r="432" s="82" customFormat="1" ht="12.75"/>
    <row r="433" s="82" customFormat="1" ht="12.75"/>
    <row r="434" s="82" customFormat="1" ht="12.75"/>
    <row r="435" s="82" customFormat="1" ht="12.75"/>
    <row r="436" s="82" customFormat="1" ht="12.75"/>
    <row r="437" s="82" customFormat="1" ht="12.75"/>
    <row r="438" s="82" customFormat="1" ht="12.75"/>
    <row r="439" s="82" customFormat="1" ht="12.75"/>
    <row r="440" s="82" customFormat="1" ht="12.75"/>
    <row r="441" s="82" customFormat="1" ht="12.75"/>
    <row r="442" s="82" customFormat="1" ht="12.75"/>
    <row r="443" s="82" customFormat="1" ht="12.75"/>
    <row r="444" s="82" customFormat="1" ht="12.75"/>
    <row r="445" s="82" customFormat="1" ht="12.75"/>
    <row r="446" s="82" customFormat="1" ht="12.75"/>
    <row r="447" s="82" customFormat="1" ht="12.75"/>
    <row r="448" s="82" customFormat="1" ht="12.75"/>
    <row r="449" s="82" customFormat="1" ht="12.75"/>
    <row r="450" s="82" customFormat="1" ht="12.75"/>
    <row r="451" s="82" customFormat="1" ht="12.75"/>
    <row r="452" s="82" customFormat="1" ht="12.75"/>
    <row r="453" s="82" customFormat="1" ht="12.75"/>
    <row r="454" s="82" customFormat="1" ht="12.75"/>
    <row r="455" s="82" customFormat="1" ht="12.75"/>
    <row r="456" s="82" customFormat="1" ht="12.75"/>
    <row r="457" s="82" customFormat="1" ht="12.75"/>
    <row r="458" s="82" customFormat="1" ht="12.75"/>
    <row r="459" s="82" customFormat="1" ht="12.75"/>
    <row r="460" s="82" customFormat="1" ht="12.75"/>
    <row r="461" s="82" customFormat="1" ht="12.75"/>
    <row r="462" s="82" customFormat="1" ht="12.75"/>
    <row r="463" s="82" customFormat="1" ht="12.75"/>
    <row r="464" s="82" customFormat="1" ht="12.75"/>
    <row r="465" s="82" customFormat="1" ht="12.75"/>
    <row r="466" s="82" customFormat="1" ht="12.75"/>
    <row r="467" s="82" customFormat="1" ht="12.75"/>
    <row r="468" s="82" customFormat="1" ht="12.75"/>
    <row r="469" s="82" customFormat="1" ht="12.75"/>
    <row r="470" s="82" customFormat="1" ht="12.75"/>
    <row r="471" s="82" customFormat="1" ht="12.75"/>
    <row r="472" s="82" customFormat="1" ht="12.75"/>
    <row r="473" s="82" customFormat="1" ht="12.75"/>
    <row r="474" s="82" customFormat="1" ht="12.75"/>
    <row r="475" s="82" customFormat="1" ht="12.75"/>
    <row r="476" s="82" customFormat="1" ht="12.75"/>
    <row r="477" s="82" customFormat="1" ht="12.75"/>
    <row r="478" s="82" customFormat="1" ht="12.75"/>
    <row r="479" s="82" customFormat="1" ht="12.75"/>
    <row r="480" s="82" customFormat="1" ht="12.75"/>
    <row r="481" s="82" customFormat="1" ht="12.75"/>
    <row r="482" s="82" customFormat="1" ht="12.75"/>
    <row r="483" s="82" customFormat="1" ht="12.75"/>
    <row r="484" s="82" customFormat="1" ht="12.75"/>
    <row r="485" s="82" customFormat="1" ht="12.75"/>
    <row r="486" s="82" customFormat="1" ht="12.75"/>
    <row r="487" s="82" customFormat="1" ht="12.75"/>
    <row r="488" s="82" customFormat="1" ht="12.75"/>
    <row r="489" s="82" customFormat="1" ht="12.75"/>
    <row r="490" s="82" customFormat="1" ht="12.75"/>
    <row r="491" s="82" customFormat="1" ht="12.75"/>
    <row r="492" s="82" customFormat="1" ht="12.75"/>
    <row r="493" s="82" customFormat="1" ht="12.75"/>
    <row r="494" s="82" customFormat="1" ht="12.75"/>
    <row r="495" s="82" customFormat="1" ht="12.75"/>
    <row r="496" s="82" customFormat="1" ht="12.75"/>
    <row r="497" s="82" customFormat="1" ht="12.75"/>
    <row r="498" s="82" customFormat="1" ht="12.75"/>
    <row r="499" s="82" customFormat="1" ht="12.75"/>
    <row r="500" s="82" customFormat="1" ht="12.75"/>
    <row r="501" s="82" customFormat="1" ht="12.75"/>
    <row r="502" s="82" customFormat="1" ht="12.75"/>
    <row r="503" s="82" customFormat="1" ht="12.75"/>
    <row r="504" s="82" customFormat="1" ht="12.75"/>
    <row r="505" s="82" customFormat="1" ht="12.75"/>
    <row r="506" s="82" customFormat="1" ht="12.75"/>
    <row r="507" s="82" customFormat="1" ht="12.75"/>
    <row r="508" s="82" customFormat="1" ht="12.75"/>
    <row r="509" s="82" customFormat="1" ht="12.75"/>
    <row r="510" s="82" customFormat="1" ht="12.75"/>
    <row r="511" s="82" customFormat="1" ht="12.75"/>
    <row r="512" s="82" customFormat="1" ht="12.75"/>
    <row r="513" s="82" customFormat="1" ht="12.75"/>
    <row r="514" s="82" customFormat="1" ht="12.75"/>
    <row r="515" s="82" customFormat="1" ht="12.75"/>
    <row r="516" s="82" customFormat="1" ht="12.75"/>
    <row r="517" s="82" customFormat="1" ht="12.75"/>
    <row r="518" s="82" customFormat="1" ht="12.75"/>
    <row r="519" s="82" customFormat="1" ht="12.75"/>
    <row r="520" s="82" customFormat="1" ht="12.75"/>
    <row r="521" s="82" customFormat="1" ht="12.75"/>
    <row r="522" s="82" customFormat="1" ht="12.75"/>
    <row r="523" s="82" customFormat="1" ht="12.75"/>
    <row r="524" s="82" customFormat="1" ht="12.75"/>
    <row r="525" s="82" customFormat="1" ht="12.75"/>
    <row r="526" s="82" customFormat="1" ht="12.75"/>
    <row r="527" s="82" customFormat="1" ht="12.75"/>
    <row r="528" s="82" customFormat="1" ht="12.75"/>
    <row r="529" s="82" customFormat="1" ht="12.75"/>
    <row r="530" s="82" customFormat="1" ht="12.75"/>
    <row r="531" s="82" customFormat="1" ht="12.75"/>
    <row r="532" s="82" customFormat="1" ht="12.75"/>
    <row r="533" s="82" customFormat="1" ht="12.75"/>
    <row r="534" s="82" customFormat="1" ht="12.75"/>
    <row r="535" s="82" customFormat="1" ht="12.75"/>
    <row r="536" s="82" customFormat="1" ht="12.75"/>
    <row r="537" s="82" customFormat="1" ht="12.75"/>
    <row r="538" s="82" customFormat="1" ht="12.75"/>
    <row r="539" s="82" customFormat="1" ht="12.75"/>
    <row r="540" s="82" customFormat="1" ht="12.75"/>
    <row r="541" s="82" customFormat="1" ht="12.75"/>
    <row r="542" s="82" customFormat="1" ht="12.75"/>
    <row r="543" s="82" customFormat="1" ht="12.75"/>
    <row r="544" s="82" customFormat="1" ht="12.75"/>
    <row r="545" s="82" customFormat="1" ht="12.75"/>
    <row r="546" s="82" customFormat="1" ht="12.75"/>
    <row r="547" s="82" customFormat="1" ht="12.75"/>
    <row r="548" s="82" customFormat="1" ht="12.75"/>
    <row r="549" s="82" customFormat="1" ht="12.75"/>
    <row r="550" s="82" customFormat="1" ht="12.75"/>
    <row r="551" s="82" customFormat="1" ht="12.75"/>
    <row r="552" s="82" customFormat="1" ht="12.75"/>
    <row r="553" s="82" customFormat="1" ht="12.75"/>
    <row r="554" s="82" customFormat="1" ht="12.75"/>
    <row r="555" s="82" customFormat="1" ht="12.75"/>
    <row r="556" s="82" customFormat="1" ht="12.75"/>
    <row r="557" s="82" customFormat="1" ht="12.75"/>
    <row r="558" s="82" customFormat="1" ht="12.75"/>
    <row r="559" s="82" customFormat="1" ht="12.75"/>
    <row r="560" s="82" customFormat="1" ht="12.75"/>
    <row r="561" s="82" customFormat="1" ht="12.75"/>
    <row r="562" s="82" customFormat="1" ht="12.75"/>
    <row r="563" s="82" customFormat="1" ht="12.75"/>
    <row r="564" s="82" customFormat="1" ht="12.75"/>
    <row r="565" s="82" customFormat="1" ht="12.75"/>
    <row r="566" s="82" customFormat="1" ht="12.75"/>
    <row r="567" s="82" customFormat="1" ht="12.75"/>
    <row r="568" s="82" customFormat="1" ht="12.75"/>
    <row r="569" s="82" customFormat="1" ht="12.75"/>
    <row r="570" s="82" customFormat="1" ht="12.75"/>
    <row r="571" s="82" customFormat="1" ht="12.75"/>
    <row r="572" s="82" customFormat="1" ht="12.75"/>
    <row r="573" s="82" customFormat="1" ht="12.75"/>
    <row r="574" s="82" customFormat="1" ht="12.75"/>
    <row r="575" s="82" customFormat="1" ht="12.75"/>
    <row r="576" s="82" customFormat="1" ht="12.75"/>
    <row r="577" s="82" customFormat="1" ht="12.75"/>
    <row r="578" s="82" customFormat="1" ht="12.75"/>
    <row r="579" s="82" customFormat="1" ht="12.75"/>
    <row r="580" s="82" customFormat="1" ht="12.75"/>
    <row r="581" s="82" customFormat="1" ht="12.75"/>
    <row r="582" s="82" customFormat="1" ht="12.75"/>
    <row r="583" s="82" customFormat="1" ht="12.75"/>
    <row r="584" s="82" customFormat="1" ht="12.75"/>
    <row r="585" s="82" customFormat="1" ht="12.75"/>
    <row r="586" s="82" customFormat="1" ht="12.75"/>
    <row r="587" s="82" customFormat="1" ht="12.75"/>
    <row r="588" s="82" customFormat="1" ht="12.75"/>
    <row r="589" s="82" customFormat="1" ht="12.75"/>
    <row r="590" s="82" customFormat="1" ht="12.75"/>
    <row r="591" s="82" customFormat="1" ht="12.75"/>
    <row r="592" s="82" customFormat="1" ht="12.75"/>
    <row r="593" s="82" customFormat="1" ht="12.75"/>
    <row r="594" s="82" customFormat="1" ht="12.75"/>
    <row r="595" s="82" customFormat="1" ht="12.75"/>
    <row r="596" s="82" customFormat="1" ht="12.75"/>
    <row r="597" s="82" customFormat="1" ht="12.75"/>
    <row r="598" s="82" customFormat="1" ht="12.75"/>
    <row r="599" s="82" customFormat="1" ht="12.75"/>
    <row r="600" s="82" customFormat="1" ht="12.75"/>
    <row r="601" s="82" customFormat="1" ht="12.75"/>
    <row r="602" s="82" customFormat="1" ht="12.75"/>
    <row r="603" s="82" customFormat="1" ht="12.75"/>
    <row r="604" s="82" customFormat="1" ht="12.75"/>
    <row r="605" s="82" customFormat="1" ht="12.75"/>
    <row r="606" s="82" customFormat="1" ht="12.75"/>
    <row r="607" s="82" customFormat="1" ht="12.75"/>
    <row r="608" s="82" customFormat="1" ht="12.75"/>
    <row r="609" s="82" customFormat="1" ht="12.75"/>
    <row r="610" s="82" customFormat="1" ht="12.75"/>
    <row r="611" s="82" customFormat="1" ht="12.75"/>
    <row r="612" s="82" customFormat="1" ht="12.75"/>
    <row r="613" s="82" customFormat="1" ht="12.75"/>
    <row r="614" s="82" customFormat="1" ht="12.75"/>
    <row r="615" s="82" customFormat="1" ht="12.75"/>
    <row r="616" s="82" customFormat="1" ht="12.75"/>
    <row r="617" s="82" customFormat="1" ht="12.75"/>
    <row r="618" s="82" customFormat="1" ht="12.75"/>
    <row r="619" s="82" customFormat="1" ht="12.75"/>
    <row r="620" s="82" customFormat="1" ht="12.75"/>
    <row r="621" s="82" customFormat="1" ht="12.75"/>
    <row r="622" s="82" customFormat="1" ht="12.75"/>
    <row r="623" s="82" customFormat="1" ht="12.75"/>
    <row r="624" s="82" customFormat="1" ht="12.75"/>
    <row r="625" s="82" customFormat="1" ht="12.75"/>
    <row r="626" s="82" customFormat="1" ht="12.75"/>
    <row r="627" s="82" customFormat="1" ht="12.75"/>
    <row r="628" s="82" customFormat="1" ht="12.75"/>
    <row r="629" s="82" customFormat="1" ht="12.75"/>
    <row r="630" s="82" customFormat="1" ht="12.75"/>
    <row r="631" s="82" customFormat="1" ht="12.75"/>
    <row r="632" s="82" customFormat="1" ht="12.75"/>
    <row r="633" s="82" customFormat="1" ht="12.75"/>
    <row r="634" s="82" customFormat="1" ht="12.75"/>
    <row r="635" s="82" customFormat="1" ht="12.75"/>
    <row r="636" s="82" customFormat="1" ht="12.75"/>
    <row r="637" s="82" customFormat="1" ht="12.75"/>
  </sheetData>
  <sheetProtection algorithmName="SHA-512" hashValue="dL1C7FwL9ohcJz7LI4NisWK92JMymsO3uT3UO13gFbRgojEVddfy0cXBPt8NoO8TFUK4KAIuc2E/paQ9k2B5dA==" saltValue="WAU1zRGyod+6gVpIAoxCWw==" spinCount="100000" sheet="1" objects="1" scenarios="1"/>
  <mergeCells count="135">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8"/>
  <sheetViews>
    <sheetView showZeros="0" workbookViewId="0" topLeftCell="A1">
      <selection pane="topLeft" activeCell="K4" sqref="K4"/>
    </sheetView>
  </sheetViews>
  <sheetFormatPr defaultColWidth="9.14428571428571" defaultRowHeight="12.75"/>
  <cols>
    <col min="1" max="1" width="11.1428571428571" style="24" customWidth="1"/>
    <col min="2" max="2" width="20.4285714285714" style="24" customWidth="1"/>
    <col min="3" max="3" width="14.1428571428571" style="24" customWidth="1"/>
    <col min="4" max="4" width="4.85714285714286" style="24" customWidth="1"/>
    <col min="5" max="5" width="11.8571428571429" style="24" customWidth="1"/>
    <col min="6" max="6" width="11" style="24" customWidth="1"/>
    <col min="7" max="7" width="3.14285714285714" style="24" customWidth="1"/>
    <col min="8" max="8" width="6.71428571428571" style="24" customWidth="1"/>
    <col min="9" max="9" width="10.2857142857143" style="24" customWidth="1"/>
    <col min="10" max="11" width="6.71428571428571" style="24" customWidth="1"/>
    <col min="12" max="16384" width="9.14285714285714" style="23"/>
  </cols>
  <sheetData>
    <row r="1" spans="1:11" ht="12.75">
      <c r="A1" s="917" t="s">
        <v>3447</v>
      </c>
      <c r="B1" s="918"/>
      <c r="C1" s="918"/>
      <c r="D1" s="918"/>
      <c r="E1" s="918"/>
      <c r="F1" s="918"/>
      <c r="G1" s="918"/>
      <c r="H1" s="918"/>
      <c r="I1" s="918"/>
      <c r="J1" s="918"/>
      <c r="K1" s="918"/>
    </row>
    <row r="2" spans="1:11" ht="14.1" customHeight="1" thickBot="1">
      <c r="A2" s="919" t="s">
        <v>3448</v>
      </c>
      <c r="B2" s="920"/>
      <c r="C2" s="920"/>
      <c r="D2" s="920"/>
      <c r="E2" s="920"/>
      <c r="F2" s="920"/>
      <c r="G2" s="920"/>
      <c r="H2" s="920"/>
      <c r="I2" s="920"/>
      <c r="J2" s="920"/>
      <c r="K2" s="920"/>
    </row>
    <row r="3" spans="1:11" ht="17.1" customHeight="1">
      <c r="A3" s="921" t="s">
        <v>139</v>
      </c>
      <c r="B3" s="922"/>
      <c r="C3" s="922"/>
      <c r="D3" s="922"/>
      <c r="E3" s="922"/>
      <c r="F3" s="922"/>
      <c r="G3" s="922"/>
      <c r="H3" s="922"/>
      <c r="I3" s="922"/>
      <c r="J3" s="923"/>
      <c r="K3" s="226"/>
    </row>
    <row r="4" spans="1:11" ht="15" customHeight="1">
      <c r="A4" s="866" t="s">
        <v>3450</v>
      </c>
      <c r="B4" s="867"/>
      <c r="C4" s="867"/>
      <c r="D4" s="867"/>
      <c r="E4" s="867"/>
      <c r="F4" s="867"/>
      <c r="G4" s="867"/>
      <c r="H4" s="867"/>
      <c r="I4" s="868"/>
      <c r="J4" s="869"/>
      <c r="K4" s="224"/>
    </row>
    <row r="5" spans="1:11" ht="15" customHeight="1">
      <c r="A5" s="866" t="s">
        <v>3568</v>
      </c>
      <c r="B5" s="867"/>
      <c r="C5" s="867"/>
      <c r="D5" s="867"/>
      <c r="E5" s="867"/>
      <c r="F5" s="867"/>
      <c r="G5" s="867"/>
      <c r="H5" s="867"/>
      <c r="I5" s="868"/>
      <c r="J5" s="869"/>
      <c r="K5" s="224"/>
    </row>
    <row r="6" spans="1:11" ht="15" customHeight="1">
      <c r="A6" s="866" t="s">
        <v>3449</v>
      </c>
      <c r="B6" s="867"/>
      <c r="C6" s="867"/>
      <c r="D6" s="867"/>
      <c r="E6" s="867"/>
      <c r="F6" s="867"/>
      <c r="G6" s="867"/>
      <c r="H6" s="867"/>
      <c r="I6" s="868"/>
      <c r="J6" s="869"/>
      <c r="K6" s="224"/>
    </row>
    <row r="7" spans="1:11" ht="15" customHeight="1">
      <c r="A7" s="866" t="s">
        <v>226</v>
      </c>
      <c r="B7" s="867"/>
      <c r="C7" s="867"/>
      <c r="D7" s="867"/>
      <c r="E7" s="867"/>
      <c r="F7" s="867"/>
      <c r="G7" s="867"/>
      <c r="H7" s="867"/>
      <c r="I7" s="868"/>
      <c r="J7" s="869"/>
      <c r="K7" s="224"/>
    </row>
    <row r="8" spans="1:11" ht="24" customHeight="1">
      <c r="A8" s="866" t="s">
        <v>3451</v>
      </c>
      <c r="B8" s="867"/>
      <c r="C8" s="867"/>
      <c r="D8" s="867"/>
      <c r="E8" s="867"/>
      <c r="F8" s="867"/>
      <c r="G8" s="867"/>
      <c r="H8" s="867"/>
      <c r="I8" s="868"/>
      <c r="J8" s="869"/>
      <c r="K8" s="224"/>
    </row>
    <row r="9" spans="1:11" ht="15" customHeight="1">
      <c r="A9" s="866" t="s">
        <v>81</v>
      </c>
      <c r="B9" s="867"/>
      <c r="C9" s="867"/>
      <c r="D9" s="867"/>
      <c r="E9" s="867"/>
      <c r="F9" s="867"/>
      <c r="G9" s="867"/>
      <c r="H9" s="867"/>
      <c r="I9" s="868"/>
      <c r="J9" s="869"/>
      <c r="K9" s="224"/>
    </row>
    <row r="10" spans="1:11" ht="15" customHeight="1">
      <c r="A10" s="866" t="s">
        <v>3569</v>
      </c>
      <c r="B10" s="867"/>
      <c r="C10" s="867"/>
      <c r="D10" s="867"/>
      <c r="E10" s="867"/>
      <c r="F10" s="867"/>
      <c r="G10" s="867"/>
      <c r="H10" s="867"/>
      <c r="I10" s="868"/>
      <c r="J10" s="869"/>
      <c r="K10" s="224"/>
    </row>
    <row r="11" spans="1:11" ht="15" customHeight="1">
      <c r="A11" s="866" t="s">
        <v>3570</v>
      </c>
      <c r="B11" s="867"/>
      <c r="C11" s="867"/>
      <c r="D11" s="867"/>
      <c r="E11" s="867"/>
      <c r="F11" s="867"/>
      <c r="G11" s="867"/>
      <c r="H11" s="867"/>
      <c r="I11" s="868"/>
      <c r="J11" s="869"/>
      <c r="K11" s="224"/>
    </row>
    <row r="12" spans="1:11" ht="15" customHeight="1">
      <c r="A12" s="866" t="s">
        <v>3571</v>
      </c>
      <c r="B12" s="867"/>
      <c r="C12" s="867"/>
      <c r="D12" s="867"/>
      <c r="E12" s="867"/>
      <c r="F12" s="867"/>
      <c r="G12" s="867"/>
      <c r="H12" s="867"/>
      <c r="I12" s="868"/>
      <c r="J12" s="869"/>
      <c r="K12" s="224"/>
    </row>
    <row r="13" spans="1:11" ht="15" customHeight="1">
      <c r="A13" s="866" t="s">
        <v>3572</v>
      </c>
      <c r="B13" s="867"/>
      <c r="C13" s="867"/>
      <c r="D13" s="867"/>
      <c r="E13" s="867"/>
      <c r="F13" s="867"/>
      <c r="G13" s="867"/>
      <c r="H13" s="867"/>
      <c r="I13" s="868"/>
      <c r="J13" s="869"/>
      <c r="K13" s="224"/>
    </row>
    <row r="14" spans="1:11" ht="15" customHeight="1">
      <c r="A14" s="866" t="s">
        <v>3573</v>
      </c>
      <c r="B14" s="867"/>
      <c r="C14" s="867"/>
      <c r="D14" s="867"/>
      <c r="E14" s="867"/>
      <c r="F14" s="867"/>
      <c r="G14" s="867"/>
      <c r="H14" s="867"/>
      <c r="I14" s="868"/>
      <c r="J14" s="869"/>
      <c r="K14" s="224"/>
    </row>
    <row r="15" spans="1:11" ht="15" customHeight="1">
      <c r="A15" s="866" t="s">
        <v>3521</v>
      </c>
      <c r="B15" s="867"/>
      <c r="C15" s="867"/>
      <c r="D15" s="867"/>
      <c r="E15" s="867"/>
      <c r="F15" s="867"/>
      <c r="G15" s="867"/>
      <c r="H15" s="867"/>
      <c r="I15" s="868"/>
      <c r="J15" s="869"/>
      <c r="K15" s="224"/>
    </row>
    <row r="16" spans="1:11" ht="15" customHeight="1">
      <c r="A16" s="866" t="s">
        <v>210</v>
      </c>
      <c r="B16" s="867"/>
      <c r="C16" s="867"/>
      <c r="D16" s="867"/>
      <c r="E16" s="867"/>
      <c r="F16" s="867"/>
      <c r="G16" s="867"/>
      <c r="H16" s="867"/>
      <c r="I16" s="868"/>
      <c r="J16" s="869"/>
      <c r="K16" s="224"/>
    </row>
    <row r="17" spans="1:11" ht="15" customHeight="1">
      <c r="A17" s="866" t="s">
        <v>3651</v>
      </c>
      <c r="B17" s="867"/>
      <c r="C17" s="867"/>
      <c r="D17" s="867"/>
      <c r="E17" s="867"/>
      <c r="F17" s="867"/>
      <c r="G17" s="867"/>
      <c r="H17" s="867"/>
      <c r="I17" s="868"/>
      <c r="J17" s="869"/>
      <c r="K17" s="224"/>
    </row>
    <row r="18" spans="1:11" ht="15" customHeight="1">
      <c r="A18" s="866" t="s">
        <v>82</v>
      </c>
      <c r="B18" s="867"/>
      <c r="C18" s="867"/>
      <c r="D18" s="867"/>
      <c r="E18" s="867"/>
      <c r="F18" s="867"/>
      <c r="G18" s="867"/>
      <c r="H18" s="867"/>
      <c r="I18" s="868"/>
      <c r="J18" s="869"/>
      <c r="K18" s="224"/>
    </row>
    <row r="19" spans="1:11" ht="15" customHeight="1">
      <c r="A19" s="866" t="s">
        <v>83</v>
      </c>
      <c r="B19" s="867"/>
      <c r="C19" s="867"/>
      <c r="D19" s="867"/>
      <c r="E19" s="867"/>
      <c r="F19" s="867"/>
      <c r="G19" s="867"/>
      <c r="H19" s="867"/>
      <c r="I19" s="868"/>
      <c r="J19" s="869"/>
      <c r="K19" s="224"/>
    </row>
    <row r="20" spans="1:11" ht="15" customHeight="1">
      <c r="A20" s="866" t="s">
        <v>264</v>
      </c>
      <c r="B20" s="867"/>
      <c r="C20" s="867"/>
      <c r="D20" s="867"/>
      <c r="E20" s="867"/>
      <c r="F20" s="867"/>
      <c r="G20" s="867"/>
      <c r="H20" s="867"/>
      <c r="I20" s="868"/>
      <c r="J20" s="869"/>
      <c r="K20" s="224"/>
    </row>
    <row r="21" spans="1:11" ht="15" customHeight="1">
      <c r="A21" s="877" t="s">
        <v>3677</v>
      </c>
      <c r="B21" s="878"/>
      <c r="C21" s="878"/>
      <c r="D21" s="878"/>
      <c r="E21" s="878"/>
      <c r="F21" s="878"/>
      <c r="G21" s="878"/>
      <c r="H21" s="878"/>
      <c r="I21" s="879"/>
      <c r="J21" s="880"/>
      <c r="K21" s="224"/>
    </row>
    <row r="22" spans="1:11" ht="24" customHeight="1">
      <c r="A22" s="877" t="s">
        <v>3678</v>
      </c>
      <c r="B22" s="878"/>
      <c r="C22" s="878"/>
      <c r="D22" s="878"/>
      <c r="E22" s="878"/>
      <c r="F22" s="878"/>
      <c r="G22" s="878"/>
      <c r="H22" s="878"/>
      <c r="I22" s="879"/>
      <c r="J22" s="880"/>
      <c r="K22" s="224"/>
    </row>
    <row r="23" spans="1:11" ht="15" customHeight="1">
      <c r="A23" s="866" t="s">
        <v>143</v>
      </c>
      <c r="B23" s="867"/>
      <c r="C23" s="867"/>
      <c r="D23" s="867"/>
      <c r="E23" s="867"/>
      <c r="F23" s="867"/>
      <c r="G23" s="867"/>
      <c r="H23" s="867"/>
      <c r="I23" s="868"/>
      <c r="J23" s="869"/>
      <c r="K23" s="224"/>
    </row>
    <row r="24" spans="1:11" ht="15" customHeight="1" thickBot="1">
      <c r="A24" s="913" t="s">
        <v>84</v>
      </c>
      <c r="B24" s="914"/>
      <c r="C24" s="914"/>
      <c r="D24" s="914"/>
      <c r="E24" s="914"/>
      <c r="F24" s="914"/>
      <c r="G24" s="914"/>
      <c r="H24" s="914"/>
      <c r="I24" s="915"/>
      <c r="J24" s="916"/>
      <c r="K24" s="225">
        <f>SUM(K4:K23)</f>
        <v>0</v>
      </c>
    </row>
    <row r="25" spans="1:11" ht="15" customHeight="1" thickBot="1">
      <c r="A25" s="870"/>
      <c r="B25" s="870"/>
      <c r="C25" s="870"/>
      <c r="D25" s="870"/>
      <c r="E25" s="870"/>
      <c r="F25" s="870"/>
      <c r="G25" s="870"/>
      <c r="H25" s="870"/>
      <c r="I25" s="870"/>
      <c r="J25" s="870"/>
      <c r="K25" s="870"/>
    </row>
    <row r="26" spans="1:11" ht="14.1" customHeight="1">
      <c r="A26" s="931" t="s">
        <v>3453</v>
      </c>
      <c r="B26" s="711"/>
      <c r="C26" s="874" t="s">
        <v>3452</v>
      </c>
      <c r="D26" s="874"/>
      <c r="E26" s="942"/>
      <c r="F26" s="942"/>
      <c r="G26" s="942"/>
      <c r="H26" s="942"/>
      <c r="I26" s="942"/>
      <c r="J26" s="942"/>
      <c r="K26" s="943"/>
    </row>
    <row r="27" spans="1:11" ht="18" customHeight="1">
      <c r="A27" s="928"/>
      <c r="B27" s="929"/>
      <c r="C27" s="875"/>
      <c r="D27" s="876"/>
      <c r="E27" s="623"/>
      <c r="F27" s="623"/>
      <c r="G27" s="623"/>
      <c r="H27" s="623"/>
      <c r="I27" s="623"/>
      <c r="J27" s="623"/>
      <c r="K27" s="930"/>
    </row>
    <row r="28" spans="1:11" ht="14.1" customHeight="1">
      <c r="A28" s="871" t="s">
        <v>265</v>
      </c>
      <c r="B28" s="872"/>
      <c r="C28" s="872"/>
      <c r="D28" s="872"/>
      <c r="E28" s="872"/>
      <c r="F28" s="872"/>
      <c r="G28" s="872"/>
      <c r="H28" s="872"/>
      <c r="I28" s="872"/>
      <c r="J28" s="872"/>
      <c r="K28" s="873"/>
    </row>
    <row r="29" spans="1:11" ht="18" customHeight="1">
      <c r="A29" s="863" t="str">
        <f>+CONCATENATE(ZAKL_DATA!D21," ",ZAKL_DATA!D20," ",ZAKL_DATA!D22)</f>
        <v xml:space="preserve">  </v>
      </c>
      <c r="B29" s="864"/>
      <c r="C29" s="864"/>
      <c r="D29" s="864"/>
      <c r="E29" s="864"/>
      <c r="F29" s="864"/>
      <c r="G29" s="864"/>
      <c r="H29" s="864"/>
      <c r="I29" s="864"/>
      <c r="J29" s="864"/>
      <c r="K29" s="865"/>
    </row>
    <row r="30" spans="1:11" ht="14.1" customHeight="1">
      <c r="A30" s="871" t="s">
        <v>37</v>
      </c>
      <c r="B30" s="872"/>
      <c r="C30" s="872"/>
      <c r="D30" s="872"/>
      <c r="E30" s="872"/>
      <c r="F30" s="872"/>
      <c r="G30" s="872"/>
      <c r="H30" s="872"/>
      <c r="I30" s="872"/>
      <c r="J30" s="872"/>
      <c r="K30" s="873"/>
    </row>
    <row r="31" spans="1:11" ht="18" customHeight="1">
      <c r="A31" s="863"/>
      <c r="B31" s="864"/>
      <c r="C31" s="864"/>
      <c r="D31" s="864"/>
      <c r="E31" s="864"/>
      <c r="F31" s="864"/>
      <c r="G31" s="864"/>
      <c r="H31" s="864"/>
      <c r="I31" s="864"/>
      <c r="J31" s="864"/>
      <c r="K31" s="865"/>
    </row>
    <row r="32" spans="1:11" ht="14.1" customHeight="1">
      <c r="A32" s="927" t="s">
        <v>3652</v>
      </c>
      <c r="B32" s="872"/>
      <c r="C32" s="872"/>
      <c r="D32" s="872"/>
      <c r="E32" s="872"/>
      <c r="F32" s="872"/>
      <c r="G32" s="872"/>
      <c r="H32" s="872"/>
      <c r="I32" s="872"/>
      <c r="J32" s="872"/>
      <c r="K32" s="873"/>
    </row>
    <row r="33" spans="1:11" ht="14.1" customHeight="1">
      <c r="A33" s="927" t="s">
        <v>3454</v>
      </c>
      <c r="B33" s="872"/>
      <c r="C33" s="872"/>
      <c r="D33" s="872"/>
      <c r="E33" s="872"/>
      <c r="F33" s="872"/>
      <c r="G33" s="872"/>
      <c r="H33" s="872"/>
      <c r="I33" s="872"/>
      <c r="J33" s="872"/>
      <c r="K33" s="873"/>
    </row>
    <row r="34" spans="1:11" ht="14.1" customHeight="1">
      <c r="A34" s="871" t="s">
        <v>266</v>
      </c>
      <c r="B34" s="872"/>
      <c r="C34" s="872"/>
      <c r="D34" s="872"/>
      <c r="E34" s="872"/>
      <c r="F34" s="872"/>
      <c r="G34" s="872"/>
      <c r="H34" s="872"/>
      <c r="I34" s="872"/>
      <c r="J34" s="872"/>
      <c r="K34" s="873"/>
    </row>
    <row r="35" spans="1:11" ht="18" customHeight="1">
      <c r="A35" s="863" t="str">
        <f>+CONCATENATE(ZAKL_DATA!D21," ",ZAKL_DATA!D20," ",ZAKL_DATA!D22)</f>
        <v xml:space="preserve">  </v>
      </c>
      <c r="B35" s="864"/>
      <c r="C35" s="864"/>
      <c r="D35" s="864"/>
      <c r="E35" s="864"/>
      <c r="F35" s="864"/>
      <c r="G35" s="864"/>
      <c r="H35" s="864"/>
      <c r="I35" s="864"/>
      <c r="J35" s="864"/>
      <c r="K35" s="865"/>
    </row>
    <row r="36" spans="1:11" ht="5.1" customHeight="1" thickBot="1">
      <c r="A36" s="924"/>
      <c r="B36" s="925"/>
      <c r="C36" s="925"/>
      <c r="D36" s="925"/>
      <c r="E36" s="925"/>
      <c r="F36" s="925"/>
      <c r="G36" s="925"/>
      <c r="H36" s="925"/>
      <c r="I36" s="925"/>
      <c r="J36" s="925"/>
      <c r="K36" s="926"/>
    </row>
    <row r="37" spans="1:11" ht="5.1" customHeight="1" thickBot="1">
      <c r="A37" s="949"/>
      <c r="B37" s="950"/>
      <c r="C37" s="950"/>
      <c r="D37" s="950"/>
      <c r="E37" s="950"/>
      <c r="F37" s="950"/>
      <c r="G37" s="950"/>
      <c r="H37" s="950"/>
      <c r="I37" s="950"/>
      <c r="J37" s="950"/>
      <c r="K37" s="950"/>
    </row>
    <row r="38" spans="1:11" ht="18" customHeight="1">
      <c r="A38" s="951" t="s">
        <v>211</v>
      </c>
      <c r="B38" s="952"/>
      <c r="C38" s="952"/>
      <c r="D38" s="952"/>
      <c r="E38" s="952"/>
      <c r="F38" s="952"/>
      <c r="G38" s="952"/>
      <c r="H38" s="952"/>
      <c r="I38" s="952"/>
      <c r="J38" s="952"/>
      <c r="K38" s="953"/>
    </row>
    <row r="39" spans="1:11" ht="21.75" customHeight="1">
      <c r="A39" s="947" t="s">
        <v>316</v>
      </c>
      <c r="B39" s="948"/>
      <c r="C39" s="900" t="s">
        <v>3455</v>
      </c>
      <c r="D39" s="900"/>
      <c r="E39" s="900"/>
      <c r="F39" s="900"/>
      <c r="G39" s="944" t="s">
        <v>268</v>
      </c>
      <c r="H39" s="945"/>
      <c r="I39" s="945"/>
      <c r="J39" s="945"/>
      <c r="K39" s="946"/>
    </row>
    <row r="40" spans="1:11" ht="18" customHeight="1">
      <c r="A40" s="956">
        <f ca="1">+TODAY()</f>
        <v>44254</v>
      </c>
      <c r="B40" s="957"/>
      <c r="C40" s="900"/>
      <c r="D40" s="900"/>
      <c r="E40" s="900"/>
      <c r="F40" s="900"/>
      <c r="G40" s="894"/>
      <c r="H40" s="895"/>
      <c r="I40" s="895"/>
      <c r="J40" s="895"/>
      <c r="K40" s="896"/>
    </row>
    <row r="41" spans="1:11" ht="18" customHeight="1">
      <c r="A41" s="954"/>
      <c r="B41" s="955"/>
      <c r="C41" s="900"/>
      <c r="D41" s="900"/>
      <c r="E41" s="900"/>
      <c r="F41" s="900"/>
      <c r="G41" s="897"/>
      <c r="H41" s="898"/>
      <c r="I41" s="898"/>
      <c r="J41" s="898"/>
      <c r="K41" s="899"/>
    </row>
    <row r="42" spans="1:11" ht="5.1" customHeight="1" thickBot="1">
      <c r="A42" s="901"/>
      <c r="B42" s="637"/>
      <c r="C42" s="637"/>
      <c r="D42" s="637"/>
      <c r="E42" s="637"/>
      <c r="F42" s="637"/>
      <c r="G42" s="637"/>
      <c r="H42" s="637"/>
      <c r="I42" s="637"/>
      <c r="J42" s="637"/>
      <c r="K42" s="902"/>
    </row>
    <row r="43" spans="1:11" ht="5.1" customHeight="1">
      <c r="A43" s="749"/>
      <c r="B43" s="750"/>
      <c r="C43" s="750"/>
      <c r="D43" s="750"/>
      <c r="E43" s="750"/>
      <c r="F43" s="750"/>
      <c r="G43" s="750"/>
      <c r="H43" s="750"/>
      <c r="I43" s="750"/>
      <c r="J43" s="750"/>
      <c r="K43" s="750"/>
    </row>
    <row r="44" spans="1:11" s="25" customFormat="1" ht="14.1" customHeight="1">
      <c r="A44" s="939"/>
      <c r="B44" s="510"/>
      <c r="C44" s="510"/>
      <c r="D44" s="510"/>
      <c r="E44" s="510"/>
      <c r="F44" s="910" t="s">
        <v>230</v>
      </c>
      <c r="G44" s="555"/>
      <c r="H44" s="555"/>
      <c r="I44" s="555"/>
      <c r="J44" s="555"/>
      <c r="K44" s="556"/>
    </row>
    <row r="45" spans="1:11" s="25" customFormat="1" ht="9.95" customHeight="1">
      <c r="A45" s="940" t="s">
        <v>138</v>
      </c>
      <c r="B45" s="510"/>
      <c r="C45" s="510"/>
      <c r="D45" s="510"/>
      <c r="E45" s="510"/>
      <c r="F45" s="557"/>
      <c r="G45" s="558"/>
      <c r="H45" s="558"/>
      <c r="I45" s="558"/>
      <c r="J45" s="558"/>
      <c r="K45" s="537"/>
    </row>
    <row r="46" spans="1:11" s="25" customFormat="1" ht="30.75" customHeight="1">
      <c r="A46" s="937" t="s">
        <v>3456</v>
      </c>
      <c r="B46" s="938"/>
      <c r="C46" s="938"/>
      <c r="D46" s="938"/>
      <c r="E46" s="938"/>
      <c r="F46" s="557"/>
      <c r="G46" s="558"/>
      <c r="H46" s="558"/>
      <c r="I46" s="558"/>
      <c r="J46" s="558"/>
      <c r="K46" s="537"/>
    </row>
    <row r="47" spans="1:11" s="25" customFormat="1" ht="20.1" customHeight="1">
      <c r="A47" s="908" t="s">
        <v>85</v>
      </c>
      <c r="B47" s="909"/>
      <c r="C47" s="909"/>
      <c r="D47" s="909"/>
      <c r="E47" s="909"/>
      <c r="F47" s="559"/>
      <c r="G47" s="560"/>
      <c r="H47" s="560"/>
      <c r="I47" s="560"/>
      <c r="J47" s="560"/>
      <c r="K47" s="561"/>
    </row>
    <row r="48" spans="1:11" s="25" customFormat="1" ht="5.1" customHeight="1" thickBot="1">
      <c r="A48" s="911"/>
      <c r="B48" s="912"/>
      <c r="C48" s="912"/>
      <c r="D48" s="912"/>
      <c r="E48" s="912"/>
      <c r="F48" s="912"/>
      <c r="G48" s="912"/>
      <c r="H48" s="912"/>
      <c r="I48" s="912"/>
      <c r="J48" s="912"/>
      <c r="K48" s="912"/>
    </row>
    <row r="49" spans="1:11" s="25" customFormat="1" ht="18" customHeight="1">
      <c r="A49" s="905" t="s">
        <v>3457</v>
      </c>
      <c r="B49" s="906"/>
      <c r="C49" s="906"/>
      <c r="D49" s="906"/>
      <c r="E49" s="906"/>
      <c r="F49" s="906"/>
      <c r="G49" s="906"/>
      <c r="H49" s="906"/>
      <c r="I49" s="906"/>
      <c r="J49" s="906"/>
      <c r="K49" s="907"/>
    </row>
    <row r="50" spans="1:11" s="25" customFormat="1" ht="18" customHeight="1">
      <c r="A50" s="903" t="s">
        <v>3458</v>
      </c>
      <c r="B50" s="891"/>
      <c r="C50" s="891"/>
      <c r="D50" s="891"/>
      <c r="E50" s="891"/>
      <c r="F50" s="891"/>
      <c r="G50" s="891"/>
      <c r="H50" s="891"/>
      <c r="I50" s="891"/>
      <c r="J50" s="891"/>
      <c r="K50" s="904"/>
    </row>
    <row r="51" spans="1:11" s="25" customFormat="1" ht="18" customHeight="1">
      <c r="A51" s="903" t="s">
        <v>169</v>
      </c>
      <c r="B51" s="510"/>
      <c r="C51" s="510"/>
      <c r="D51" s="892">
        <f>MAX(-'DAP3'!D50,-'DAP3'!D36,0)</f>
        <v>0</v>
      </c>
      <c r="E51" s="860"/>
      <c r="F51" s="860"/>
      <c r="G51" s="860"/>
      <c r="H51" s="860"/>
      <c r="I51" s="860"/>
      <c r="J51" s="861"/>
      <c r="K51" s="113" t="s">
        <v>39</v>
      </c>
    </row>
    <row r="52" spans="1:11" s="25" customFormat="1" ht="18" customHeight="1">
      <c r="A52" s="903" t="s">
        <v>3459</v>
      </c>
      <c r="B52" s="510"/>
      <c r="C52" s="862" t="str">
        <f>IF(D51=0," ",+CONCATENATE(ZAKL_DATA!B16," ",ZAKL_DATA!B17,", ",ZAKL_DATA!B18))</f>
        <v xml:space="preserve"> </v>
      </c>
      <c r="D52" s="861"/>
      <c r="E52" s="861"/>
      <c r="F52" s="861"/>
      <c r="G52" s="861"/>
      <c r="H52" s="861"/>
      <c r="I52" s="861"/>
      <c r="J52" s="861"/>
      <c r="K52" s="113"/>
    </row>
    <row r="53" spans="1:11" s="25" customFormat="1" ht="18" customHeight="1">
      <c r="A53" s="111" t="s">
        <v>3662</v>
      </c>
      <c r="B53" s="112"/>
      <c r="C53" s="860" t="str">
        <f>IF(D51=0," ",+CONCATENATE(ZAKL_DATA!B34))</f>
        <v xml:space="preserve"> </v>
      </c>
      <c r="D53" s="861"/>
      <c r="E53" s="861"/>
      <c r="F53" s="277" t="s">
        <v>217</v>
      </c>
      <c r="G53" s="860" t="str">
        <f>IF(D51=0," ",+CONCATENATE(ZAKL_DATA!B32))</f>
        <v xml:space="preserve"> </v>
      </c>
      <c r="H53" s="860"/>
      <c r="I53" s="860"/>
      <c r="J53" s="860"/>
      <c r="K53" s="113"/>
    </row>
    <row r="54" spans="1:11" s="25" customFormat="1" ht="18" customHeight="1">
      <c r="A54" s="111" t="s">
        <v>38</v>
      </c>
      <c r="B54" s="890" t="str">
        <f>IF(D51=0," ",+CONCATENATE(ZAKL_DATA!B33))</f>
        <v xml:space="preserve"> </v>
      </c>
      <c r="C54" s="890"/>
      <c r="D54" s="890"/>
      <c r="E54" s="891" t="s">
        <v>218</v>
      </c>
      <c r="F54" s="891"/>
      <c r="G54" s="891"/>
      <c r="H54" s="893"/>
      <c r="I54" s="893"/>
      <c r="J54" s="893"/>
      <c r="K54" s="113"/>
    </row>
    <row r="55" spans="1:11" s="25" customFormat="1" ht="18" customHeight="1">
      <c r="A55" s="111" t="s">
        <v>204</v>
      </c>
      <c r="B55" s="881" t="str">
        <f>IF(D51=0," ",+CONCATENATE('DAP1'!B28," ",'DAP1'!J28))</f>
        <v xml:space="preserve"> </v>
      </c>
      <c r="C55" s="881"/>
      <c r="D55" s="882" t="s">
        <v>3460</v>
      </c>
      <c r="E55" s="751"/>
      <c r="F55" s="751"/>
      <c r="G55" s="751"/>
      <c r="H55" s="941" t="s">
        <v>200</v>
      </c>
      <c r="I55" s="941"/>
      <c r="J55" s="941"/>
      <c r="K55" s="113"/>
    </row>
    <row r="56" spans="1:11" s="25" customFormat="1" ht="36" customHeight="1" thickBot="1">
      <c r="A56" s="883" t="str">
        <f>CONCATENATE(+'DAP1'!B31,", dne ")</f>
        <v xml:space="preserve">0, dne </v>
      </c>
      <c r="B56" s="884"/>
      <c r="C56" s="491">
        <f ca="1">+TODAY()</f>
        <v>44254</v>
      </c>
      <c r="D56" s="885" t="s">
        <v>3671</v>
      </c>
      <c r="E56" s="886"/>
      <c r="F56" s="887"/>
      <c r="G56" s="888"/>
      <c r="H56" s="888"/>
      <c r="I56" s="888"/>
      <c r="J56" s="888"/>
      <c r="K56" s="889"/>
    </row>
    <row r="57" spans="1:11" ht="12.75">
      <c r="A57" s="934" t="str">
        <f>+'DAP1'!A46:L46</f>
        <v>Formulář zpracovala ASPEKT HM, daňová, účetní a auditorská kancelář, www.danovapriznani.cz, business.center.cz</v>
      </c>
      <c r="B57" s="935"/>
      <c r="C57" s="935"/>
      <c r="D57" s="935"/>
      <c r="E57" s="935"/>
      <c r="F57" s="935"/>
      <c r="G57" s="935"/>
      <c r="H57" s="935"/>
      <c r="I57" s="935"/>
      <c r="J57" s="935"/>
      <c r="K57" s="936"/>
    </row>
    <row r="58" spans="1:11" ht="12.75">
      <c r="A58" s="932">
        <v>4</v>
      </c>
      <c r="B58" s="932"/>
      <c r="C58" s="932"/>
      <c r="D58" s="932"/>
      <c r="E58" s="932"/>
      <c r="F58" s="932"/>
      <c r="G58" s="932"/>
      <c r="H58" s="932"/>
      <c r="I58" s="932"/>
      <c r="J58" s="932"/>
      <c r="K58" s="933"/>
    </row>
  </sheetData>
  <sheetProtection algorithmName="SHA-512" hashValue="yuThTQerfWeNQ0fKPmA0r4zmTygmr78VbqSAtQ4sD6MW2iTI6pqKw1YUApd5gz4+575XfynHyzy1KZ5Wo/DJVQ==" saltValue="gut34AHlMkIXQKobZgwIOA==" spinCount="100000" sheet="1" objects="1" scenarios="1"/>
  <mergeCells count="75">
    <mergeCell ref="A5:J5"/>
    <mergeCell ref="A6:J6"/>
    <mergeCell ref="A16:J16"/>
    <mergeCell ref="A58:K58"/>
    <mergeCell ref="A57:K57"/>
    <mergeCell ref="A46:E46"/>
    <mergeCell ref="A44:E44"/>
    <mergeCell ref="A45:E45"/>
    <mergeCell ref="H55:J55"/>
    <mergeCell ref="E26:K26"/>
    <mergeCell ref="G39:K39"/>
    <mergeCell ref="A39:B39"/>
    <mergeCell ref="A37:K37"/>
    <mergeCell ref="A38:K38"/>
    <mergeCell ref="A41:B41"/>
    <mergeCell ref="A40:B40"/>
    <mergeCell ref="A1:K1"/>
    <mergeCell ref="A2:K2"/>
    <mergeCell ref="A3:J3"/>
    <mergeCell ref="A4:J4"/>
    <mergeCell ref="A36:K36"/>
    <mergeCell ref="A30:K30"/>
    <mergeCell ref="A31:K31"/>
    <mergeCell ref="A32:K32"/>
    <mergeCell ref="A33:K33"/>
    <mergeCell ref="A35:K35"/>
    <mergeCell ref="A34:K34"/>
    <mergeCell ref="A27:B27"/>
    <mergeCell ref="E27:K27"/>
    <mergeCell ref="A26:B26"/>
    <mergeCell ref="A17:J17"/>
    <mergeCell ref="A18:J18"/>
    <mergeCell ref="A7:J7"/>
    <mergeCell ref="A10:J10"/>
    <mergeCell ref="A24:J24"/>
    <mergeCell ref="A8:J8"/>
    <mergeCell ref="A12:J12"/>
    <mergeCell ref="A11:J11"/>
    <mergeCell ref="A9:J9"/>
    <mergeCell ref="A13:J13"/>
    <mergeCell ref="A14:J14"/>
    <mergeCell ref="A15:J15"/>
    <mergeCell ref="B54:D54"/>
    <mergeCell ref="E54:G54"/>
    <mergeCell ref="D51:J51"/>
    <mergeCell ref="H54:J54"/>
    <mergeCell ref="G40:K41"/>
    <mergeCell ref="C39:F41"/>
    <mergeCell ref="A42:K42"/>
    <mergeCell ref="A50:K50"/>
    <mergeCell ref="A52:B52"/>
    <mergeCell ref="G53:J53"/>
    <mergeCell ref="A49:K49"/>
    <mergeCell ref="A43:K43"/>
    <mergeCell ref="A47:E47"/>
    <mergeCell ref="F44:K47"/>
    <mergeCell ref="A48:K48"/>
    <mergeCell ref="A51:C51"/>
    <mergeCell ref="B55:C55"/>
    <mergeCell ref="D55:G55"/>
    <mergeCell ref="A56:B56"/>
    <mergeCell ref="D56:E56"/>
    <mergeCell ref="F56:K56"/>
    <mergeCell ref="C53:E53"/>
    <mergeCell ref="C52:J52"/>
    <mergeCell ref="A29:K29"/>
    <mergeCell ref="A23:J23"/>
    <mergeCell ref="A19:J19"/>
    <mergeCell ref="A20:J20"/>
    <mergeCell ref="A25:K25"/>
    <mergeCell ref="A28:K28"/>
    <mergeCell ref="C26:D26"/>
    <mergeCell ref="C27:D27"/>
    <mergeCell ref="A21:J21"/>
    <mergeCell ref="A22:J22"/>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21</vt:i4>
      </vt:variant>
    </vt:vector>
  </HeadingPairs>
  <TitlesOfParts>
    <vt:vector size="21" baseType="lpstr">
      <vt:lpstr>FU</vt:lpstr>
      <vt:lpstr>XML export</vt:lpstr>
      <vt:lpstr>UVOD</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Zálohy</vt:lpstr>
      <vt:lpstr>Zálohy_odklad</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2019-01-05T16:33:20Z</cp:lastPrinted>
  <dcterms:created xsi:type="dcterms:W3CDTF">2000-01-30T17:10:20Z</dcterms:created>
  <dcterms:modified xsi:type="dcterms:W3CDTF">2021-02-27T08:13:21Z</dcterms:modified>
  <cp:category/>
</cp:coreProperties>
</file>