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"/>
    </mc:Choice>
  </mc:AlternateContent>
  <bookViews>
    <workbookView xWindow="-120" yWindow="-120" windowWidth="29040" windowHeight="15840" tabRatio="917" activeTab="0"/>
  </bookViews>
  <sheets>
    <sheet name="UVOD" sheetId="14" r:id="rId3"/>
    <sheet name="ZAKL_DATA" sheetId="16" r:id="rId4"/>
    <sheet name="XML_export" sheetId="21" r:id="rId5"/>
    <sheet name="1_str" sheetId="1" r:id="rId6"/>
    <sheet name="2_str" sheetId="2" r:id="rId7"/>
    <sheet name="XML_mapping" sheetId="17" state="hidden" r:id="rId8"/>
    <sheet name="Ciselnik" sheetId="18" state="hidden" r:id="rId9"/>
    <sheet name="FU" sheetId="20" state="hidden" r:id="rId10"/>
  </sheets>
  <definedNames>
    <definedName name="fin_ur">FU!$B$3:$B$17</definedName>
    <definedName name="_xlnm.Print_Area" localSheetId="3">'1_str'!$A$1:$J$49</definedName>
    <definedName name="_xlnm.Print_Area" localSheetId="4">'2_str'!$A$1:$X$41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5A85C25E-C36C-4960-B255-10A35ADFF562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919FD479-A9C0-4907-A332-E66BEF14797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V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L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K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<sst xmlns="http://schemas.openxmlformats.org/spreadsheetml/2006/main" count="2985" uniqueCount="2147">
  <si>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</si>
  <si>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</si>
  <si>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</si>
  <si>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</si>
  <si>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</si>
  <si>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</si>
  <si>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a) obec</t>
  </si>
  <si>
    <t>podle zákona č. 16/1993 Sb., o dani silniční, ve znění pozdějších předpisů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</si>
  <si>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</si>
  <si>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</si>
  <si>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</si>
  <si>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</si>
  <si>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</si>
  <si>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</si>
  <si>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</si>
  <si>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</si>
  <si>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</si>
  <si>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</si>
  <si>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</si>
  <si>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</si>
  <si>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</si>
  <si>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</si>
  <si>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</si>
  <si>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</si>
  <si>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</si>
  <si>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</si>
  <si>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</si>
  <si>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</si>
  <si>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</si>
  <si>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</si>
  <si>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</si>
  <si>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§ 5 b,c</t>
  </si>
  <si>
    <t>k dani silniční za kalendářní rok</t>
  </si>
  <si>
    <t>06 Kód rozlišení typu přiznání/datum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</si>
  <si>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</si>
  <si>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</si>
  <si>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</si>
  <si>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</si>
  <si>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</si>
  <si>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</si>
  <si>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</si>
  <si>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</si>
  <si>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</si>
  <si>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</si>
  <si>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</si>
  <si>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</si>
  <si>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</si>
  <si>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</si>
  <si>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</si>
  <si>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</si>
  <si>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</si>
  <si>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</si>
  <si>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</si>
  <si>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</si>
  <si>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</si>
  <si>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</si>
  <si>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</si>
  <si>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</si>
  <si>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</si>
  <si>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</si>
  <si>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</si>
  <si>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</si>
  <si>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</si>
  <si>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</si>
  <si>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</si>
  <si>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</si>
  <si>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</si>
  <si>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</si>
  <si>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</si>
  <si>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</si>
  <si>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</si>
  <si>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</si>
  <si>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</si>
  <si>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</si>
  <si>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</si>
  <si>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</si>
  <si>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</si>
  <si>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</si>
  <si>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</si>
  <si>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</si>
  <si>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</si>
  <si>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</si>
  <si>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</si>
  <si>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</si>
  <si>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</si>
  <si>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</si>
  <si>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</si>
  <si>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</si>
  <si>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</si>
  <si>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</si>
  <si>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</si>
  <si>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typ řádku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</si>
  <si>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</si>
  <si>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</si>
  <si>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</si>
  <si>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</si>
  <si>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</si>
  <si>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</si>
  <si>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</si>
  <si>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</si>
  <si>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</si>
  <si>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</si>
  <si>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</si>
  <si>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</si>
  <si>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</si>
  <si>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</si>
  <si>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</si>
  <si>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</si>
  <si>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</si>
  <si>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</si>
  <si>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</si>
  <si>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</si>
  <si>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</si>
  <si>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</si>
  <si>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</si>
  <si>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</si>
  <si>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</si>
  <si>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</si>
  <si>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</si>
  <si>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</si>
  <si>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</si>
  <si>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</si>
  <si>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</si>
  <si>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</si>
  <si>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</si>
  <si>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</si>
  <si>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</si>
  <si>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</si>
  <si>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</si>
  <si>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</si>
  <si>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</si>
  <si>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</si>
  <si>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</si>
  <si>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</si>
  <si>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</si>
  <si>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</si>
  <si>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</si>
  <si>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</si>
  <si>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</si>
  <si>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</si>
  <si>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</si>
  <si>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</si>
  <si>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</si>
  <si>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</si>
  <si>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</si>
  <si>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</si>
  <si>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</si>
  <si>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</si>
  <si>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</si>
  <si>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</si>
  <si>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</si>
  <si>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</si>
  <si>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</si>
  <si>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</si>
  <si>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</si>
  <si>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</si>
  <si>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</si>
  <si>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</si>
  <si>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</si>
  <si>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</si>
  <si>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</si>
  <si>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</si>
  <si>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</si>
  <si>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d_zjist</t>
  </si>
  <si>
    <t>rod_c</t>
  </si>
  <si>
    <t>Rok</t>
  </si>
  <si>
    <t>kod_sekce</t>
  </si>
  <si>
    <t>DSL</t>
  </si>
  <si>
    <t>(O|D)</t>
  </si>
  <si>
    <t>KC</t>
  </si>
  <si>
    <t>c_ufo_cil</t>
  </si>
  <si>
    <t>cislo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</si>
  <si>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</si>
  <si>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</si>
  <si>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</si>
  <si>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</si>
  <si>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</si>
  <si>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</si>
  <si>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</si>
  <si>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</si>
  <si>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</si>
  <si>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</si>
  <si>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</si>
  <si>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</si>
  <si>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</si>
  <si>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</si>
  <si>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</si>
  <si>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</si>
  <si>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</si>
  <si>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</si>
  <si>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</si>
  <si>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</si>
  <si>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</si>
  <si>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</si>
  <si>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</si>
  <si>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</si>
  <si>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</si>
  <si>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</si>
  <si>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</si>
  <si>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</si>
  <si>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</si>
  <si>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</si>
  <si>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</si>
  <si>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</si>
  <si>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</si>
  <si>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</si>
  <si>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</si>
  <si>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</si>
  <si>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</si>
  <si>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</si>
  <si>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</si>
  <si>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</si>
  <si>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</si>
  <si>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</si>
  <si>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</si>
  <si>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</si>
  <si>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</si>
  <si>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</si>
  <si>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</si>
  <si>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</si>
  <si>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</si>
  <si>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</si>
  <si>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</si>
  <si>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</si>
  <si>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</si>
  <si>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</si>
  <si>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</si>
  <si>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</si>
  <si>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</si>
  <si>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</si>
  <si>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</si>
  <si>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</si>
  <si>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</si>
  <si>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</si>
  <si>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</si>
  <si>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</si>
  <si>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</si>
  <si>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</si>
  <si>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</si>
  <si>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</si>
  <si>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</si>
  <si>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</si>
  <si>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</si>
  <si>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</si>
  <si>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</si>
  <si>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</si>
  <si>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</si>
  <si>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</si>
  <si>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</si>
  <si>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</si>
  <si>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</si>
  <si>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</si>
  <si>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</si>
  <si>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</si>
  <si>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</si>
  <si>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</si>
  <si>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</si>
  <si>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</si>
  <si>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</si>
  <si>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</si>
  <si>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</si>
  <si>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</si>
  <si>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</si>
  <si>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</si>
  <si>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</si>
  <si>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</si>
  <si>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</si>
  <si>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</si>
  <si>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</si>
  <si>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</si>
  <si>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</si>
  <si>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</si>
  <si>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</si>
  <si>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</si>
  <si>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</si>
  <si>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</si>
  <si>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</si>
  <si>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</si>
  <si>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</si>
  <si>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</si>
  <si>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</si>
  <si>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</si>
  <si>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</si>
  <si>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</si>
  <si>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</si>
  <si>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</si>
  <si>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</si>
  <si>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</si>
  <si>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</si>
  <si>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</si>
  <si>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</si>
  <si>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</si>
  <si>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</si>
  <si>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</si>
  <si>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</si>
  <si>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</si>
  <si>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</si>
  <si>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</si>
  <si>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</si>
  <si>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</si>
  <si>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</si>
  <si>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</si>
  <si>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</si>
  <si>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</si>
  <si>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</si>
  <si>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</si>
  <si>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</si>
  <si>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</si>
  <si>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</si>
  <si>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</si>
  <si>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</si>
  <si>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</si>
  <si>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</si>
  <si>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</si>
  <si>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</si>
  <si>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</si>
  <si>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</si>
  <si>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</si>
  <si>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</si>
  <si>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</si>
  <si>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</si>
  <si>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</si>
  <si>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</si>
  <si>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</si>
  <si>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</si>
  <si>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</si>
  <si>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</si>
  <si>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</si>
  <si>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</si>
  <si>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</si>
  <si>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</si>
  <si>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</si>
  <si>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</si>
  <si>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</si>
  <si>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</si>
  <si>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</si>
  <si>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</si>
  <si>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</si>
  <si>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</si>
  <si>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</si>
  <si>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</si>
  <si>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</si>
  <si>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</si>
  <si>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</si>
  <si>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</si>
  <si>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</si>
  <si>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</si>
  <si>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</si>
  <si>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</si>
  <si>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</si>
  <si>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</si>
  <si>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</si>
  <si>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</si>
  <si>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</si>
  <si>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</si>
  <si>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</si>
  <si>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</si>
  <si>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</si>
  <si>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</si>
  <si>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</si>
  <si>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</si>
  <si>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</si>
  <si>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</si>
  <si>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</si>
  <si>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</si>
  <si>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</si>
  <si>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</si>
  <si>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</si>
  <si>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</si>
  <si>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</si>
  <si>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</si>
  <si>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</si>
  <si>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</si>
  <si>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</si>
  <si>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</si>
  <si>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</si>
  <si>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</si>
  <si>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</si>
  <si>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</si>
  <si>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</si>
  <si>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</si>
  <si>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</si>
  <si>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</si>
  <si>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</si>
  <si>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</si>
  <si>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</si>
  <si>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</si>
  <si>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</si>
  <si>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</si>
  <si>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</si>
  <si>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</si>
  <si>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</si>
  <si>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</si>
  <si>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</si>
  <si>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</si>
  <si>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</si>
  <si>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</si>
  <si>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</si>
  <si>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</si>
  <si>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</si>
  <si>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</si>
  <si>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</si>
  <si>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</si>
  <si>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</si>
  <si>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</si>
  <si>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</si>
  <si>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</si>
  <si>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</si>
  <si>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</si>
  <si>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</si>
  <si>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</si>
  <si>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</si>
  <si>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</si>
  <si>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</si>
  <si>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</si>
  <si>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</si>
  <si>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</si>
  <si>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</si>
  <si>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</si>
  <si>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</si>
  <si>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</si>
  <si>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</si>
  <si>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</si>
  <si>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</si>
  <si>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</si>
  <si>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</si>
  <si>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</si>
  <si>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</si>
  <si>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</si>
  <si>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</si>
  <si>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</si>
  <si>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</si>
  <si>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</si>
  <si>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</si>
  <si>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</si>
  <si>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</si>
  <si>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</si>
  <si>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</si>
  <si>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</si>
  <si>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</si>
  <si>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</si>
  <si>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</si>
  <si>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</si>
  <si>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</si>
  <si>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</si>
  <si>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</si>
  <si>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</si>
  <si>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</si>
  <si>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</si>
  <si>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</si>
  <si>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</si>
  <si>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</si>
  <si>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</si>
  <si>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</si>
  <si>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</si>
  <si>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</si>
  <si>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</si>
  <si>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</si>
  <si>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</si>
  <si>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</si>
  <si>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</si>
  <si>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</si>
  <si>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</si>
  <si>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</si>
  <si>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</si>
  <si>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</si>
  <si>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</si>
  <si>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</si>
  <si>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</si>
  <si>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</si>
  <si>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</si>
  <si>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</si>
  <si>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</si>
  <si>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</si>
  <si>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</si>
  <si>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</si>
  <si>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</si>
  <si>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</si>
  <si>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</si>
  <si>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</si>
  <si>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</si>
  <si>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</si>
  <si>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</si>
  <si>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</si>
  <si>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</si>
  <si>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</si>
  <si>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</si>
  <si>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</si>
  <si>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</si>
  <si>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</si>
  <si>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</si>
  <si>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</si>
  <si>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</si>
  <si>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</si>
  <si>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</si>
  <si>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</si>
  <si>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</si>
  <si>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</si>
  <si>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</si>
  <si>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</si>
  <si>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</si>
  <si>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</si>
  <si>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</si>
  <si>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</si>
  <si>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</si>
  <si>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</si>
  <si>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</si>
  <si>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</si>
  <si>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</si>
  <si>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</si>
  <si>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</si>
  <si>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</si>
  <si>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</si>
  <si>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</si>
  <si>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</si>
  <si>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</si>
  <si>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</si>
  <si>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</si>
  <si>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</si>
  <si>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</si>
  <si>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</si>
  <si>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</si>
  <si>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</si>
  <si>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</si>
  <si>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</si>
  <si>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</si>
  <si>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</si>
  <si>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</si>
  <si>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</si>
  <si>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</si>
  <si>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</si>
  <si>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</si>
  <si>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</si>
  <si>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</si>
  <si>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</si>
  <si>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</si>
  <si>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</si>
  <si>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</si>
  <si>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</si>
  <si>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</si>
  <si>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</si>
  <si>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</si>
  <si>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</si>
  <si>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</si>
  <si>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</si>
  <si>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</si>
  <si>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</si>
  <si>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</si>
  <si>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</si>
  <si>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</si>
  <si>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</si>
  <si>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</si>
  <si>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</si>
  <si>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</si>
  <si>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</si>
  <si>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</si>
  <si>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</si>
  <si>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</si>
  <si>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</si>
  <si>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</si>
  <si>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</si>
  <si>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</si>
  <si>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</si>
  <si>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</si>
  <si>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</si>
  <si>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</si>
  <si>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</si>
  <si>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</si>
  <si>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</si>
  <si>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</si>
  <si>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</si>
  <si>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</si>
  <si>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</si>
  <si>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</si>
  <si>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</si>
  <si>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</si>
  <si>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</si>
  <si>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</si>
  <si>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</si>
  <si>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</si>
  <si>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</si>
  <si>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</si>
  <si>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</si>
  <si>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</si>
  <si>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</si>
  <si>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</si>
  <si>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</si>
  <si>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</si>
  <si>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</si>
  <si>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</si>
  <si>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</si>
  <si>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</si>
  <si>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</si>
  <si>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</si>
  <si>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</si>
  <si>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</si>
  <si>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</si>
  <si>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</si>
  <si>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</si>
  <si>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</si>
  <si>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</si>
  <si>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</si>
  <si>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</si>
  <si>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</si>
  <si>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</si>
  <si>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</si>
  <si>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</si>
  <si>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</si>
  <si>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</si>
  <si>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</si>
  <si>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</si>
  <si>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</si>
  <si>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</si>
  <si>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</si>
  <si>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</si>
  <si>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</si>
  <si>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</si>
  <si>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</si>
  <si>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</si>
  <si>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</si>
  <si>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</si>
  <si>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</si>
  <si>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</si>
  <si>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</si>
  <si>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</si>
  <si>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</si>
  <si>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</si>
  <si>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</si>
  <si>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</si>
  <si>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</si>
  <si>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</si>
  <si>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</si>
  <si>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</si>
  <si>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</si>
  <si>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</si>
  <si>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</si>
  <si>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</si>
  <si>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</si>
  <si>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</si>
  <si>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</si>
  <si>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</si>
  <si>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</si>
  <si>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</si>
  <si>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</si>
  <si>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</si>
  <si>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</si>
  <si>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</si>
  <si>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</si>
  <si>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</si>
  <si>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</si>
  <si>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</si>
  <si>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</si>
  <si>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</si>
  <si>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</si>
  <si>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</si>
  <si>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</si>
  <si>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</si>
  <si>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</si>
  <si>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</si>
  <si>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</si>
  <si>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</si>
  <si>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</si>
  <si>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</si>
  <si>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</si>
  <si>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</si>
  <si>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</si>
  <si>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</si>
  <si>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</si>
  <si>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</si>
  <si>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</si>
  <si>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</si>
  <si>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</si>
  <si>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</si>
  <si>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</si>
  <si>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</si>
  <si>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</si>
  <si>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</si>
  <si>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</si>
  <si>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</si>
  <si>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</si>
  <si>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</si>
  <si>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</si>
  <si>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</si>
  <si>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</si>
  <si>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</si>
  <si>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</si>
  <si>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</si>
  <si>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</si>
  <si>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</si>
  <si>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</si>
  <si>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</si>
  <si>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</si>
  <si>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</si>
  <si>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</si>
  <si>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</si>
  <si>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</si>
  <si>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</si>
  <si>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</si>
  <si>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</si>
  <si>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</si>
  <si>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</si>
  <si>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</si>
  <si>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</si>
  <si>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</si>
  <si>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</si>
  <si>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</si>
  <si>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</si>
  <si>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</si>
  <si>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</si>
  <si>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</si>
  <si>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</si>
  <si>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</si>
  <si>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</si>
  <si>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</si>
  <si>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</si>
  <si>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</si>
  <si>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</si>
  <si>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</si>
  <si>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</si>
  <si>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</si>
  <si>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</si>
  <si>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</si>
  <si>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</si>
  <si>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</si>
  <si>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</si>
  <si>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</si>
  <si>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</si>
  <si>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</si>
  <si>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</si>
  <si>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</si>
  <si>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</si>
  <si>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</si>
  <si>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</si>
  <si>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</si>
  <si>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</si>
  <si>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</si>
  <si>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</si>
  <si>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</si>
  <si>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</si>
  <si>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</si>
  <si>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</si>
  <si>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</si>
  <si>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</si>
  <si>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</si>
  <si>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</si>
  <si>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</si>
  <si>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</si>
  <si>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</si>
  <si>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</si>
  <si>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</si>
  <si>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</si>
  <si>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</si>
  <si>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</si>
  <si>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</si>
  <si>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</si>
  <si>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</si>
  <si>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</si>
  <si>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</si>
  <si>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</si>
  <si>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</si>
  <si>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</si>
  <si>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</si>
  <si>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</si>
  <si>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</si>
  <si>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</si>
  <si>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</si>
  <si>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</si>
  <si>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</si>
  <si>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</si>
  <si>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</si>
  <si>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</si>
  <si>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</si>
  <si>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</si>
  <si>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</si>
  <si>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</si>
  <si>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</si>
  <si>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</si>
  <si>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</si>
  <si>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</si>
  <si>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</si>
  <si>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</si>
  <si>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</si>
  <si>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</si>
  <si>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</si>
  <si>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</si>
  <si>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</si>
  <si>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</si>
  <si>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</si>
  <si>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</si>
  <si>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</si>
  <si>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</si>
  <si>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</si>
  <si>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</si>
  <si>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</si>
  <si>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</si>
  <si>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</si>
  <si>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</si>
  <si>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</si>
  <si>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</si>
  <si>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</si>
  <si>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</si>
  <si>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</si>
  <si>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</si>
  <si>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</si>
  <si>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</si>
  <si>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</si>
  <si>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</si>
  <si>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</si>
  <si>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</si>
  <si>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</si>
  <si>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</si>
  <si>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</si>
  <si>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</si>
  <si>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</si>
  <si>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</si>
  <si>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</si>
  <si>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</si>
  <si>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</si>
  <si>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</si>
  <si>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</si>
  <si>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</si>
  <si>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</si>
  <si>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</si>
  <si>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</si>
  <si>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</si>
  <si>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</si>
  <si>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</si>
  <si>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</si>
  <si>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</si>
  <si>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</si>
  <si>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</si>
  <si>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</si>
  <si>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</si>
  <si>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</si>
  <si>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</si>
  <si>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</si>
  <si>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</si>
  <si>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</si>
  <si>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</si>
  <si>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</si>
  <si>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</si>
  <si>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</si>
  <si>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</si>
  <si>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</si>
  <si>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</si>
  <si>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</si>
  <si>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</si>
  <si>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</si>
  <si>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</si>
  <si>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</si>
  <si>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</si>
  <si>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</si>
  <si>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</si>
  <si>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</si>
  <si>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</si>
  <si>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</si>
  <si>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</si>
  <si>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</si>
  <si>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</si>
  <si>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</si>
  <si>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</si>
  <si>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</si>
  <si>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</si>
  <si>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</si>
  <si>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</si>
  <si>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</si>
  <si>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</si>
  <si>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</si>
  <si>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</si>
  <si>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</si>
  <si>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</si>
  <si>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</si>
  <si>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</si>
  <si>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</si>
  <si>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</si>
  <si>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</si>
  <si>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</si>
  <si>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</si>
  <si>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</si>
  <si>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</si>
  <si>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</si>
  <si>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</si>
  <si>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</si>
  <si>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</si>
  <si>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</si>
  <si>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</si>
  <si>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</si>
  <si>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</si>
  <si>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</si>
  <si>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</si>
  <si>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</si>
  <si>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</si>
  <si>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</si>
  <si>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</si>
  <si>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</si>
  <si>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</si>
  <si>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</si>
  <si>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</si>
  <si>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</si>
  <si>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</si>
  <si>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</si>
  <si>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</si>
  <si>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</si>
  <si>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</si>
  <si>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</si>
  <si>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</si>
  <si>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</si>
  <si>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</si>
  <si>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</si>
  <si>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</si>
  <si>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</si>
  <si>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</si>
  <si>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</si>
  <si>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</si>
  <si>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</si>
  <si>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</si>
  <si>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</si>
  <si>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</si>
  <si>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</si>
  <si>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</si>
  <si>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</si>
  <si>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</si>
  <si>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</si>
  <si>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</si>
  <si>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</si>
  <si>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</si>
  <si>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</si>
  <si>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</si>
  <si>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</si>
  <si>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</si>
  <si>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</si>
  <si>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</si>
  <si>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</si>
  <si>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</si>
  <si>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</si>
  <si>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</si>
  <si>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</si>
  <si>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</si>
  <si>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</si>
  <si>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</si>
  <si>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</si>
  <si>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</si>
  <si>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</si>
  <si>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</si>
  <si>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</si>
  <si>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</si>
  <si>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</si>
  <si>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</si>
  <si>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</si>
  <si>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</si>
  <si>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</si>
  <si>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</si>
  <si>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</si>
  <si>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</si>
  <si>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</si>
  <si>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</si>
  <si>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</si>
  <si>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</si>
  <si>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</si>
  <si>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</si>
  <si>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</si>
  <si>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</si>
  <si>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</si>
  <si>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</si>
  <si>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</si>
  <si>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</si>
  <si>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</si>
  <si>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</si>
  <si>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</si>
  <si>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</si>
  <si>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</si>
  <si>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</si>
  <si>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</si>
  <si>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</si>
  <si>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</si>
  <si>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</si>
  <si>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</si>
  <si>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</si>
  <si>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</si>
  <si>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</si>
  <si>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</si>
  <si>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</si>
  <si>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</si>
  <si>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</si>
  <si>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</si>
  <si>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</si>
  <si>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</si>
  <si>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</si>
  <si>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</si>
  <si>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</si>
  <si>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</si>
  <si>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</si>
  <si>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</si>
  <si>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</si>
  <si>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</si>
  <si>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</si>
  <si>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</si>
  <si>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</si>
  <si>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</si>
  <si>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</si>
  <si>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</si>
  <si>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</si>
  <si>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</si>
  <si>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</si>
  <si>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</si>
  <si>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</si>
  <si>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</si>
  <si>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</si>
  <si>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</si>
  <si>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</si>
  <si>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</si>
  <si>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</si>
  <si>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</si>
  <si>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</si>
  <si>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</si>
  <si>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</si>
  <si>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</si>
  <si>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</si>
  <si>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</si>
  <si>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</si>
  <si>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</si>
  <si>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</si>
  <si>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</si>
  <si>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</si>
  <si>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</si>
  <si>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</si>
  <si>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</si>
  <si>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</si>
  <si>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</si>
  <si>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</si>
  <si>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</si>
  <si>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</si>
  <si>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</si>
  <si>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</si>
  <si>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</si>
  <si>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</si>
  <si>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</si>
  <si>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</si>
  <si>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</si>
  <si>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</si>
  <si>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</si>
  <si>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</si>
  <si>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</si>
  <si>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</si>
  <si>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</si>
  <si>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</si>
  <si>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</si>
  <si>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</si>
  <si>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</si>
  <si>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</si>
  <si>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</si>
  <si>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</si>
  <si>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</si>
  <si>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</si>
  <si>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</si>
  <si>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</si>
  <si>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</si>
  <si>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</si>
  <si>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</si>
  <si>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</si>
  <si>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</si>
  <si>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</si>
  <si>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</si>
  <si>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</si>
  <si>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</si>
  <si>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</si>
  <si>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</si>
  <si>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</si>
  <si>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</si>
  <si>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</si>
  <si>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</si>
  <si>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</si>
  <si>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</si>
  <si>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</si>
  <si>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</si>
  <si>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</si>
  <si>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</si>
  <si>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</si>
  <si>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</si>
  <si>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</si>
  <si>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</si>
  <si>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</si>
  <si>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</si>
  <si>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</si>
  <si>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</si>
  <si>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</si>
  <si>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</si>
  <si>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</si>
  <si>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</si>
  <si>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</si>
  <si>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</si>
  <si>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</si>
  <si>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</si>
  <si>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</si>
  <si>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</si>
  <si>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</si>
  <si>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</si>
  <si>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</si>
  <si>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</si>
  <si>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</si>
  <si>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</si>
  <si>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</si>
  <si>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</si>
  <si>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</si>
  <si>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</si>
  <si>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</si>
  <si>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</si>
  <si>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</si>
  <si>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</si>
  <si>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</si>
  <si>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</si>
  <si>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</si>
  <si>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</si>
  <si>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</si>
  <si>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</si>
  <si>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</si>
  <si>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</si>
  <si>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</si>
  <si>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</si>
  <si>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</si>
  <si>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</si>
  <si>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</si>
  <si>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</si>
  <si>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</si>
  <si>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</si>
  <si>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</si>
  <si>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</si>
  <si>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</si>
  <si>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</si>
  <si>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</si>
  <si>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</si>
  <si>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</si>
  <si>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</si>
  <si>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</si>
  <si>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</si>
  <si>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</si>
  <si>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</si>
  <si>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</si>
  <si>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</si>
  <si>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</si>
  <si>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</si>
  <si>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</si>
  <si>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</si>
  <si>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</si>
  <si>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</si>
  <si>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</si>
  <si>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</si>
  <si>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</si>
  <si>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</si>
  <si>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</si>
  <si>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</si>
  <si>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</si>
  <si>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</si>
  <si>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</si>
  <si>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</si>
  <si>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</si>
  <si>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</si>
  <si>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</si>
  <si>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</si>
  <si>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</si>
  <si>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</si>
  <si>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</si>
  <si>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</si>
  <si>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</si>
  <si>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</si>
  <si>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</si>
  <si>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</si>
  <si>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</si>
  <si>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</si>
  <si>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</si>
  <si>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</si>
  <si>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</si>
  <si>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</si>
  <si>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</si>
  <si>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</si>
  <si>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</si>
  <si>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</si>
  <si>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</si>
  <si>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</si>
  <si>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</si>
  <si>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</si>
  <si>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</si>
  <si>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</si>
  <si>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</si>
  <si>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</si>
  <si>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</si>
  <si>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</si>
  <si>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</si>
  <si>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</si>
  <si>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</si>
  <si>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</si>
  <si>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</si>
  <si>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</si>
  <si>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</si>
  <si>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</si>
  <si>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</si>
  <si>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</si>
  <si>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</si>
  <si>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</si>
  <si>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</si>
  <si>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</si>
  <si>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</si>
  <si>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</si>
  <si>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</si>
  <si>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</si>
  <si>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</si>
  <si>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</si>
  <si>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</si>
  <si>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</si>
  <si>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</si>
  <si>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</si>
  <si>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</si>
  <si>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</si>
  <si>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</si>
  <si>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</si>
  <si>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</si>
  <si>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</si>
  <si>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</si>
  <si>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</si>
  <si>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</si>
  <si>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</si>
  <si>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</si>
  <si>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</si>
  <si>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</si>
  <si>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</si>
  <si>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</si>
  <si>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</si>
  <si>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</si>
  <si>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</si>
  <si>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</si>
  <si>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</si>
  <si>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</si>
  <si>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</si>
  <si>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</si>
  <si>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</si>
  <si>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</si>
  <si>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</si>
  <si>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</si>
  <si>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</si>
  <si>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</si>
  <si>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</si>
  <si>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</si>
  <si>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</si>
  <si>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</si>
  <si>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</si>
  <si>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</si>
  <si>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</si>
  <si>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</si>
  <si>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</si>
  <si>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</si>
  <si>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</si>
  <si>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</si>
  <si>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</si>
  <si>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</si>
  <si>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</si>
  <si>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</si>
  <si>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</si>
  <si>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</si>
  <si>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</si>
  <si>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</si>
  <si>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</si>
  <si>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</si>
  <si>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</si>
  <si>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</si>
  <si>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</si>
  <si>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</si>
  <si>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</si>
  <si>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</si>
  <si>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</si>
  <si>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</si>
  <si>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</si>
  <si>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</si>
  <si>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</si>
  <si>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</si>
  <si>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</si>
  <si>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</si>
  <si>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</si>
  <si>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</si>
  <si>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</si>
  <si>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</si>
  <si>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</si>
  <si>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</si>
  <si>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</si>
  <si>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</si>
  <si>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</si>
  <si>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</si>
  <si>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</si>
  <si>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</si>
  <si>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</si>
  <si>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</si>
  <si>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</si>
  <si>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</si>
  <si>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</si>
  <si>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</si>
  <si>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</si>
  <si>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</si>
  <si>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</si>
  <si>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</si>
  <si>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</si>
  <si>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</si>
  <si>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</si>
  <si>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</si>
  <si>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</si>
  <si>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</si>
  <si>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</si>
  <si>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</si>
  <si>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</si>
  <si>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</si>
  <si>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</si>
  <si>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</si>
  <si>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</si>
  <si>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</si>
  <si>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</si>
  <si>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</si>
  <si>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</si>
  <si>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</si>
  <si>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</si>
  <si>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</si>
  <si>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</si>
  <si>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</si>
  <si>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</si>
  <si>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</si>
  <si>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</si>
  <si>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</si>
  <si>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</si>
  <si>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</si>
  <si>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</si>
  <si>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</si>
  <si>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</si>
  <si>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</si>
  <si>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</si>
  <si>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</si>
  <si>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</si>
  <si>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</si>
  <si>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</si>
  <si>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</si>
  <si>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</si>
  <si>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</si>
  <si>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</si>
  <si>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</si>
  <si>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</si>
  <si>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</si>
  <si>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</si>
  <si>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</si>
  <si>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</si>
  <si>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</si>
  <si>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</si>
  <si>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</si>
  <si>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</si>
  <si>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</si>
  <si>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</si>
  <si>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</si>
  <si>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</si>
  <si>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</si>
  <si>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</si>
  <si>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</si>
  <si>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</si>
  <si>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</si>
  <si>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</si>
  <si>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</si>
  <si>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</si>
  <si>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</si>
  <si>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</si>
  <si>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</si>
  <si>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</si>
  <si>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</si>
  <si>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</si>
  <si>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</si>
  <si>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</si>
  <si>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</si>
  <si>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</si>
  <si>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</si>
  <si>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</si>
  <si>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</si>
  <si>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</si>
  <si>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</si>
  <si>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</si>
  <si>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</si>
  <si>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</si>
  <si>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</si>
  <si>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</si>
  <si>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</si>
  <si>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</si>
  <si>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</si>
  <si>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</si>
  <si>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</si>
  <si>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</si>
  <si>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</si>
  <si>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</si>
  <si>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</si>
  <si>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</si>
  <si>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</si>
  <si>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</si>
  <si>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</si>
  <si>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</si>
  <si>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</si>
  <si>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</si>
  <si>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</si>
  <si>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</si>
  <si>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</si>
  <si>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</si>
  <si>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</si>
  <si>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</si>
  <si>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</si>
  <si>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</si>
  <si>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</si>
  <si>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</si>
  <si>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</si>
  <si>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</si>
  <si>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</si>
  <si>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</si>
  <si>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</si>
  <si>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</si>
  <si>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</si>
  <si>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</si>
  <si>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</si>
  <si>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</si>
  <si>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</si>
  <si>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</si>
  <si>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</si>
  <si>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</si>
  <si>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</si>
  <si>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</si>
  <si>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</si>
  <si>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</si>
  <si>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</si>
  <si>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</si>
  <si>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</si>
  <si>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</si>
  <si>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</si>
  <si>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</si>
  <si>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</si>
  <si>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</si>
  <si>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</si>
  <si>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</si>
  <si>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</si>
  <si>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</si>
  <si>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</si>
  <si>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</si>
  <si>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</si>
  <si>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</si>
  <si>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</si>
  <si>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</si>
  <si>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</si>
  <si>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</si>
  <si>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</si>
  <si>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</si>
  <si>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</si>
  <si>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</si>
  <si>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</si>
  <si>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</si>
  <si>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</si>
  <si>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</si>
  <si>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</si>
  <si>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</si>
  <si>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</si>
  <si>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</si>
  <si>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</si>
  <si>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</si>
  <si>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</si>
  <si>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</si>
  <si>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</si>
  <si>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</si>
  <si>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</si>
  <si>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</si>
  <si>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</si>
  <si>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</si>
  <si>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</si>
  <si>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</si>
  <si>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</si>
  <si>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</si>
  <si>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</si>
  <si>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</si>
  <si>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</si>
  <si>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</si>
  <si>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</si>
  <si>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</si>
  <si>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</si>
  <si>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</si>
  <si>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</si>
  <si>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</si>
  <si>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</si>
  <si>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</si>
  <si>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</si>
  <si>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</si>
  <si>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</si>
  <si>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</si>
  <si>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</si>
  <si>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</si>
  <si>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</si>
  <si>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</si>
  <si>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</si>
  <si>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</si>
  <si>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</si>
  <si>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</si>
  <si>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</si>
  <si>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</si>
  <si>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</si>
  <si>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</si>
  <si>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</si>
  <si>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</si>
  <si>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</si>
  <si>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</si>
  <si>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</si>
  <si>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</si>
  <si>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</si>
  <si>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</si>
  <si>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</si>
  <si>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</si>
  <si>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</si>
  <si>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</si>
  <si>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</si>
  <si>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</si>
  <si>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</si>
  <si>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</si>
  <si>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</si>
  <si>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</si>
  <si>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</si>
  <si>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</si>
  <si>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</si>
  <si>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</si>
  <si>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</si>
  <si>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</si>
  <si>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</si>
  <si>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</si>
  <si>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</si>
  <si>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</si>
  <si>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</si>
  <si>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</si>
  <si>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</si>
  <si>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</si>
  <si>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</si>
  <si>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</si>
  <si>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</si>
  <si>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</si>
  <si>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</si>
  <si>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</si>
  <si>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</si>
  <si>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</si>
  <si>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</si>
  <si>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</si>
  <si>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</si>
  <si>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</si>
  <si>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</si>
  <si>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</si>
  <si>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</si>
  <si>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</si>
  <si>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</si>
  <si>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</si>
  <si>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</si>
  <si>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</si>
  <si>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</si>
  <si>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</si>
  <si>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</si>
  <si>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</si>
  <si>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</si>
  <si>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</si>
  <si>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</si>
  <si>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</si>
  <si>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</si>
  <si>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</si>
  <si>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</si>
  <si>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</si>
  <si>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</si>
  <si>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</si>
  <si>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</si>
  <si>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</si>
  <si>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</si>
  <si>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</si>
  <si>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</si>
  <si>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</si>
  <si>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</si>
  <si>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</si>
  <si>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</si>
  <si>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</si>
  <si>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</si>
  <si>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</si>
  <si>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</si>
  <si>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</si>
  <si>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</si>
  <si>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</si>
  <si>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</si>
  <si>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</si>
  <si>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</si>
  <si>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</si>
  <si>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</si>
  <si>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</si>
  <si>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</si>
  <si>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</si>
  <si>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</si>
  <si>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</si>
  <si>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</si>
  <si>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</si>
  <si>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</si>
  <si>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</si>
  <si>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</si>
  <si>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</si>
  <si>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</si>
  <si>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</si>
  <si>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</si>
  <si>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</si>
  <si>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</si>
  <si>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</si>
  <si>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</si>
  <si>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</si>
  <si>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</si>
  <si>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</si>
  <si>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</si>
  <si>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</si>
  <si>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</si>
  <si>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</si>
  <si>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</si>
  <si>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</si>
  <si>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</si>
  <si>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</si>
  <si>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</si>
  <si>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</si>
  <si>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</si>
  <si>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</si>
  <si>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</si>
  <si>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</si>
  <si>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</si>
  <si>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</si>
  <si>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</si>
  <si>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</si>
  <si>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</si>
  <si>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</si>
  <si>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</si>
  <si>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</si>
  <si>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</si>
  <si>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</si>
  <si>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</si>
  <si>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</si>
  <si>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</si>
  <si>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</si>
  <si>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</si>
  <si>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</si>
  <si>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</si>
  <si>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</si>
  <si>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</si>
  <si>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</si>
  <si>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</si>
  <si>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</si>
  <si>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</si>
  <si>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</si>
  <si>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</si>
  <si>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</si>
  <si>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</si>
  <si>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</si>
  <si>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</si>
  <si>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</si>
  <si>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</si>
  <si>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</si>
  <si>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</si>
  <si>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</si>
  <si>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</si>
  <si>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</si>
  <si>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</si>
  <si>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</si>
  <si>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</si>
  <si>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</si>
  <si>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</si>
  <si>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</si>
  <si>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</si>
  <si>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</si>
  <si>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</si>
  <si>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</si>
  <si>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</si>
  <si>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</si>
  <si>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</si>
  <si>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</si>
  <si>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</si>
  <si>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</si>
  <si>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</si>
  <si>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</si>
  <si>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</si>
  <si>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</si>
  <si>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</si>
  <si>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</si>
  <si>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</si>
  <si>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</si>
  <si>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</si>
  <si>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</si>
  <si>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</si>
  <si>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</si>
  <si>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</si>
  <si>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</si>
  <si>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</si>
  <si>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</si>
  <si>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</si>
  <si>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</si>
  <si>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</si>
  <si>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</si>
  <si>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</si>
  <si>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</si>
  <si>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</si>
  <si>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</si>
  <si>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</si>
  <si>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</si>
  <si>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</si>
  <si>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</si>
  <si>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</si>
  <si>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</si>
  <si>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</si>
  <si>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</si>
  <si>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</si>
  <si>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</si>
  <si>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</si>
  <si>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</si>
  <si>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</si>
  <si>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</si>
  <si>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</si>
  <si>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</si>
  <si>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</si>
  <si>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</si>
  <si>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</si>
  <si>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</si>
  <si>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</si>
  <si>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</si>
  <si>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</si>
  <si>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</si>
  <si>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</si>
  <si>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</si>
  <si>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</si>
  <si>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</si>
  <si>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</si>
  <si>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</si>
  <si>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</si>
  <si>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</si>
  <si>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</si>
  <si>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</si>
  <si>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</si>
  <si>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</si>
  <si>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</si>
  <si>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</si>
  <si>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</si>
  <si>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</si>
  <si>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</si>
  <si>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</si>
  <si>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</si>
  <si>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</si>
  <si>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</si>
  <si>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</si>
  <si>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</si>
  <si>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</si>
  <si>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</si>
  <si>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</si>
  <si>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</si>
  <si>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</si>
  <si>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</si>
  <si>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</si>
  <si>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</si>
  <si>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</si>
  <si>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</si>
  <si>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</si>
  <si>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</si>
  <si>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</si>
  <si>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</si>
  <si>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</si>
  <si>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</si>
  <si>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</si>
  <si>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</si>
  <si>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</si>
  <si>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</si>
  <si>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</si>
  <si>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</si>
  <si>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</si>
  <si>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</si>
  <si>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</si>
  <si>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</si>
  <si>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</si>
  <si>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</si>
  <si>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</si>
  <si>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</si>
  <si>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</si>
  <si>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</si>
  <si>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</si>
  <si>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</si>
  <si>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</si>
  <si>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</si>
  <si>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</si>
  <si>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</si>
  <si>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</si>
  <si>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</si>
  <si>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</si>
  <si>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</si>
  <si>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</si>
  <si>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</si>
  <si>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</si>
  <si>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</si>
  <si>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</si>
  <si>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</si>
  <si>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</si>
  <si>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</si>
  <si>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</si>
  <si>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</si>
  <si>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</si>
  <si>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</si>
  <si>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</si>
  <si>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</si>
  <si>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</si>
  <si>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</si>
  <si>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</si>
  <si>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</si>
  <si>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</si>
  <si>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</si>
  <si>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</si>
  <si>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</si>
  <si>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</si>
  <si>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</si>
  <si>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</si>
  <si>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</si>
  <si>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</si>
  <si>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</si>
  <si>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</si>
  <si>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</si>
  <si>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</si>
  <si>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</si>
  <si>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</si>
  <si>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</si>
  <si>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</si>
  <si>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</si>
  <si>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</si>
  <si>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</si>
  <si>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</si>
  <si>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</si>
  <si>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</si>
  <si>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</si>
  <si>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</si>
  <si>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</si>
  <si>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</si>
  <si>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</si>
  <si>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</si>
  <si>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</si>
  <si>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</si>
  <si>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</si>
  <si>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</si>
  <si>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</si>
  <si>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</si>
  <si>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</si>
  <si>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</si>
  <si>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</si>
  <si>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</si>
  <si>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</si>
  <si>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</si>
  <si>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</si>
  <si>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</si>
  <si>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</si>
  <si>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</si>
  <si>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</si>
  <si>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</si>
  <si>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</si>
  <si>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</si>
  <si>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</si>
  <si>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</si>
  <si>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</si>
  <si>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</si>
  <si>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</si>
  <si>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</si>
  <si>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</si>
  <si>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</si>
  <si>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</si>
  <si>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</si>
  <si>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</si>
  <si>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</si>
  <si>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</si>
  <si>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</si>
  <si>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</si>
  <si>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</si>
  <si>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</si>
  <si>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</si>
  <si>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</si>
  <si>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</si>
  <si>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</si>
  <si>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</si>
  <si>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</si>
  <si>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</si>
  <si>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</si>
  <si>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</si>
  <si>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</si>
  <si>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</si>
  <si>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</si>
  <si>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</si>
  <si>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</si>
  <si>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</si>
  <si>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</si>
  <si>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</si>
  <si>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</si>
  <si>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</si>
  <si>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</si>
  <si>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</si>
  <si>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</si>
  <si>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</si>
  <si>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</si>
  <si>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</si>
  <si>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</si>
  <si>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</si>
  <si>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</si>
  <si>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</si>
  <si>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</si>
  <si>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</si>
  <si>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</si>
  <si>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</si>
  <si>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</si>
  <si>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</si>
  <si>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</si>
  <si>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</si>
  <si>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</si>
  <si>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</si>
  <si>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</si>
  <si>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</si>
  <si>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</si>
  <si>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</si>
  <si>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</si>
  <si>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</si>
  <si>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</si>
  <si>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</si>
  <si>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</si>
  <si>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</si>
  <si>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</si>
  <si>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</si>
  <si>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</si>
  <si>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</si>
  <si>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</si>
  <si>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</si>
  <si>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</si>
  <si>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</si>
  <si>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</si>
  <si>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</si>
  <si>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</si>
  <si>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</si>
  <si>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</si>
  <si>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</si>
  <si>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</si>
  <si>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</si>
  <si>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</si>
  <si>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</si>
  <si>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</si>
  <si>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</si>
  <si>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</si>
  <si>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</si>
  <si>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</si>
  <si>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</si>
  <si>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</si>
  <si>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</si>
  <si>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29</t>
  </si>
  <si>
    <t>24</t>
  </si>
  <si>
    <t>25</t>
  </si>
  <si>
    <t>26</t>
  </si>
  <si>
    <t>27</t>
  </si>
  <si>
    <t>28</t>
  </si>
  <si>
    <t>c_rad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</si>
  <si>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</si>
  <si>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</si>
  <si>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</si>
  <si>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</si>
  <si>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</si>
  <si>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</si>
  <si>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</si>
  <si>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</si>
  <si>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</si>
  <si>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</si>
  <si>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</si>
  <si>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</si>
  <si>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</si>
  <si>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</si>
  <si>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</si>
  <si>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</si>
  <si>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</si>
  <si>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</si>
  <si>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</si>
  <si>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</si>
  <si>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</si>
  <si>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</si>
  <si>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</si>
  <si>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</si>
  <si>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</si>
  <si>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</si>
  <si>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</si>
  <si>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</si>
  <si>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</si>
  <si>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</si>
  <si>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</si>
  <si>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</si>
  <si>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</si>
  <si>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</si>
  <si>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</si>
  <si>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</si>
  <si>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</si>
  <si>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</si>
  <si>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</si>
  <si>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</si>
  <si>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</si>
  <si>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</si>
  <si>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</si>
  <si>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</si>
  <si>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</si>
  <si>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</si>
  <si>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</si>
  <si>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</si>
  <si>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</si>
  <si>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</si>
  <si>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</si>
  <si>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č.18</t>
  </si>
  <si>
    <t>formulář je pro kalendářní rok 2021</t>
  </si>
  <si>
    <t>09 Jméno (-a)</t>
  </si>
  <si>
    <t>10 Tituly</t>
  </si>
  <si>
    <t>12 Adresa místo pobytu fyzické osoby / sídla právnické osoby</t>
  </si>
  <si>
    <t>13 stát</t>
  </si>
  <si>
    <t>c) část obce/ulice</t>
  </si>
  <si>
    <t>d) číslo popisné/orientační</t>
  </si>
  <si>
    <t>14 Kontaktní údaje*)</t>
  </si>
  <si>
    <t>a) telefon</t>
  </si>
  <si>
    <t>b) email</t>
  </si>
  <si>
    <t>c) identifikátor datové schránky</t>
  </si>
  <si>
    <t>Identifikátor datové schránky:</t>
  </si>
  <si>
    <r>
      <t xml:space="preserve">04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</si>
  <si>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255407 MFin 5407 - vzor č. 18</t>
  </si>
  <si>
    <t>*) Označené údaje jsou nepovinné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</si>
  <si>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</si>
  <si>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Jméno(-a) a příjmení</t>
  </si>
  <si>
    <t>Kontaktní osoba:*)</t>
  </si>
  <si>
    <r>
      <t>cm</t>
    </r>
    <r>
      <rPr>
        <vertAlign val="superscript"/>
        <sz val="8"/>
        <rFont val="Arial CE"/>
        <family val="2"/>
        <charset val="-18"/>
      </rPr>
      <t>3</t>
    </r>
  </si>
  <si>
    <t>opravné</t>
  </si>
  <si>
    <t>dodatečné</t>
  </si>
  <si>
    <t>X</t>
  </si>
  <si>
    <t>VetaD</t>
  </si>
  <si>
    <t>d_lku</t>
  </si>
  <si>
    <t>dokument</t>
  </si>
  <si>
    <t>typ_dapdsl</t>
  </si>
  <si>
    <t>vysldan_po</t>
  </si>
  <si>
    <t>k_uladis</t>
  </si>
  <si>
    <t>zdobd_od</t>
  </si>
  <si>
    <t>zdobd_do</t>
  </si>
  <si>
    <t>dapdsl_forma</t>
  </si>
  <si>
    <t>poc_pril</t>
  </si>
  <si>
    <t>kc_zalcalk</t>
  </si>
  <si>
    <t>kc_zbydopl</t>
  </si>
  <si>
    <t>kc_preplac</t>
  </si>
  <si>
    <t>kc_poznpopo</t>
  </si>
  <si>
    <t>kc_rozdil</t>
  </si>
  <si>
    <t>1_str I16</t>
  </si>
  <si>
    <t>fix</t>
  </si>
  <si>
    <t>1_str H19</t>
  </si>
  <si>
    <t>1_str H16</t>
  </si>
  <si>
    <t>2_str I15</t>
  </si>
  <si>
    <t>2_str V18</t>
  </si>
  <si>
    <t>2_str D22</t>
  </si>
  <si>
    <t>1_str H19 (1.1.)</t>
  </si>
  <si>
    <t>ZAKL_DATA B13 vyhledání</t>
  </si>
  <si>
    <t>2_str D25</t>
  </si>
  <si>
    <t>2_str L15</t>
  </si>
  <si>
    <t>2_str U15</t>
  </si>
  <si>
    <t>1_str H19 (31.12.)</t>
  </si>
  <si>
    <t>2_str Q15</t>
  </si>
  <si>
    <t>1_str J13</t>
  </si>
  <si>
    <t>VetaP</t>
  </si>
  <si>
    <t>dic</t>
  </si>
  <si>
    <t>typ_ds</t>
  </si>
  <si>
    <t>prijmeni</t>
  </si>
  <si>
    <t>rodnepr</t>
  </si>
  <si>
    <t>jmeno</t>
  </si>
  <si>
    <t>zkrobchjm</t>
  </si>
  <si>
    <t>naz_obce</t>
  </si>
  <si>
    <t>c_obce</t>
  </si>
  <si>
    <t>ulice</t>
  </si>
  <si>
    <t>psc</t>
  </si>
  <si>
    <t>stat</t>
  </si>
  <si>
    <t>c_telef</t>
  </si>
  <si>
    <t>opr_prijmeni</t>
  </si>
  <si>
    <t>opr_jmeno</t>
  </si>
  <si>
    <t>opr_titul</t>
  </si>
  <si>
    <t>opr_postaveni</t>
  </si>
  <si>
    <t>sest_prijmeni</t>
  </si>
  <si>
    <t>sest_jmeno</t>
  </si>
  <si>
    <t>sest_titul</t>
  </si>
  <si>
    <t>sest_telef</t>
  </si>
  <si>
    <t>zast_kod</t>
  </si>
  <si>
    <t>zast_typ</t>
  </si>
  <si>
    <t>zast_prijmeni</t>
  </si>
  <si>
    <t>zast_jmeno</t>
  </si>
  <si>
    <t>zast_nazev</t>
  </si>
  <si>
    <t>zast_dat_nar</t>
  </si>
  <si>
    <t>zast_ev_cislo</t>
  </si>
  <si>
    <t>zast_ic</t>
  </si>
  <si>
    <t>c_pracufo</t>
  </si>
  <si>
    <t>id_dats</t>
  </si>
  <si>
    <t>email</t>
  </si>
  <si>
    <t>ZAKL_DATA B16</t>
  </si>
  <si>
    <t>ZAKL_DATA D14 není-li kód podepisující osoby 4a nebo 4b</t>
  </si>
  <si>
    <t>ZAKL_DATA D15 není-li kód podepisující osoby 4a nebo 4b</t>
  </si>
  <si>
    <t>ZAKL_DATA D17 není-li kód podepisující osoby 4a nebo 4b</t>
  </si>
  <si>
    <t>ZAKL_DATA D16 není-li kód podepisující osoby 4a nebo 4b</t>
  </si>
  <si>
    <t>ZAKL_DATA B6</t>
  </si>
  <si>
    <t>ZAKL_DATA B20 vyhledání</t>
  </si>
  <si>
    <t>2_str R31 je-li 6-8 znaků</t>
  </si>
  <si>
    <t>2_str R31 obsahuje-li "."</t>
  </si>
  <si>
    <t>2_str R31 je-li do 4 znaků</t>
  </si>
  <si>
    <t>ZAKL_DATA D21 je-li vyplněno zast_ev_c nebo zast_dat_nar</t>
  </si>
  <si>
    <t>ZAKL_DATA D20 je-li vyplněno zast_ev_c nebo zast_dat_nar</t>
  </si>
  <si>
    <t>2_str A31</t>
  </si>
  <si>
    <t>F/P podle vzorce z nad 2_str L29</t>
  </si>
  <si>
    <t>2_str L29</t>
  </si>
  <si>
    <t>ZAKL_DATA B14 vyhledání</t>
  </si>
  <si>
    <t>1_str A45</t>
  </si>
  <si>
    <t>1_str G43</t>
  </si>
  <si>
    <t>ZAKL_DATA D33</t>
  </si>
  <si>
    <t>ZAKL_DATA D32</t>
  </si>
  <si>
    <t>ZAKL_DATA D30</t>
  </si>
  <si>
    <t>ZAKL_DATA D31</t>
  </si>
  <si>
    <t>ZAKL_DATA B25</t>
  </si>
  <si>
    <t>ZAKL_DATA B17 část</t>
  </si>
  <si>
    <t>nevyplnujeme</t>
  </si>
  <si>
    <t>ZAKL_DATA B18</t>
  </si>
  <si>
    <t>ZAKL_DATA B4</t>
  </si>
  <si>
    <t>ZAKL_DATA D4</t>
  </si>
  <si>
    <t>ZAKL_DATA B7</t>
  </si>
  <si>
    <t>ZAKL_DATA B5</t>
  </si>
  <si>
    <t>Dle obsahu ZAKL_DATA D4</t>
  </si>
  <si>
    <t>ZAKL_DATA D2 (číslo)</t>
  </si>
  <si>
    <t>ObecnaPriloha</t>
  </si>
  <si>
    <t>VetaZ</t>
  </si>
  <si>
    <t>VetaR</t>
  </si>
  <si>
    <t>VetaO</t>
  </si>
  <si>
    <t>spz</t>
  </si>
  <si>
    <t>d_regrok</t>
  </si>
  <si>
    <t>d_regmes</t>
  </si>
  <si>
    <t>hmotnost</t>
  </si>
  <si>
    <t>p_naprav</t>
  </si>
  <si>
    <t>objemmot</t>
  </si>
  <si>
    <t>k_drvoz</t>
  </si>
  <si>
    <t>sazbadsl</t>
  </si>
  <si>
    <t>sniz</t>
  </si>
  <si>
    <t>md_dpovin1</t>
  </si>
  <si>
    <t>md_dpovin2</t>
  </si>
  <si>
    <t>md_dpovin3</t>
  </si>
  <si>
    <t>md_dpovin4</t>
  </si>
  <si>
    <t>md_dpovin5</t>
  </si>
  <si>
    <t>kc_danbos</t>
  </si>
  <si>
    <t>md_osvob</t>
  </si>
  <si>
    <t>kc_dpovin</t>
  </si>
  <si>
    <t>kc_sleva</t>
  </si>
  <si>
    <t>kc_osvob</t>
  </si>
  <si>
    <t>k_osvoboz</t>
  </si>
  <si>
    <t>DP2</t>
  </si>
  <si>
    <t>nápravy (19)</t>
  </si>
  <si>
    <t>tuny 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</si>
</sst>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000"/>
    <numFmt numFmtId="177" formatCode="#,##0"/>
  </numFmts>
  <fonts count="47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</borders>
  <cellStyleXfs count="17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8" fillId="0" borderId="0" applyNumberFormat="0" applyFill="0" applyBorder="0" applyAlignment="0" applyProtection="0">
      <alignment/>
    </xf>
    <xf numFmtId="0" fontId="3" fillId="0" borderId="0">
      <alignment/>
      <protection/>
    </xf>
    <xf numFmtId="0" fontId="3" fillId="0" borderId="0">
      <alignment/>
      <protection/>
    </xf>
    <xf numFmtId="0" fontId="0" fillId="0" borderId="1" applyNumberFormat="0" applyFill="0" applyAlignment="0" applyProtection="0">
      <alignment/>
    </xf>
    <xf numFmtId="0" fontId="37" fillId="0" borderId="2" applyNumberFormat="0" applyFill="0" applyAlignment="0" applyProtection="0">
      <alignment/>
    </xf>
    <xf numFmtId="0" fontId="38" fillId="0" borderId="3" applyNumberFormat="0" applyFill="0" applyAlignment="0" applyProtection="0">
      <alignment/>
    </xf>
    <xf numFmtId="0" fontId="39" fillId="0" borderId="4" applyNumberFormat="0" applyFill="0" applyAlignment="0" applyProtection="0">
      <alignment/>
    </xf>
  </cellStyleXfs>
  <cellXfs count="602">
    <xf numFmtId="0" fontId="0" fillId="0" borderId="0" xfId="0">
      <alignment/>
    </xf>
    <xf numFmtId="0" fontId="3" fillId="2" borderId="0" xfId="0" applyFont="1" applyFill="1">
      <alignment/>
    </xf>
    <xf numFmtId="0" fontId="0" fillId="2" borderId="0" xfId="0" applyFill="1">
      <alignment/>
    </xf>
    <xf numFmtId="0" fontId="3" fillId="2" borderId="5" xfId="0" applyFont="1" applyFill="1" applyBorder="1" applyAlignment="1" applyProtection="1">
      <alignment horizontal="center"/>
      <protection locked="0"/>
    </xf>
    <xf numFmtId="0" fontId="0" fillId="3" borderId="0" xfId="0" applyFill="1">
      <alignment/>
    </xf>
    <xf numFmtId="0" fontId="10" fillId="3" borderId="0" xfId="0" applyFont="1" applyFill="1">
      <alignment/>
    </xf>
    <xf numFmtId="0" fontId="3" fillId="3" borderId="0" xfId="0" applyFont="1" applyFill="1">
      <alignment/>
    </xf>
    <xf numFmtId="0" fontId="3" fillId="4" borderId="6" xfId="0" applyFont="1" applyFill="1" applyBorder="1" applyAlignment="1" applyProtection="1">
      <alignment horizontal="center" vertical="center"/>
      <protection locked="0"/>
    </xf>
    <xf numFmtId="3" fontId="3" fillId="4" borderId="6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3" fillId="2" borderId="6" xfId="0" applyNumberFormat="1" applyFont="1" applyFill="1" applyBorder="1" applyAlignment="1" applyProtection="1">
      <alignment horizontal="center" vertical="center"/>
      <protection/>
    </xf>
    <xf numFmtId="49" fontId="3" fillId="4" borderId="8" xfId="0" applyNumberFormat="1" applyFont="1" applyFill="1" applyBorder="1" applyAlignment="1" applyProtection="1">
      <alignment horizontal="center" vertical="center"/>
      <protection locked="0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49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6" borderId="11" xfId="0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6" borderId="13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7" borderId="14" xfId="0" applyFill="1" applyBorder="1" applyAlignment="1" applyProtection="1">
      <alignment vertical="center"/>
      <protection locked="0"/>
    </xf>
    <xf numFmtId="14" fontId="0" fillId="6" borderId="13" xfId="0" applyNumberFormat="1" applyFill="1" applyBorder="1" applyAlignment="1" applyProtection="1">
      <alignment horizontal="left" vertical="center"/>
      <protection locked="0"/>
    </xf>
    <xf numFmtId="49" fontId="0" fillId="6" borderId="13" xfId="0" applyNumberFormat="1" applyFill="1" applyBorder="1" applyAlignment="1" applyProtection="1">
      <alignment horizontal="left" vertical="center"/>
      <protection locked="0"/>
    </xf>
    <xf numFmtId="49" fontId="0" fillId="7" borderId="14" xfId="0" applyNumberFormat="1" applyFill="1" applyBorder="1" applyAlignment="1" applyProtection="1">
      <alignment vertical="center"/>
      <protection locked="0"/>
    </xf>
    <xf numFmtId="0" fontId="0" fillId="8" borderId="13" xfId="0" applyFill="1" applyBorder="1" applyAlignment="1" applyProtection="1">
      <alignment vertical="center"/>
      <protection locked="0"/>
    </xf>
    <xf numFmtId="0" fontId="21" fillId="3" borderId="0" xfId="0" applyFont="1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right" vertical="center"/>
    </xf>
    <xf numFmtId="0" fontId="0" fillId="8" borderId="13" xfId="0" applyFill="1" applyBorder="1" applyAlignment="1" applyProtection="1">
      <alignment horizontal="left" vertical="center"/>
      <protection locked="0"/>
    </xf>
    <xf numFmtId="49" fontId="0" fillId="8" borderId="13" xfId="0" applyNumberFormat="1" applyFill="1" applyBorder="1" applyAlignment="1" applyProtection="1">
      <alignment horizontal="left" vertical="center"/>
      <protection locked="0"/>
    </xf>
    <xf numFmtId="3" fontId="0" fillId="8" borderId="14" xfId="0" applyNumberFormat="1" applyFill="1" applyBorder="1" applyAlignment="1" applyProtection="1">
      <alignment horizontal="left" vertical="center"/>
      <protection locked="0"/>
    </xf>
    <xf numFmtId="3" fontId="0" fillId="8" borderId="13" xfId="0" applyNumberFormat="1" applyFill="1" applyBorder="1" applyAlignment="1" applyProtection="1">
      <alignment horizontal="left" vertical="center"/>
      <protection locked="0"/>
    </xf>
    <xf numFmtId="0" fontId="0" fillId="8" borderId="14" xfId="0" applyFill="1" applyBorder="1" applyAlignment="1" applyProtection="1">
      <alignment horizontal="left" vertical="center"/>
      <protection locked="0"/>
    </xf>
    <xf numFmtId="0" fontId="18" fillId="8" borderId="13" xfId="10" applyFill="1" applyBorder="1" applyAlignment="1" applyProtection="1">
      <alignment vertical="center"/>
      <protection locked="0"/>
    </xf>
    <xf numFmtId="49" fontId="0" fillId="8" borderId="14" xfId="0" applyNumberFormat="1" applyFill="1" applyBorder="1" applyAlignment="1" applyProtection="1">
      <alignment horizontal="left" vertical="center"/>
      <protection locked="0"/>
    </xf>
    <xf numFmtId="0" fontId="18" fillId="8" borderId="14" xfId="10" applyFill="1" applyBorder="1" applyAlignment="1" applyProtection="1">
      <alignment vertical="center"/>
      <protection locked="0"/>
    </xf>
    <xf numFmtId="0" fontId="0" fillId="8" borderId="15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8" borderId="17" xfId="0" applyFill="1" applyBorder="1" applyAlignment="1" applyProtection="1">
      <alignment vertical="center"/>
      <protection locked="0"/>
    </xf>
    <xf numFmtId="0" fontId="25" fillId="7" borderId="0" xfId="0" applyFont="1" applyFill="1" applyAlignment="1">
      <alignment vertical="center"/>
    </xf>
    <xf numFmtId="0" fontId="25" fillId="7" borderId="0" xfId="0" applyFont="1" applyFill="1" applyAlignment="1">
      <alignment horizontal="right" vertical="center"/>
    </xf>
    <xf numFmtId="0" fontId="25" fillId="6" borderId="0" xfId="0" applyFont="1" applyFill="1" applyAlignment="1">
      <alignment vertical="center"/>
    </xf>
    <xf numFmtId="0" fontId="25" fillId="6" borderId="0" xfId="0" applyFont="1" applyFill="1" applyAlignment="1">
      <alignment horizontal="right" vertical="center"/>
    </xf>
    <xf numFmtId="0" fontId="25" fillId="3" borderId="0" xfId="0" applyFont="1" applyFill="1" applyAlignment="1">
      <alignment vertical="center"/>
    </xf>
    <xf numFmtId="0" fontId="25" fillId="8" borderId="0" xfId="0" applyFont="1" applyFill="1" applyAlignment="1">
      <alignment vertical="center"/>
    </xf>
    <xf numFmtId="0" fontId="25" fillId="8" borderId="0" xfId="0" applyFont="1" applyFill="1" applyAlignment="1">
      <alignment horizontal="right" vertical="center"/>
    </xf>
    <xf numFmtId="0" fontId="0" fillId="5" borderId="0" xfId="0" applyFill="1">
      <alignment/>
    </xf>
    <xf numFmtId="0" fontId="21" fillId="5" borderId="0" xfId="0" applyFont="1" applyFill="1">
      <alignment/>
    </xf>
    <xf numFmtId="49" fontId="3" fillId="2" borderId="5" xfId="0" applyNumberFormat="1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 vertical="center"/>
      <protection/>
    </xf>
    <xf numFmtId="0" fontId="23" fillId="3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9" fillId="2" borderId="0" xfId="0" applyFont="1" applyFill="1" applyAlignment="1" applyProtection="1">
      <alignment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3" fillId="4" borderId="6" xfId="0" applyNumberFormat="1" applyFont="1" applyFill="1" applyBorder="1" applyAlignment="1" applyProtection="1">
      <alignment horizontal="center" vertical="center"/>
      <protection/>
    </xf>
    <xf numFmtId="3" fontId="3" fillId="4" borderId="7" xfId="0" applyNumberFormat="1" applyFont="1" applyFill="1" applyBorder="1" applyAlignment="1" applyProtection="1">
      <alignment horizontal="center" vertical="center"/>
      <protection/>
    </xf>
    <xf numFmtId="0" fontId="3" fillId="4" borderId="6" xfId="0" applyFont="1" applyFill="1" applyBorder="1" applyAlignment="1" applyProtection="1">
      <alignment horizontal="center" vertical="center"/>
      <protection/>
    </xf>
    <xf numFmtId="3" fontId="3" fillId="4" borderId="6" xfId="0" applyNumberFormat="1" applyFont="1" applyFill="1" applyBorder="1" applyAlignment="1" applyProtection="1">
      <alignment horizontal="center" vertical="center"/>
      <protection/>
    </xf>
    <xf numFmtId="49" fontId="3" fillId="4" borderId="8" xfId="0" applyNumberFormat="1" applyFont="1" applyFill="1" applyBorder="1" applyAlignment="1" applyProtection="1">
      <alignment horizontal="center" vertical="center"/>
      <protection/>
    </xf>
    <xf numFmtId="49" fontId="3" fillId="4" borderId="9" xfId="0" applyNumberFormat="1" applyFont="1" applyFill="1" applyBorder="1" applyAlignment="1" applyProtection="1">
      <alignment horizontal="center" vertical="center"/>
      <protection/>
    </xf>
    <xf numFmtId="49" fontId="3" fillId="4" borderId="10" xfId="0" applyNumberFormat="1" applyFont="1" applyFill="1" applyBorder="1" applyAlignment="1" applyProtection="1">
      <alignment horizontal="center" vertical="center"/>
      <protection/>
    </xf>
    <xf numFmtId="0" fontId="3" fillId="3" borderId="18" xfId="0" applyFont="1" applyFill="1" applyBorder="1" applyAlignment="1" applyProtection="1">
      <alignment horizontal="center" vertical="center"/>
      <protection/>
    </xf>
    <xf numFmtId="2" fontId="3" fillId="4" borderId="6" xfId="0" applyNumberFormat="1" applyFont="1" applyFill="1" applyBorder="1" applyAlignment="1" applyProtection="1">
      <alignment horizontal="center" vertical="center"/>
      <protection locked="0"/>
    </xf>
    <xf numFmtId="2" fontId="3" fillId="4" borderId="6" xfId="0" applyNumberFormat="1" applyFont="1" applyFill="1" applyBorder="1" applyAlignment="1" applyProtection="1">
      <alignment horizontal="center" vertical="center"/>
      <protection/>
    </xf>
    <xf numFmtId="0" fontId="10" fillId="9" borderId="0" xfId="0" applyFont="1" applyFill="1" applyAlignment="1">
      <alignment horizontal="center"/>
    </xf>
    <xf numFmtId="0" fontId="10" fillId="9" borderId="0" xfId="0" applyFont="1" applyFill="1" applyAlignment="1">
      <alignment horizontal="left"/>
    </xf>
    <xf numFmtId="0" fontId="20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166" fontId="0" fillId="9" borderId="0" xfId="0" applyNumberFormat="1" applyFill="1" applyAlignment="1">
      <alignment horizontal="center"/>
    </xf>
    <xf numFmtId="14" fontId="0" fillId="9" borderId="0" xfId="0" applyNumberFormat="1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0" fillId="9" borderId="0" xfId="0" applyNumberFormat="1" applyFill="1" applyBorder="1" applyAlignment="1">
      <alignment horizontal="center"/>
    </xf>
    <xf numFmtId="0" fontId="0" fillId="9" borderId="0" xfId="0" applyFill="1" applyAlignment="1">
      <alignment horizontal="center" vertical="center"/>
    </xf>
    <xf numFmtId="9" fontId="0" fillId="9" borderId="0" xfId="0" applyNumberFormat="1" applyFill="1" applyAlignment="1">
      <alignment horizontal="center"/>
    </xf>
    <xf numFmtId="165" fontId="2" fillId="9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alignment/>
      <protection locked="0"/>
    </xf>
    <xf numFmtId="167" fontId="3" fillId="4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14" fontId="0" fillId="0" borderId="0" xfId="0" applyNumberFormat="1">
      <alignment/>
    </xf>
    <xf numFmtId="14" fontId="0" fillId="0" borderId="0" xfId="0" applyNumberFormat="1" applyFont="1">
      <alignment/>
    </xf>
    <xf numFmtId="49" fontId="1" fillId="0" borderId="19" xfId="0" applyNumberFormat="1" applyFont="1" applyFill="1" applyBorder="1">
      <alignment/>
    </xf>
    <xf numFmtId="0" fontId="1" fillId="0" borderId="19" xfId="0" applyNumberFormat="1" applyFont="1" applyFill="1" applyBorder="1">
      <alignment/>
    </xf>
    <xf numFmtId="49" fontId="1" fillId="0" borderId="20" xfId="0" applyNumberFormat="1" applyFont="1" applyFill="1" applyBorder="1">
      <alignment/>
    </xf>
    <xf numFmtId="0" fontId="1" fillId="0" borderId="20" xfId="0" applyNumberFormat="1" applyFont="1" applyFill="1" applyBorder="1">
      <alignment/>
    </xf>
    <xf numFmtId="4" fontId="0" fillId="0" borderId="0" xfId="0" applyNumberFormat="1">
      <alignment/>
    </xf>
    <xf numFmtId="0" fontId="0" fillId="0" borderId="0" xfId="0" applyNumberFormat="1">
      <alignment/>
    </xf>
    <xf numFmtId="0" fontId="0" fillId="0" borderId="0" xfId="0" applyFont="1" applyFill="1">
      <alignment/>
    </xf>
    <xf numFmtId="0" fontId="0" fillId="0" borderId="21" xfId="0" applyFont="1" applyBorder="1">
      <alignment/>
    </xf>
    <xf numFmtId="0" fontId="0" fillId="0" borderId="22" xfId="0" applyFont="1" applyBorder="1">
      <alignment/>
    </xf>
    <xf numFmtId="0" fontId="0" fillId="0" borderId="23" xfId="0" applyFont="1" applyBorder="1">
      <alignment/>
    </xf>
    <xf numFmtId="0" fontId="0" fillId="0" borderId="24" xfId="0" applyFont="1" applyBorder="1">
      <alignment/>
    </xf>
    <xf numFmtId="0" fontId="0" fillId="0" borderId="25" xfId="0" applyBorder="1">
      <alignment/>
    </xf>
    <xf numFmtId="0" fontId="35" fillId="0" borderId="26" xfId="0" applyFont="1" applyBorder="1" applyAlignment="1">
      <alignment vertical="center" wrapText="1"/>
    </xf>
    <xf numFmtId="1" fontId="5" fillId="10" borderId="5" xfId="11" applyNumberFormat="1" applyFont="1" applyFill="1" applyBorder="1" applyAlignment="1">
      <alignment horizontal="center" vertical="center"/>
      <protection/>
    </xf>
    <xf numFmtId="0" fontId="0" fillId="0" borderId="27" xfId="0" applyBorder="1">
      <alignment/>
    </xf>
    <xf numFmtId="168" fontId="3" fillId="0" borderId="0" xfId="11" applyNumberFormat="1" applyFont="1" applyFill="1" applyAlignment="1">
      <alignment horizontal="center"/>
      <protection/>
    </xf>
    <xf numFmtId="49" fontId="3" fillId="0" borderId="0" xfId="11" applyNumberFormat="1" applyFont="1" applyFill="1" applyAlignment="1">
      <alignment horizontal="center"/>
      <protection/>
    </xf>
    <xf numFmtId="1" fontId="3" fillId="0" borderId="0" xfId="11" applyNumberFormat="1" applyFont="1" applyFill="1" applyAlignment="1">
      <alignment horizontal="center"/>
      <protection/>
    </xf>
    <xf numFmtId="1" fontId="3" fillId="0" borderId="0" xfId="11" applyNumberFormat="1" applyFont="1" applyFill="1" applyAlignment="1">
      <alignment horizontal="left"/>
      <protection/>
    </xf>
    <xf numFmtId="0" fontId="3" fillId="0" borderId="0" xfId="11" applyFont="1" applyFill="1" applyAlignment="1">
      <alignment horizontal="left"/>
      <protection/>
    </xf>
    <xf numFmtId="0" fontId="0" fillId="0" borderId="28" xfId="0" applyBorder="1">
      <alignment/>
    </xf>
    <xf numFmtId="0" fontId="0" fillId="0" borderId="0" xfId="0" applyBorder="1">
      <alignment/>
    </xf>
    <xf numFmtId="0" fontId="35" fillId="0" borderId="29" xfId="0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27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0" fillId="0" borderId="27" xfId="0" applyFont="1" applyBorder="1">
      <alignment/>
    </xf>
    <xf numFmtId="0" fontId="0" fillId="0" borderId="6" xfId="0" applyFont="1" applyBorder="1">
      <alignment/>
    </xf>
    <xf numFmtId="0" fontId="35" fillId="0" borderId="18" xfId="0" applyFont="1" applyFill="1" applyBorder="1" applyAlignment="1">
      <alignment vertical="center" wrapText="1"/>
    </xf>
    <xf numFmtId="0" fontId="0" fillId="0" borderId="6" xfId="0" applyBorder="1">
      <alignment/>
    </xf>
    <xf numFmtId="0" fontId="0" fillId="0" borderId="18" xfId="0" applyBorder="1">
      <alignment/>
    </xf>
    <xf numFmtId="168" fontId="3" fillId="0" borderId="0" xfId="11" applyNumberFormat="1" applyFont="1" applyFill="1" applyAlignment="1">
      <alignment horizontal="center" vertical="top"/>
      <protection/>
    </xf>
    <xf numFmtId="49" fontId="3" fillId="0" borderId="0" xfId="11" applyNumberFormat="1" applyFont="1" applyFill="1" applyAlignment="1">
      <alignment horizontal="center" vertical="top"/>
      <protection/>
    </xf>
    <xf numFmtId="1" fontId="3" fillId="0" borderId="0" xfId="11" applyNumberFormat="1" applyFont="1" applyFill="1" applyAlignment="1">
      <alignment horizontal="center" vertical="top"/>
      <protection/>
    </xf>
    <xf numFmtId="1" fontId="3" fillId="0" borderId="0" xfId="11" applyNumberFormat="1" applyFont="1" applyFill="1" applyAlignment="1">
      <alignment horizontal="left" vertical="top" wrapText="1"/>
      <protection/>
    </xf>
    <xf numFmtId="0" fontId="3" fillId="0" borderId="0" xfId="11" applyFont="1" applyFill="1" applyAlignment="1">
      <alignment horizontal="left" vertical="top"/>
      <protection/>
    </xf>
    <xf numFmtId="1" fontId="3" fillId="0" borderId="0" xfId="11" applyNumberFormat="1" applyFont="1" applyFill="1" applyAlignment="1">
      <alignment horizontal="left" vertical="top"/>
      <protection/>
    </xf>
    <xf numFmtId="0" fontId="0" fillId="0" borderId="18" xfId="0" applyFill="1" applyBorder="1">
      <alignment/>
    </xf>
    <xf numFmtId="0" fontId="0" fillId="0" borderId="18" xfId="0" applyFont="1" applyBorder="1">
      <alignment/>
    </xf>
    <xf numFmtId="168" fontId="36" fillId="0" borderId="0" xfId="0" applyNumberFormat="1" applyFont="1" applyFill="1" applyAlignment="1">
      <alignment horizontal="center"/>
    </xf>
    <xf numFmtId="49" fontId="36" fillId="0" borderId="0" xfId="0" applyNumberFormat="1" applyFont="1" applyFill="1" applyAlignment="1">
      <alignment horizontal="center"/>
    </xf>
    <xf numFmtId="1" fontId="36" fillId="0" borderId="0" xfId="0" applyNumberFormat="1" applyFont="1" applyFill="1" applyAlignment="1">
      <alignment horizontal="center"/>
    </xf>
    <xf numFmtId="1" fontId="36" fillId="0" borderId="0" xfId="0" applyNumberFormat="1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3" fillId="0" borderId="0" xfId="11" applyFont="1" applyFill="1" applyAlignment="1">
      <alignment horizontal="center"/>
      <protection/>
    </xf>
    <xf numFmtId="0" fontId="3" fillId="0" borderId="0" xfId="11" applyFont="1" applyFill="1">
      <alignment/>
      <protection/>
    </xf>
    <xf numFmtId="0" fontId="0" fillId="0" borderId="28" xfId="0" applyFont="1" applyBorder="1">
      <alignment/>
    </xf>
    <xf numFmtId="0" fontId="0" fillId="0" borderId="32" xfId="0" applyBorder="1">
      <alignment/>
    </xf>
    <xf numFmtId="0" fontId="0" fillId="0" borderId="33" xfId="0" applyBorder="1">
      <alignment/>
    </xf>
    <xf numFmtId="1" fontId="3" fillId="0" borderId="0" xfId="11" applyNumberFormat="1" applyFill="1" applyAlignment="1">
      <alignment horizontal="center"/>
      <protection/>
    </xf>
    <xf numFmtId="1" fontId="3" fillId="0" borderId="0" xfId="11" applyNumberFormat="1" applyFill="1" applyAlignment="1">
      <alignment horizontal="left"/>
      <protection/>
    </xf>
    <xf numFmtId="0" fontId="3" fillId="0" borderId="0" xfId="11" applyFill="1" applyAlignment="1">
      <alignment horizontal="left"/>
      <protection/>
    </xf>
    <xf numFmtId="0" fontId="3" fillId="0" borderId="0" xfId="12">
      <alignment/>
      <protection/>
    </xf>
    <xf numFmtId="0" fontId="3" fillId="0" borderId="0" xfId="12" applyAlignment="1">
      <alignment horizontal="center" vertical="center"/>
      <protection/>
    </xf>
    <xf numFmtId="0" fontId="3" fillId="0" borderId="34" xfId="12" applyBorder="1" applyAlignment="1">
      <alignment horizontal="center" vertical="center"/>
      <protection/>
    </xf>
    <xf numFmtId="0" fontId="3" fillId="0" borderId="22" xfId="12" applyBorder="1" applyAlignment="1">
      <alignment horizontal="center" vertical="center"/>
      <protection/>
    </xf>
    <xf numFmtId="0" fontId="3" fillId="0" borderId="29" xfId="12" applyBorder="1" applyAlignment="1">
      <alignment horizontal="center" vertical="center"/>
      <protection/>
    </xf>
    <xf numFmtId="0" fontId="3" fillId="0" borderId="30" xfId="12" applyBorder="1" applyAlignment="1">
      <alignment horizontal="center" vertical="center"/>
      <protection/>
    </xf>
    <xf numFmtId="0" fontId="3" fillId="0" borderId="35" xfId="12" applyBorder="1" applyAlignment="1">
      <alignment horizontal="center" vertical="center"/>
      <protection/>
    </xf>
    <xf numFmtId="0" fontId="3" fillId="0" borderId="31" xfId="12" applyBorder="1">
      <alignment/>
      <protection/>
    </xf>
    <xf numFmtId="0" fontId="3" fillId="0" borderId="29" xfId="12" applyBorder="1">
      <alignment/>
      <protection/>
    </xf>
    <xf numFmtId="0" fontId="3" fillId="0" borderId="27" xfId="12" applyBorder="1" applyAlignment="1">
      <alignment horizontal="center" vertical="center"/>
      <protection/>
    </xf>
    <xf numFmtId="0" fontId="34" fillId="2" borderId="6" xfId="12" applyFont="1" applyFill="1" applyBorder="1" applyAlignment="1">
      <alignment vertical="center" wrapText="1"/>
      <protection/>
    </xf>
    <xf numFmtId="0" fontId="34" fillId="2" borderId="36" xfId="12" applyFont="1" applyFill="1" applyBorder="1" applyAlignment="1">
      <alignment horizontal="center" vertical="center" wrapText="1"/>
      <protection/>
    </xf>
    <xf numFmtId="0" fontId="3" fillId="0" borderId="6" xfId="12" applyBorder="1">
      <alignment/>
      <protection/>
    </xf>
    <xf numFmtId="0" fontId="3" fillId="0" borderId="18" xfId="12" applyBorder="1">
      <alignment/>
      <protection/>
    </xf>
    <xf numFmtId="0" fontId="3" fillId="0" borderId="27" xfId="12" applyBorder="1">
      <alignment/>
      <protection/>
    </xf>
    <xf numFmtId="0" fontId="3" fillId="0" borderId="36" xfId="12" applyBorder="1" applyAlignment="1">
      <alignment horizontal="center" vertical="center"/>
      <protection/>
    </xf>
    <xf numFmtId="0" fontId="3" fillId="0" borderId="0" xfId="12" applyBorder="1" applyAlignment="1">
      <alignment horizontal="center" vertical="center"/>
      <protection/>
    </xf>
    <xf numFmtId="0" fontId="3" fillId="0" borderId="28" xfId="12" applyBorder="1">
      <alignment/>
      <protection/>
    </xf>
    <xf numFmtId="0" fontId="3" fillId="0" borderId="37" xfId="12" applyBorder="1" applyAlignment="1">
      <alignment horizontal="center" vertical="center"/>
      <protection/>
    </xf>
    <xf numFmtId="0" fontId="34" fillId="2" borderId="32" xfId="12" applyFont="1" applyFill="1" applyBorder="1" applyAlignment="1">
      <alignment vertical="center" wrapText="1"/>
      <protection/>
    </xf>
    <xf numFmtId="0" fontId="34" fillId="2" borderId="37" xfId="12" applyFont="1" applyFill="1" applyBorder="1" applyAlignment="1">
      <alignment horizontal="center" vertical="center" wrapText="1"/>
      <protection/>
    </xf>
    <xf numFmtId="0" fontId="3" fillId="0" borderId="32" xfId="12" applyBorder="1">
      <alignment/>
      <protection/>
    </xf>
    <xf numFmtId="0" fontId="3" fillId="0" borderId="33" xfId="12" applyBorder="1">
      <alignment/>
      <protection/>
    </xf>
    <xf numFmtId="3" fontId="0" fillId="0" borderId="0" xfId="0" applyNumberFormat="1">
      <alignment/>
    </xf>
    <xf numFmtId="49" fontId="3" fillId="2" borderId="34" xfId="0" applyNumberFormat="1" applyFont="1" applyFill="1" applyBorder="1" applyAlignment="1" applyProtection="1">
      <alignment horizont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49" fontId="0" fillId="8" borderId="13" xfId="0" applyNumberFormat="1" applyFill="1" applyBorder="1" applyAlignment="1" applyProtection="1">
      <alignment vertical="center"/>
      <protection locked="0"/>
    </xf>
    <xf numFmtId="49" fontId="0" fillId="6" borderId="13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>
      <alignment/>
    </xf>
    <xf numFmtId="3" fontId="0" fillId="0" borderId="0" xfId="0" applyNumberFormat="1" applyFill="1">
      <alignment/>
    </xf>
    <xf numFmtId="16" fontId="0" fillId="0" borderId="0" xfId="0" applyNumberFormat="1" applyFont="1" applyFill="1">
      <alignment/>
    </xf>
    <xf numFmtId="49" fontId="3" fillId="3" borderId="6" xfId="0" applyNumberFormat="1" applyFont="1" applyFill="1" applyBorder="1" applyAlignment="1" applyProtection="1">
      <alignment vertical="center"/>
      <protection locked="0"/>
    </xf>
    <xf numFmtId="49" fontId="3" fillId="3" borderId="32" xfId="0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0" fontId="3" fillId="11" borderId="0" xfId="11" applyFill="1">
      <alignment/>
      <protection/>
    </xf>
    <xf numFmtId="0" fontId="3" fillId="0" borderId="0" xfId="11">
      <alignment/>
      <protection/>
    </xf>
    <xf numFmtId="0" fontId="0" fillId="12" borderId="0" xfId="0" applyFill="1">
      <alignment/>
    </xf>
    <xf numFmtId="0" fontId="3" fillId="12" borderId="0" xfId="0" applyFont="1" applyFill="1" applyAlignment="1">
      <alignment horizontal="center"/>
    </xf>
    <xf numFmtId="0" fontId="7" fillId="12" borderId="0" xfId="0" applyFont="1" applyFill="1" applyAlignment="1">
      <alignment horizontal="right"/>
    </xf>
    <xf numFmtId="0" fontId="7" fillId="12" borderId="0" xfId="0" applyFont="1" applyFill="1">
      <alignment/>
    </xf>
    <xf numFmtId="0" fontId="0" fillId="13" borderId="0" xfId="0" applyFill="1" applyAlignment="1">
      <alignment horizontal="right" vertical="center"/>
    </xf>
    <xf numFmtId="0" fontId="7" fillId="14" borderId="38" xfId="0" applyFont="1" applyFill="1" applyBorder="1">
      <alignment/>
    </xf>
    <xf numFmtId="0" fontId="7" fillId="14" borderId="39" xfId="0" applyFont="1" applyFill="1" applyBorder="1" applyAlignment="1">
      <alignment horizontal="center"/>
    </xf>
    <xf numFmtId="0" fontId="7" fillId="14" borderId="40" xfId="0" applyFont="1" applyFill="1" applyBorder="1">
      <alignment/>
    </xf>
    <xf numFmtId="0" fontId="7" fillId="14" borderId="41" xfId="0" applyFont="1" applyFill="1" applyBorder="1" applyAlignment="1">
      <alignment horizontal="left"/>
    </xf>
    <xf numFmtId="0" fontId="7" fillId="14" borderId="42" xfId="0" applyFont="1" applyFill="1" applyBorder="1">
      <alignment/>
    </xf>
    <xf numFmtId="0" fontId="7" fillId="12" borderId="43" xfId="0" applyFont="1" applyFill="1" applyBorder="1" applyAlignment="1">
      <alignment horizontal="center"/>
    </xf>
    <xf numFmtId="0" fontId="11" fillId="14" borderId="38" xfId="0" applyFont="1" applyFill="1" applyBorder="1" applyAlignment="1">
      <alignment horizontal="center"/>
    </xf>
    <xf numFmtId="0" fontId="7" fillId="14" borderId="6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0" fontId="7" fillId="14" borderId="7" xfId="0" applyFont="1" applyFill="1" applyBorder="1" applyAlignment="1">
      <alignment horizontal="center"/>
    </xf>
    <xf numFmtId="0" fontId="7" fillId="14" borderId="18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3" fontId="3" fillId="14" borderId="6" xfId="0" applyNumberFormat="1" applyFont="1" applyFill="1" applyBorder="1" applyAlignment="1">
      <alignment horizontal="center" vertical="center"/>
    </xf>
    <xf numFmtId="2" fontId="3" fillId="14" borderId="6" xfId="0" applyNumberFormat="1" applyFont="1" applyFill="1" applyBorder="1" applyAlignment="1">
      <alignment horizontal="center" vertical="center"/>
    </xf>
    <xf numFmtId="3" fontId="3" fillId="14" borderId="7" xfId="0" applyNumberFormat="1" applyFont="1" applyFill="1" applyBorder="1" applyAlignment="1">
      <alignment horizontal="center" vertical="center"/>
    </xf>
    <xf numFmtId="49" fontId="3" fillId="12" borderId="8" xfId="0" applyNumberFormat="1" applyFont="1" applyFill="1" applyBorder="1" applyAlignment="1">
      <alignment horizontal="center" vertical="center"/>
    </xf>
    <xf numFmtId="49" fontId="3" fillId="12" borderId="9" xfId="0" applyNumberFormat="1" applyFont="1" applyFill="1" applyBorder="1" applyAlignment="1">
      <alignment horizontal="center" vertical="center"/>
    </xf>
    <xf numFmtId="49" fontId="3" fillId="12" borderId="10" xfId="0" applyNumberFormat="1" applyFont="1" applyFill="1" applyBorder="1" applyAlignment="1">
      <alignment horizontal="center" vertical="center"/>
    </xf>
    <xf numFmtId="3" fontId="3" fillId="12" borderId="6" xfId="0" applyNumberFormat="1" applyFont="1" applyFill="1" applyBorder="1" applyAlignment="1" applyProtection="1">
      <alignment horizontal="center" vertical="center"/>
      <protection/>
    </xf>
    <xf numFmtId="0" fontId="3" fillId="14" borderId="18" xfId="0" applyFont="1" applyFill="1" applyBorder="1" applyAlignment="1">
      <alignment vertical="center"/>
    </xf>
    <xf numFmtId="0" fontId="3" fillId="14" borderId="32" xfId="0" applyFont="1" applyFill="1" applyBorder="1" applyAlignment="1" applyProtection="1">
      <alignment horizontal="center" vertical="center"/>
      <protection/>
    </xf>
    <xf numFmtId="0" fontId="3" fillId="14" borderId="44" xfId="0" applyFont="1" applyFill="1" applyBorder="1" applyAlignment="1" applyProtection="1">
      <alignment horizontal="center" vertical="center"/>
      <protection/>
    </xf>
    <xf numFmtId="3" fontId="3" fillId="14" borderId="32" xfId="0" applyNumberFormat="1" applyFont="1" applyFill="1" applyBorder="1" applyAlignment="1" applyProtection="1">
      <alignment horizontal="center" vertical="center"/>
      <protection/>
    </xf>
    <xf numFmtId="2" fontId="3" fillId="14" borderId="32" xfId="0" applyNumberFormat="1" applyFont="1" applyFill="1" applyBorder="1" applyAlignment="1" applyProtection="1">
      <alignment horizontal="center" vertical="center"/>
      <protection/>
    </xf>
    <xf numFmtId="3" fontId="3" fillId="14" borderId="44" xfId="0" applyNumberFormat="1" applyFont="1" applyFill="1" applyBorder="1" applyAlignment="1" applyProtection="1">
      <alignment horizontal="center" vertical="center"/>
      <protection/>
    </xf>
    <xf numFmtId="0" fontId="3" fillId="12" borderId="45" xfId="0" applyFont="1" applyFill="1" applyBorder="1" applyAlignment="1" applyProtection="1">
      <alignment horizontal="center" vertical="center"/>
      <protection/>
    </xf>
    <xf numFmtId="0" fontId="3" fillId="12" borderId="46" xfId="0" applyFont="1" applyFill="1" applyBorder="1" applyAlignment="1" applyProtection="1">
      <alignment horizontal="center" vertical="center"/>
      <protection/>
    </xf>
    <xf numFmtId="0" fontId="3" fillId="12" borderId="47" xfId="0" applyFont="1" applyFill="1" applyBorder="1" applyAlignment="1" applyProtection="1">
      <alignment horizontal="center" vertical="center"/>
      <protection/>
    </xf>
    <xf numFmtId="3" fontId="3" fillId="12" borderId="32" xfId="0" applyNumberFormat="1" applyFont="1" applyFill="1" applyBorder="1" applyAlignment="1" applyProtection="1">
      <alignment horizontal="center" vertical="center"/>
      <protection/>
    </xf>
    <xf numFmtId="0" fontId="3" fillId="14" borderId="33" xfId="0" applyFont="1" applyFill="1" applyBorder="1" applyAlignment="1" applyProtection="1">
      <alignment vertical="center"/>
      <protection/>
    </xf>
    <xf numFmtId="0" fontId="9" fillId="14" borderId="48" xfId="0" applyFont="1" applyFill="1" applyBorder="1">
      <alignment/>
    </xf>
    <xf numFmtId="0" fontId="0" fillId="14" borderId="37" xfId="0" applyFill="1" applyBorder="1" applyAlignment="1">
      <alignment/>
    </xf>
    <xf numFmtId="0" fontId="0" fillId="14" borderId="44" xfId="0" applyFill="1" applyBorder="1" applyAlignment="1">
      <alignment/>
    </xf>
    <xf numFmtId="0" fontId="0" fillId="14" borderId="49" xfId="0" applyFill="1" applyBorder="1" applyAlignment="1">
      <alignment/>
    </xf>
    <xf numFmtId="0" fontId="3" fillId="14" borderId="29" xfId="0" applyFont="1" applyFill="1" applyBorder="1" applyAlignment="1">
      <alignment vertical="center"/>
    </xf>
    <xf numFmtId="0" fontId="3" fillId="14" borderId="29" xfId="0" applyFont="1" applyFill="1" applyBorder="1" applyAlignment="1">
      <alignment horizontal="center" vertical="center"/>
    </xf>
    <xf numFmtId="0" fontId="3" fillId="14" borderId="30" xfId="0" applyFont="1" applyFill="1" applyBorder="1" applyAlignment="1">
      <alignment horizontal="center" vertical="center"/>
    </xf>
    <xf numFmtId="0" fontId="3" fillId="12" borderId="0" xfId="11" applyFill="1">
      <alignment/>
      <protection/>
    </xf>
    <xf numFmtId="0" fontId="40" fillId="12" borderId="0" xfId="11" applyFont="1" applyFill="1" applyAlignment="1">
      <alignment vertical="top"/>
      <protection/>
    </xf>
    <xf numFmtId="0" fontId="29" fillId="12" borderId="0" xfId="11" applyFont="1" applyFill="1" applyAlignment="1">
      <alignment wrapText="1"/>
      <protection/>
    </xf>
    <xf numFmtId="0" fontId="40" fillId="12" borderId="0" xfId="11" applyFont="1" applyFill="1" applyAlignment="1">
      <alignment wrapText="1"/>
      <protection/>
    </xf>
    <xf numFmtId="0" fontId="40" fillId="12" borderId="0" xfId="11" applyFont="1" applyFill="1">
      <alignment/>
      <protection/>
    </xf>
    <xf numFmtId="0" fontId="41" fillId="12" borderId="0" xfId="10" applyFont="1" applyFill="1" applyAlignment="1" applyProtection="1">
      <alignment/>
      <protection/>
    </xf>
    <xf numFmtId="0" fontId="40" fillId="12" borderId="0" xfId="11" applyFont="1" applyFill="1" applyBorder="1" applyAlignment="1">
      <alignment wrapText="1"/>
      <protection/>
    </xf>
    <xf numFmtId="0" fontId="5" fillId="12" borderId="0" xfId="11" applyFont="1" applyFill="1" applyBorder="1" applyAlignment="1">
      <alignment horizontal="right" wrapText="1"/>
      <protection/>
    </xf>
    <xf numFmtId="0" fontId="40" fillId="12" borderId="0" xfId="11" applyFont="1" applyFill="1" applyBorder="1" applyAlignment="1">
      <alignment horizontal="right" wrapText="1"/>
      <protection/>
    </xf>
    <xf numFmtId="0" fontId="7" fillId="12" borderId="0" xfId="0" applyFont="1" applyFill="1" applyAlignment="1">
      <alignment horizontal="center"/>
    </xf>
    <xf numFmtId="0" fontId="1" fillId="0" borderId="0" xfId="0" applyFont="1">
      <alignment/>
    </xf>
    <xf numFmtId="0" fontId="11" fillId="12" borderId="0" xfId="0" applyFont="1" applyFill="1" applyAlignment="1">
      <alignment horizont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>
      <alignment/>
    </xf>
    <xf numFmtId="0" fontId="0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0" fontId="0" fillId="0" borderId="0" xfId="0" applyNumberFormat="1" applyFont="1" applyFill="1">
      <alignment/>
    </xf>
    <xf numFmtId="0" fontId="6" fillId="12" borderId="0" xfId="0" applyFont="1" applyFill="1" applyAlignment="1">
      <alignment horizontal="center" wrapText="1"/>
    </xf>
    <xf numFmtId="0" fontId="44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vertical="center" wrapText="1"/>
    </xf>
    <xf numFmtId="0" fontId="16" fillId="12" borderId="0" xfId="0" applyFont="1" applyFill="1" applyAlignment="1">
      <alignment horizontal="left" wrapText="1"/>
    </xf>
    <xf numFmtId="0" fontId="17" fillId="12" borderId="0" xfId="0" applyFont="1" applyFill="1" applyAlignment="1">
      <alignment horizontal="left" wrapText="1"/>
    </xf>
    <xf numFmtId="0" fontId="6" fillId="12" borderId="0" xfId="0" applyFont="1" applyFill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23" fillId="12" borderId="0" xfId="0" applyFont="1" applyFill="1" applyAlignment="1">
      <alignment horizontal="center" wrapText="1"/>
    </xf>
    <xf numFmtId="0" fontId="14" fillId="12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6" fillId="12" borderId="0" xfId="0" applyFont="1" applyFill="1" applyAlignment="1">
      <alignment horizontal="center" vertical="top" wrapText="1"/>
    </xf>
    <xf numFmtId="0" fontId="0" fillId="12" borderId="0" xfId="0" applyFill="1" applyAlignment="1">
      <alignment vertical="top" wrapText="1"/>
    </xf>
    <xf numFmtId="0" fontId="0" fillId="12" borderId="0" xfId="0" applyFill="1" applyAlignment="1">
      <alignment horizontal="center" wrapText="1"/>
    </xf>
    <xf numFmtId="0" fontId="33" fillId="12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0" fillId="15" borderId="0" xfId="0" applyFill="1" applyAlignment="1">
      <alignment/>
    </xf>
    <xf numFmtId="0" fontId="0" fillId="0" borderId="0" xfId="0" applyAlignment="1">
      <alignment/>
    </xf>
    <xf numFmtId="0" fontId="2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7" borderId="50" xfId="0" applyNumberFormat="1" applyFill="1" applyBorder="1" applyAlignment="1" applyProtection="1">
      <alignment vertical="top"/>
      <protection locked="0"/>
    </xf>
    <xf numFmtId="49" fontId="0" fillId="7" borderId="14" xfId="0" applyNumberFormat="1" applyFill="1" applyBorder="1" applyAlignment="1" applyProtection="1">
      <alignment vertical="top"/>
      <protection locked="0"/>
    </xf>
    <xf numFmtId="0" fontId="22" fillId="3" borderId="13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vertical="top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51" xfId="0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15" fillId="12" borderId="0" xfId="11" applyFont="1" applyFill="1" applyAlignment="1">
      <alignment/>
      <protection/>
    </xf>
    <xf numFmtId="0" fontId="3" fillId="12" borderId="0" xfId="11" applyFill="1" applyAlignment="1">
      <alignment/>
      <protection/>
    </xf>
    <xf numFmtId="0" fontId="11" fillId="14" borderId="0" xfId="0" applyFont="1" applyFill="1" applyAlignment="1">
      <alignment horizontal="right"/>
    </xf>
    <xf numFmtId="0" fontId="0" fillId="14" borderId="0" xfId="0" applyFill="1" applyAlignment="1">
      <alignment/>
    </xf>
    <xf numFmtId="0" fontId="7" fillId="12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3" fillId="2" borderId="34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4" xfId="0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/>
      <protection locked="0"/>
    </xf>
    <xf numFmtId="0" fontId="0" fillId="3" borderId="24" xfId="0" applyFill="1" applyBorder="1" applyAlignment="1" applyProtection="1">
      <alignment/>
      <protection locked="0"/>
    </xf>
    <xf numFmtId="0" fontId="7" fillId="12" borderId="22" xfId="0" applyFont="1" applyFill="1" applyBorder="1" applyAlignment="1">
      <alignment/>
    </xf>
    <xf numFmtId="0" fontId="0" fillId="12" borderId="22" xfId="0" applyFill="1" applyBorder="1" applyAlignment="1">
      <alignment/>
    </xf>
    <xf numFmtId="0" fontId="7" fillId="12" borderId="0" xfId="0" applyFont="1" applyFill="1" applyAlignment="1">
      <alignment/>
    </xf>
    <xf numFmtId="0" fontId="0" fillId="12" borderId="0" xfId="0" applyFill="1" applyAlignment="1">
      <alignment/>
    </xf>
    <xf numFmtId="0" fontId="8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3" fillId="12" borderId="22" xfId="0" applyFont="1" applyFill="1" applyBorder="1" applyAlignment="1">
      <alignment/>
    </xf>
    <xf numFmtId="3" fontId="3" fillId="2" borderId="34" xfId="0" applyNumberFormat="1" applyFont="1" applyFill="1" applyBorder="1" applyAlignment="1" applyProtection="1">
      <alignment horizontal="left"/>
      <protection locked="0"/>
    </xf>
    <xf numFmtId="3" fontId="0" fillId="3" borderId="22" xfId="0" applyNumberFormat="1" applyFill="1" applyBorder="1" applyAlignment="1" applyProtection="1">
      <alignment horizontal="left"/>
      <protection locked="0"/>
    </xf>
    <xf numFmtId="3" fontId="0" fillId="3" borderId="24" xfId="0" applyNumberFormat="1" applyFill="1" applyBorder="1" applyAlignment="1" applyProtection="1">
      <alignment horizontal="left"/>
      <protection locked="0"/>
    </xf>
    <xf numFmtId="3" fontId="0" fillId="3" borderId="22" xfId="0" applyNumberFormat="1" applyFill="1" applyBorder="1" applyAlignment="1" applyProtection="1">
      <alignment/>
      <protection locked="0"/>
    </xf>
    <xf numFmtId="3" fontId="0" fillId="3" borderId="24" xfId="0" applyNumberFormat="1" applyFill="1" applyBorder="1" applyAlignment="1" applyProtection="1">
      <alignment/>
      <protection locked="0"/>
    </xf>
    <xf numFmtId="0" fontId="7" fillId="12" borderId="0" xfId="0" applyFont="1" applyFill="1" applyBorder="1" applyAlignment="1">
      <alignment/>
    </xf>
    <xf numFmtId="0" fontId="0" fillId="12" borderId="0" xfId="0" applyFill="1" applyBorder="1" applyAlignment="1">
      <alignment/>
    </xf>
    <xf numFmtId="0" fontId="7" fillId="12" borderId="53" xfId="0" applyFont="1" applyFill="1" applyBorder="1" applyAlignment="1">
      <alignment/>
    </xf>
    <xf numFmtId="0" fontId="0" fillId="12" borderId="53" xfId="0" applyFill="1" applyBorder="1" applyAlignment="1">
      <alignment/>
    </xf>
    <xf numFmtId="0" fontId="7" fillId="12" borderId="54" xfId="0" applyFont="1" applyFill="1" applyBorder="1" applyAlignment="1">
      <alignment horizontal="left"/>
    </xf>
    <xf numFmtId="0" fontId="0" fillId="12" borderId="54" xfId="0" applyFill="1" applyBorder="1" applyAlignment="1">
      <alignment/>
    </xf>
    <xf numFmtId="0" fontId="7" fillId="12" borderId="54" xfId="0" applyFont="1" applyFill="1" applyBorder="1" applyAlignment="1">
      <alignment/>
    </xf>
    <xf numFmtId="0" fontId="7" fillId="12" borderId="53" xfId="0" applyFont="1" applyFill="1" applyBorder="1" applyAlignment="1">
      <alignment horizontal="left"/>
    </xf>
    <xf numFmtId="0" fontId="3" fillId="12" borderId="53" xfId="0" applyFont="1" applyFill="1" applyBorder="1" applyAlignment="1">
      <alignment/>
    </xf>
    <xf numFmtId="0" fontId="3" fillId="12" borderId="0" xfId="0" applyFont="1" applyFill="1" applyBorder="1" applyAlignment="1">
      <alignment/>
    </xf>
    <xf numFmtId="0" fontId="0" fillId="0" borderId="22" xfId="0" applyBorder="1" applyAlignment="1">
      <alignment/>
    </xf>
    <xf numFmtId="0" fontId="0" fillId="0" borderId="24" xfId="0" applyBorder="1" applyAlignment="1">
      <alignment/>
    </xf>
    <xf numFmtId="0" fontId="0" fillId="3" borderId="34" xfId="0" applyFill="1" applyBorder="1" applyAlignment="1" applyProtection="1">
      <alignment/>
      <protection locked="0"/>
    </xf>
    <xf numFmtId="0" fontId="11" fillId="12" borderId="54" xfId="0" applyFont="1" applyFill="1" applyBorder="1" applyAlignment="1">
      <alignment/>
    </xf>
    <xf numFmtId="0" fontId="11" fillId="0" borderId="54" xfId="0" applyFont="1" applyBorder="1" applyAlignment="1">
      <alignment/>
    </xf>
    <xf numFmtId="0" fontId="3" fillId="12" borderId="0" xfId="0" applyFont="1" applyFill="1" applyAlignment="1">
      <alignment/>
    </xf>
    <xf numFmtId="0" fontId="7" fillId="12" borderId="0" xfId="0" applyFont="1" applyFill="1" applyBorder="1" applyAlignment="1">
      <alignment horizontal="left"/>
    </xf>
    <xf numFmtId="0" fontId="4" fillId="12" borderId="0" xfId="0" applyFont="1" applyFill="1" applyAlignment="1">
      <alignment horizontal="center"/>
    </xf>
    <xf numFmtId="0" fontId="0" fillId="16" borderId="0" xfId="0" applyFill="1" applyAlignment="1">
      <alignment/>
    </xf>
    <xf numFmtId="0" fontId="0" fillId="16" borderId="41" xfId="0" applyFill="1" applyBorder="1" applyAlignment="1">
      <alignment/>
    </xf>
    <xf numFmtId="0" fontId="7" fillId="16" borderId="55" xfId="0" applyFont="1" applyFill="1" applyBorder="1" applyAlignment="1">
      <alignment horizontal="center"/>
    </xf>
    <xf numFmtId="0" fontId="0" fillId="12" borderId="56" xfId="0" applyFill="1" applyBorder="1" applyAlignment="1">
      <alignment/>
    </xf>
    <xf numFmtId="0" fontId="0" fillId="12" borderId="57" xfId="0" applyFill="1" applyBorder="1" applyAlignment="1">
      <alignment/>
    </xf>
    <xf numFmtId="0" fontId="0" fillId="12" borderId="40" xfId="0" applyFill="1" applyBorder="1" applyAlignment="1">
      <alignment/>
    </xf>
    <xf numFmtId="0" fontId="0" fillId="12" borderId="41" xfId="0" applyFill="1" applyBorder="1" applyAlignment="1">
      <alignment/>
    </xf>
    <xf numFmtId="0" fontId="0" fillId="12" borderId="58" xfId="0" applyFill="1" applyBorder="1" applyAlignment="1">
      <alignment/>
    </xf>
    <xf numFmtId="0" fontId="0" fillId="12" borderId="43" xfId="0" applyFill="1" applyBorder="1" applyAlignment="1">
      <alignment/>
    </xf>
    <xf numFmtId="0" fontId="0" fillId="12" borderId="59" xfId="0" applyFill="1" applyBorder="1" applyAlignment="1">
      <alignment/>
    </xf>
    <xf numFmtId="0" fontId="3" fillId="2" borderId="34" xfId="0" applyFont="1" applyFill="1" applyBorder="1" applyAlignment="1" applyProtection="1">
      <alignment/>
      <protection locked="0"/>
    </xf>
    <xf numFmtId="0" fontId="3" fillId="2" borderId="34" xfId="0" applyFont="1" applyFill="1" applyBorder="1" applyAlignment="1" applyProtection="1">
      <alignment/>
      <protection/>
    </xf>
    <xf numFmtId="0" fontId="0" fillId="3" borderId="22" xfId="0" applyFill="1" applyBorder="1" applyAlignment="1" applyProtection="1">
      <alignment/>
      <protection/>
    </xf>
    <xf numFmtId="0" fontId="0" fillId="3" borderId="24" xfId="0" applyFill="1" applyBorder="1" applyAlignment="1" applyProtection="1">
      <alignment/>
      <protection/>
    </xf>
    <xf numFmtId="49" fontId="3" fillId="2" borderId="34" xfId="0" applyNumberFormat="1" applyFont="1" applyFill="1" applyBorder="1" applyAlignment="1" applyProtection="1">
      <alignment horizontal="left"/>
      <protection locked="0"/>
    </xf>
    <xf numFmtId="49" fontId="0" fillId="3" borderId="22" xfId="0" applyNumberFormat="1" applyFill="1" applyBorder="1" applyAlignment="1" applyProtection="1">
      <alignment horizontal="left"/>
      <protection locked="0"/>
    </xf>
    <xf numFmtId="49" fontId="0" fillId="3" borderId="24" xfId="0" applyNumberFormat="1" applyFill="1" applyBorder="1" applyAlignment="1" applyProtection="1">
      <alignment horizontal="left"/>
      <protection locked="0"/>
    </xf>
    <xf numFmtId="0" fontId="14" fillId="12" borderId="0" xfId="0" applyFont="1" applyFill="1" applyAlignment="1">
      <alignment horizontal="center" vertical="center"/>
    </xf>
    <xf numFmtId="0" fontId="28" fillId="14" borderId="0" xfId="0" applyFont="1" applyFill="1" applyAlignment="1">
      <alignment horizontal="center" vertical="center"/>
    </xf>
    <xf numFmtId="0" fontId="7" fillId="12" borderId="53" xfId="0" applyFont="1" applyFill="1" applyBorder="1">
      <alignment/>
    </xf>
    <xf numFmtId="0" fontId="0" fillId="12" borderId="53" xfId="0" applyFill="1" applyBorder="1">
      <alignment/>
    </xf>
    <xf numFmtId="49" fontId="0" fillId="3" borderId="60" xfId="0" applyNumberFormat="1" applyFill="1" applyBorder="1" applyAlignment="1" applyProtection="1">
      <alignment/>
      <protection locked="0"/>
    </xf>
    <xf numFmtId="49" fontId="0" fillId="3" borderId="24" xfId="0" applyNumberFormat="1" applyFill="1" applyBorder="1" applyAlignment="1" applyProtection="1">
      <alignment/>
      <protection locked="0"/>
    </xf>
    <xf numFmtId="0" fontId="0" fillId="16" borderId="0" xfId="0" applyFill="1" applyBorder="1" applyAlignment="1">
      <alignment/>
    </xf>
    <xf numFmtId="0" fontId="7" fillId="12" borderId="22" xfId="0" applyFont="1" applyFill="1" applyBorder="1" applyAlignment="1">
      <alignment horizontal="left"/>
    </xf>
    <xf numFmtId="0" fontId="4" fillId="2" borderId="34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/>
      <protection locked="0"/>
    </xf>
    <xf numFmtId="0" fontId="2" fillId="3" borderId="24" xfId="0" applyFont="1" applyFill="1" applyBorder="1" applyAlignment="1" applyProtection="1">
      <alignment/>
      <protection locked="0"/>
    </xf>
    <xf numFmtId="0" fontId="6" fillId="12" borderId="0" xfId="0" applyFont="1" applyFill="1" applyAlignment="1">
      <alignment horizontal="right" vertical="center"/>
    </xf>
    <xf numFmtId="0" fontId="16" fillId="12" borderId="0" xfId="0" applyFont="1" applyFill="1" applyAlignment="1">
      <alignment horizontal="right" vertical="center"/>
    </xf>
    <xf numFmtId="0" fontId="16" fillId="12" borderId="61" xfId="0" applyFont="1" applyFill="1" applyBorder="1" applyAlignment="1">
      <alignment horizontal="right" vertical="center"/>
    </xf>
    <xf numFmtId="0" fontId="3" fillId="12" borderId="62" xfId="0" applyFont="1" applyFill="1" applyBorder="1" applyAlignment="1">
      <alignment vertical="center"/>
    </xf>
    <xf numFmtId="0" fontId="3" fillId="12" borderId="0" xfId="0" applyFont="1" applyFill="1" applyAlignment="1">
      <alignment vertical="center"/>
    </xf>
    <xf numFmtId="0" fontId="5" fillId="12" borderId="0" xfId="0" applyFont="1" applyFill="1" applyAlignment="1">
      <alignment horizontal="center" vertical="center"/>
    </xf>
    <xf numFmtId="0" fontId="19" fillId="12" borderId="0" xfId="0" applyFont="1" applyFill="1" applyAlignment="1">
      <alignment horizontal="center" vertical="center"/>
    </xf>
    <xf numFmtId="0" fontId="29" fillId="12" borderId="0" xfId="0" applyFont="1" applyFill="1" applyBorder="1" applyAlignment="1">
      <alignment/>
    </xf>
    <xf numFmtId="0" fontId="30" fillId="12" borderId="0" xfId="0" applyFont="1" applyFill="1" applyAlignment="1">
      <alignment/>
    </xf>
    <xf numFmtId="0" fontId="29" fillId="12" borderId="0" xfId="0" applyFont="1" applyFill="1" applyAlignment="1">
      <alignment/>
    </xf>
    <xf numFmtId="0" fontId="32" fillId="9" borderId="62" xfId="0" applyFont="1" applyFill="1" applyBorder="1" applyAlignment="1">
      <alignment horizontal="left" vertical="center" wrapText="1"/>
    </xf>
    <xf numFmtId="0" fontId="32" fillId="0" borderId="62" xfId="0" applyFont="1" applyBorder="1" applyAlignment="1">
      <alignment vertical="center" wrapText="1"/>
    </xf>
    <xf numFmtId="4" fontId="3" fillId="14" borderId="30" xfId="0" applyNumberFormat="1" applyFont="1" applyFill="1" applyBorder="1" applyAlignment="1" applyProtection="1">
      <alignment horizontal="center" vertical="center"/>
      <protection/>
    </xf>
    <xf numFmtId="0" fontId="3" fillId="14" borderId="30" xfId="0" applyFont="1" applyFill="1" applyBorder="1" applyAlignment="1">
      <alignment horizontal="center" vertical="center"/>
    </xf>
    <xf numFmtId="0" fontId="0" fillId="12" borderId="30" xfId="0" applyFill="1" applyBorder="1" applyAlignment="1">
      <alignment vertical="center"/>
    </xf>
    <xf numFmtId="0" fontId="3" fillId="14" borderId="31" xfId="0" applyFont="1" applyFill="1" applyBorder="1" applyAlignment="1">
      <alignment horizontal="center" vertical="center"/>
    </xf>
    <xf numFmtId="0" fontId="3" fillId="14" borderId="63" xfId="0" applyFont="1" applyFill="1" applyBorder="1" applyAlignment="1">
      <alignment horizontal="center" vertical="center"/>
    </xf>
    <xf numFmtId="0" fontId="3" fillId="14" borderId="53" xfId="0" applyFont="1" applyFill="1" applyBorder="1" applyAlignment="1">
      <alignment horizontal="center" vertical="center"/>
    </xf>
    <xf numFmtId="0" fontId="9" fillId="14" borderId="64" xfId="0" applyFont="1" applyFill="1" applyBorder="1" applyAlignment="1">
      <alignment horizontal="center"/>
    </xf>
    <xf numFmtId="0" fontId="10" fillId="14" borderId="48" xfId="0" applyFont="1" applyFill="1" applyBorder="1" applyAlignment="1">
      <alignment horizontal="center"/>
    </xf>
    <xf numFmtId="0" fontId="10" fillId="14" borderId="65" xfId="0" applyFont="1" applyFill="1" applyBorder="1" applyAlignment="1">
      <alignment horizontal="center"/>
    </xf>
    <xf numFmtId="4" fontId="3" fillId="2" borderId="66" xfId="0" applyNumberFormat="1" applyFon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3" borderId="67" xfId="0" applyNumberFormat="1" applyFill="1" applyBorder="1" applyAlignment="1" applyProtection="1">
      <alignment horizontal="center"/>
      <protection locked="0"/>
    </xf>
    <xf numFmtId="0" fontId="0" fillId="14" borderId="44" xfId="0" applyFill="1" applyBorder="1" applyAlignment="1">
      <alignment/>
    </xf>
    <xf numFmtId="0" fontId="0" fillId="14" borderId="68" xfId="0" applyFill="1" applyBorder="1" applyAlignment="1">
      <alignment/>
    </xf>
    <xf numFmtId="14" fontId="3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3" borderId="65" xfId="0" applyFont="1" applyFill="1" applyBorder="1" applyAlignment="1" applyProtection="1">
      <alignment horizontal="center" vertical="center"/>
      <protection locked="0"/>
    </xf>
    <xf numFmtId="0" fontId="3" fillId="14" borderId="69" xfId="0" applyFont="1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14" borderId="68" xfId="0" applyFill="1" applyBorder="1" applyAlignment="1">
      <alignment horizontal="center"/>
    </xf>
    <xf numFmtId="3" fontId="3" fillId="12" borderId="36" xfId="0" applyNumberFormat="1" applyFont="1" applyFill="1" applyBorder="1" applyAlignment="1" applyProtection="1">
      <alignment vertical="center"/>
      <protection/>
    </xf>
    <xf numFmtId="0" fontId="0" fillId="12" borderId="70" xfId="0" applyFill="1" applyBorder="1" applyAlignment="1">
      <alignment vertical="center"/>
    </xf>
    <xf numFmtId="0" fontId="3" fillId="14" borderId="0" xfId="0" applyFont="1" applyFill="1" applyAlignment="1">
      <alignment/>
    </xf>
    <xf numFmtId="0" fontId="9" fillId="14" borderId="71" xfId="0" applyFont="1" applyFill="1" applyBorder="1" applyAlignment="1">
      <alignment horizontal="center" vertical="center"/>
    </xf>
    <xf numFmtId="0" fontId="0" fillId="12" borderId="72" xfId="0" applyFill="1" applyBorder="1" applyAlignment="1">
      <alignment vertical="center"/>
    </xf>
    <xf numFmtId="0" fontId="3" fillId="14" borderId="37" xfId="0" applyFont="1" applyFill="1" applyBorder="1" applyAlignment="1" applyProtection="1">
      <alignment horizontal="center" vertical="center"/>
      <protection/>
    </xf>
    <xf numFmtId="0" fontId="3" fillId="14" borderId="44" xfId="0" applyFont="1" applyFill="1" applyBorder="1" applyAlignment="1" applyProtection="1">
      <alignment horizontal="center" vertical="center"/>
      <protection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18" xfId="0" applyFont="1" applyFill="1" applyBorder="1" applyAlignment="1" applyProtection="1">
      <alignment horizontal="center" vertical="center" wrapText="1"/>
      <protection locked="0"/>
    </xf>
    <xf numFmtId="0" fontId="3" fillId="14" borderId="71" xfId="0" applyFont="1" applyFill="1" applyBorder="1" applyAlignment="1">
      <alignment horizontal="center" vertical="center" wrapText="1"/>
    </xf>
    <xf numFmtId="0" fontId="3" fillId="14" borderId="38" xfId="0" applyFont="1" applyFill="1" applyBorder="1" applyAlignment="1">
      <alignment horizontal="center" vertical="center" wrapText="1"/>
    </xf>
    <xf numFmtId="0" fontId="3" fillId="14" borderId="73" xfId="0" applyFont="1" applyFill="1" applyBorder="1" applyAlignment="1">
      <alignment horizontal="center" vertical="center" wrapText="1"/>
    </xf>
    <xf numFmtId="0" fontId="3" fillId="14" borderId="29" xfId="0" applyFont="1" applyFill="1" applyBorder="1" applyAlignment="1">
      <alignment horizontal="center" vertical="center" wrapText="1"/>
    </xf>
    <xf numFmtId="0" fontId="3" fillId="14" borderId="30" xfId="0" applyFont="1" applyFill="1" applyBorder="1" applyAlignment="1">
      <alignment horizontal="center" vertical="center" wrapText="1"/>
    </xf>
    <xf numFmtId="0" fontId="3" fillId="14" borderId="31" xfId="0" applyFont="1" applyFill="1" applyBorder="1" applyAlignment="1">
      <alignment horizontal="center" vertical="center" wrapText="1"/>
    </xf>
    <xf numFmtId="0" fontId="10" fillId="14" borderId="6" xfId="0" applyFont="1" applyFill="1" applyBorder="1" applyAlignment="1">
      <alignment horizontal="center" vertical="center"/>
    </xf>
    <xf numFmtId="0" fontId="10" fillId="14" borderId="36" xfId="0" applyFont="1" applyFill="1" applyBorder="1" applyAlignment="1">
      <alignment horizontal="center" vertical="center"/>
    </xf>
    <xf numFmtId="0" fontId="10" fillId="14" borderId="30" xfId="0" applyFont="1" applyFill="1" applyBorder="1" applyAlignment="1">
      <alignment horizontal="center" vertical="center"/>
    </xf>
    <xf numFmtId="0" fontId="10" fillId="14" borderId="35" xfId="0" applyFont="1" applyFill="1" applyBorder="1" applyAlignment="1">
      <alignment horizontal="center" vertical="center"/>
    </xf>
    <xf numFmtId="0" fontId="9" fillId="14" borderId="32" xfId="0" applyFont="1" applyFill="1" applyBorder="1" applyAlignment="1">
      <alignment horizontal="center" vertical="center"/>
    </xf>
    <xf numFmtId="0" fontId="0" fillId="12" borderId="33" xfId="0" applyFill="1" applyBorder="1" applyAlignment="1">
      <alignment horizontal="center" vertical="center"/>
    </xf>
    <xf numFmtId="0" fontId="3" fillId="14" borderId="62" xfId="0" applyFont="1" applyFill="1" applyBorder="1" applyAlignment="1">
      <alignment horizontal="center" vertical="center" wrapText="1"/>
    </xf>
    <xf numFmtId="0" fontId="0" fillId="12" borderId="41" xfId="0" applyFill="1" applyBorder="1" applyAlignment="1">
      <alignment horizontal="center" vertical="center" wrapText="1"/>
    </xf>
    <xf numFmtId="0" fontId="0" fillId="12" borderId="62" xfId="0" applyFill="1" applyBorder="1" applyAlignment="1">
      <alignment horizontal="center" vertical="center" wrapText="1"/>
    </xf>
    <xf numFmtId="0" fontId="3" fillId="3" borderId="56" xfId="0" applyFont="1" applyFill="1" applyBorder="1" applyAlignment="1" applyProtection="1">
      <alignment horizontal="left" vertical="top" wrapText="1"/>
      <protection locked="0"/>
    </xf>
    <xf numFmtId="0" fontId="3" fillId="3" borderId="74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61" xfId="0" applyFont="1" applyFill="1" applyBorder="1" applyAlignment="1" applyProtection="1">
      <alignment horizontal="left" vertical="top" wrapText="1"/>
      <protection locked="0"/>
    </xf>
    <xf numFmtId="0" fontId="4" fillId="14" borderId="22" xfId="0" applyFont="1" applyFill="1" applyBorder="1" applyAlignment="1">
      <alignment/>
    </xf>
    <xf numFmtId="4" fontId="0" fillId="3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67" xfId="0" applyNumberFormat="1" applyBorder="1" applyAlignment="1">
      <alignment/>
    </xf>
    <xf numFmtId="0" fontId="3" fillId="14" borderId="36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9" fillId="14" borderId="48" xfId="0" applyFont="1" applyFill="1" applyBorder="1" applyAlignment="1">
      <alignment horizontal="center"/>
    </xf>
    <xf numFmtId="0" fontId="0" fillId="12" borderId="48" xfId="0" applyFill="1" applyBorder="1" applyAlignment="1">
      <alignment/>
    </xf>
    <xf numFmtId="0" fontId="0" fillId="12" borderId="65" xfId="0" applyFill="1" applyBorder="1" applyAlignment="1">
      <alignment/>
    </xf>
    <xf numFmtId="3" fontId="3" fillId="2" borderId="36" xfId="0" applyNumberFormat="1" applyFont="1" applyFill="1" applyBorder="1" applyAlignment="1" applyProtection="1">
      <alignment horizontal="center" vertical="center"/>
      <protection/>
    </xf>
    <xf numFmtId="3" fontId="3" fillId="2" borderId="70" xfId="0" applyNumberFormat="1" applyFont="1" applyFill="1" applyBorder="1" applyAlignment="1" applyProtection="1">
      <alignment horizontal="center" vertical="center"/>
      <protection/>
    </xf>
    <xf numFmtId="0" fontId="3" fillId="14" borderId="0" xfId="0" applyFont="1" applyFill="1" applyBorder="1" applyAlignment="1">
      <alignment vertical="center"/>
    </xf>
    <xf numFmtId="0" fontId="3" fillId="14" borderId="61" xfId="0" applyFont="1" applyFill="1" applyBorder="1" applyAlignment="1">
      <alignment vertical="center"/>
    </xf>
    <xf numFmtId="0" fontId="3" fillId="3" borderId="36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70" xfId="0" applyFont="1" applyFill="1" applyBorder="1" applyAlignment="1" applyProtection="1">
      <alignment horizontal="left" vertical="center"/>
      <protection locked="0"/>
    </xf>
    <xf numFmtId="0" fontId="3" fillId="14" borderId="27" xfId="0" applyFont="1" applyFill="1" applyBorder="1" applyAlignment="1">
      <alignment vertical="center" textRotation="90" wrapText="1"/>
    </xf>
    <xf numFmtId="0" fontId="3" fillId="14" borderId="28" xfId="0" applyFont="1" applyFill="1" applyBorder="1" applyAlignment="1">
      <alignment vertical="center" textRotation="90" wrapText="1"/>
    </xf>
    <xf numFmtId="4" fontId="3" fillId="3" borderId="6" xfId="0" applyNumberFormat="1" applyFont="1" applyFill="1" applyBorder="1" applyAlignment="1" applyProtection="1">
      <alignment horizontal="center" vertical="center"/>
      <protection locked="0"/>
    </xf>
    <xf numFmtId="4" fontId="3" fillId="3" borderId="32" xfId="0" applyNumberFormat="1" applyFont="1" applyFill="1" applyBorder="1" applyAlignment="1" applyProtection="1">
      <alignment horizontal="center" vertical="center"/>
      <protection locked="0"/>
    </xf>
    <xf numFmtId="0" fontId="3" fillId="14" borderId="36" xfId="0" applyFont="1" applyFill="1" applyBorder="1" applyAlignment="1">
      <alignment vertical="center"/>
    </xf>
    <xf numFmtId="0" fontId="3" fillId="14" borderId="70" xfId="0" applyFont="1" applyFill="1" applyBorder="1" applyAlignment="1">
      <alignment vertical="center"/>
    </xf>
    <xf numFmtId="0" fontId="0" fillId="12" borderId="7" xfId="0" applyFill="1" applyBorder="1" applyAlignment="1">
      <alignment vertical="center"/>
    </xf>
    <xf numFmtId="0" fontId="0" fillId="12" borderId="67" xfId="0" applyFill="1" applyBorder="1" applyAlignment="1">
      <alignment vertical="center"/>
    </xf>
    <xf numFmtId="0" fontId="3" fillId="14" borderId="37" xfId="0" applyFont="1" applyFill="1" applyBorder="1" applyAlignment="1">
      <alignment vertical="center"/>
    </xf>
    <xf numFmtId="0" fontId="3" fillId="14" borderId="49" xfId="0" applyFont="1" applyFill="1" applyBorder="1" applyAlignment="1">
      <alignment vertical="center"/>
    </xf>
    <xf numFmtId="0" fontId="0" fillId="12" borderId="44" xfId="0" applyFill="1" applyBorder="1" applyAlignment="1">
      <alignment vertical="center"/>
    </xf>
    <xf numFmtId="0" fontId="0" fillId="12" borderId="68" xfId="0" applyFill="1" applyBorder="1" applyAlignment="1">
      <alignment vertical="center"/>
    </xf>
    <xf numFmtId="0" fontId="4" fillId="17" borderId="35" xfId="0" applyFont="1" applyFill="1" applyBorder="1" applyAlignment="1" applyProtection="1">
      <alignment horizontal="center" vertical="center"/>
      <protection locked="0"/>
    </xf>
    <xf numFmtId="0" fontId="2" fillId="17" borderId="48" xfId="0" applyFont="1" applyFill="1" applyBorder="1" applyAlignment="1" applyProtection="1">
      <alignment horizontal="center" vertical="center"/>
      <protection locked="0"/>
    </xf>
    <xf numFmtId="0" fontId="2" fillId="17" borderId="75" xfId="0" applyFont="1" applyFill="1" applyBorder="1" applyAlignment="1" applyProtection="1">
      <alignment horizontal="center" vertical="center"/>
      <protection locked="0"/>
    </xf>
    <xf numFmtId="0" fontId="9" fillId="14" borderId="4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76" xfId="0" applyFill="1" applyBorder="1" applyAlignment="1">
      <alignment horizontal="center" vertical="center" wrapText="1"/>
    </xf>
    <xf numFmtId="0" fontId="0" fillId="12" borderId="54" xfId="0" applyFill="1" applyBorder="1" applyAlignment="1">
      <alignment horizontal="center" vertical="center" wrapText="1"/>
    </xf>
    <xf numFmtId="0" fontId="0" fillId="12" borderId="77" xfId="0" applyFill="1" applyBorder="1" applyAlignment="1">
      <alignment horizontal="center" vertical="center" wrapText="1"/>
    </xf>
    <xf numFmtId="0" fontId="10" fillId="14" borderId="78" xfId="0" applyFont="1" applyFill="1" applyBorder="1" applyAlignment="1">
      <alignment horizontal="center" vertical="center" wrapText="1"/>
    </xf>
    <xf numFmtId="0" fontId="0" fillId="12" borderId="79" xfId="0" applyFill="1" applyBorder="1" applyAlignment="1">
      <alignment horizontal="center" vertical="center" wrapText="1"/>
    </xf>
    <xf numFmtId="0" fontId="3" fillId="14" borderId="66" xfId="0" applyFont="1" applyFill="1" applyBorder="1" applyAlignment="1" applyProtection="1">
      <alignment horizontal="center" vertical="center"/>
      <protection/>
    </xf>
    <xf numFmtId="0" fontId="0" fillId="12" borderId="70" xfId="0" applyFill="1" applyBorder="1" applyAlignment="1" applyProtection="1">
      <alignment horizontal="center" vertical="center"/>
      <protection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26" fillId="14" borderId="64" xfId="0" applyFont="1" applyFill="1" applyBorder="1" applyAlignment="1">
      <alignment horizontal="center" vertical="center"/>
    </xf>
    <xf numFmtId="0" fontId="2" fillId="12" borderId="48" xfId="0" applyFont="1" applyFill="1" applyBorder="1" applyAlignment="1">
      <alignment horizontal="center" vertical="center"/>
    </xf>
    <xf numFmtId="0" fontId="2" fillId="12" borderId="75" xfId="0" applyFont="1" applyFill="1" applyBorder="1" applyAlignment="1">
      <alignment horizontal="center" vertical="center"/>
    </xf>
    <xf numFmtId="0" fontId="3" fillId="3" borderId="66" xfId="0" applyFont="1" applyFill="1" applyBorder="1" applyAlignment="1" applyProtection="1">
      <alignment horizontal="center" vertical="center"/>
      <protection/>
    </xf>
    <xf numFmtId="0" fontId="0" fillId="0" borderId="70" xfId="0" applyBorder="1" applyAlignment="1" applyProtection="1">
      <alignment horizontal="center" vertical="center"/>
      <protection/>
    </xf>
    <xf numFmtId="0" fontId="3" fillId="14" borderId="66" xfId="0" applyFont="1" applyFill="1" applyBorder="1" applyAlignment="1">
      <alignment horizontal="center" vertical="center"/>
    </xf>
    <xf numFmtId="0" fontId="0" fillId="12" borderId="70" xfId="0" applyFill="1" applyBorder="1" applyAlignment="1">
      <alignment horizontal="center" vertical="center"/>
    </xf>
    <xf numFmtId="0" fontId="3" fillId="4" borderId="36" xfId="0" applyFont="1" applyFill="1" applyBorder="1" applyAlignment="1" applyProtection="1">
      <alignment horizontal="center" vertical="center"/>
      <protection/>
    </xf>
    <xf numFmtId="0" fontId="3" fillId="4" borderId="7" xfId="0" applyFont="1" applyFill="1" applyBorder="1" applyAlignment="1" applyProtection="1">
      <alignment horizontal="center" vertical="center"/>
      <protection/>
    </xf>
    <xf numFmtId="0" fontId="0" fillId="12" borderId="70" xfId="0" applyFill="1" applyBorder="1" applyAlignment="1" applyProtection="1">
      <alignment vertical="center"/>
      <protection/>
    </xf>
    <xf numFmtId="0" fontId="3" fillId="3" borderId="66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4" fillId="14" borderId="64" xfId="0" applyFont="1" applyFill="1" applyBorder="1" applyAlignment="1">
      <alignment horizontal="center" vertical="center" wrapText="1"/>
    </xf>
    <xf numFmtId="0" fontId="2" fillId="12" borderId="48" xfId="0" applyFont="1" applyFill="1" applyBorder="1" applyAlignment="1">
      <alignment wrapText="1"/>
    </xf>
    <xf numFmtId="0" fontId="2" fillId="12" borderId="75" xfId="0" applyFont="1" applyFill="1" applyBorder="1" applyAlignment="1">
      <alignment wrapText="1"/>
    </xf>
    <xf numFmtId="0" fontId="7" fillId="14" borderId="55" xfId="0" applyFont="1" applyFill="1" applyBorder="1" applyAlignment="1">
      <alignment horizontal="center" vertical="center" wrapText="1"/>
    </xf>
    <xf numFmtId="0" fontId="0" fillId="12" borderId="57" xfId="0" applyFill="1" applyBorder="1" applyAlignment="1">
      <alignment horizontal="center" vertical="center" wrapText="1"/>
    </xf>
    <xf numFmtId="0" fontId="0" fillId="12" borderId="40" xfId="0" applyFill="1" applyBorder="1" applyAlignment="1">
      <alignment horizontal="center" vertical="center" wrapText="1"/>
    </xf>
    <xf numFmtId="0" fontId="0" fillId="12" borderId="58" xfId="0" applyFill="1" applyBorder="1" applyAlignment="1">
      <alignment horizontal="center" vertical="center" wrapText="1"/>
    </xf>
    <xf numFmtId="0" fontId="0" fillId="12" borderId="59" xfId="0" applyFill="1" applyBorder="1" applyAlignment="1">
      <alignment horizontal="center" vertical="center" wrapText="1"/>
    </xf>
    <xf numFmtId="0" fontId="7" fillId="14" borderId="80" xfId="0" applyFont="1" applyFill="1" applyBorder="1" applyAlignment="1">
      <alignment horizontal="center" vertical="center" wrapText="1"/>
    </xf>
    <xf numFmtId="0" fontId="0" fillId="12" borderId="81" xfId="0" applyFill="1" applyBorder="1" applyAlignment="1">
      <alignment horizontal="center" vertical="center" wrapText="1"/>
    </xf>
    <xf numFmtId="0" fontId="7" fillId="14" borderId="53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43" xfId="0" applyFill="1" applyBorder="1" applyAlignment="1">
      <alignment horizontal="center" vertical="center" wrapText="1"/>
    </xf>
    <xf numFmtId="0" fontId="7" fillId="14" borderId="82" xfId="0" applyFont="1" applyFill="1" applyBorder="1" applyAlignment="1">
      <alignment horizontal="center" vertical="center" wrapText="1"/>
    </xf>
    <xf numFmtId="0" fontId="0" fillId="12" borderId="39" xfId="0" applyFill="1" applyBorder="1" applyAlignment="1">
      <alignment horizontal="center" vertical="center" wrapText="1"/>
    </xf>
    <xf numFmtId="0" fontId="0" fillId="12" borderId="42" xfId="0" applyFill="1" applyBorder="1" applyAlignment="1">
      <alignment horizontal="center" vertical="center" wrapText="1"/>
    </xf>
    <xf numFmtId="0" fontId="7" fillId="14" borderId="53" xfId="0" applyFont="1" applyFill="1" applyBorder="1" applyAlignment="1">
      <alignment horizontal="center" vertical="center" textRotation="90" wrapText="1"/>
    </xf>
    <xf numFmtId="0" fontId="0" fillId="12" borderId="0" xfId="0" applyFill="1" applyBorder="1" applyAlignment="1">
      <alignment horizontal="center" vertical="center" textRotation="90" wrapText="1"/>
    </xf>
    <xf numFmtId="0" fontId="0" fillId="12" borderId="43" xfId="0" applyFill="1" applyBorder="1" applyAlignment="1">
      <alignment horizontal="center" vertical="center" textRotation="90" wrapText="1"/>
    </xf>
    <xf numFmtId="0" fontId="7" fillId="14" borderId="55" xfId="0" applyFont="1" applyFill="1" applyBorder="1" applyAlignment="1">
      <alignment horizontal="center"/>
    </xf>
    <xf numFmtId="0" fontId="7" fillId="14" borderId="57" xfId="0" applyFont="1" applyFill="1" applyBorder="1" applyAlignment="1">
      <alignment horizontal="center"/>
    </xf>
    <xf numFmtId="0" fontId="7" fillId="14" borderId="36" xfId="0" applyFont="1" applyFill="1" applyBorder="1" applyAlignment="1">
      <alignment horizontal="center"/>
    </xf>
    <xf numFmtId="0" fontId="0" fillId="12" borderId="70" xfId="0" applyFill="1" applyBorder="1" applyAlignment="1">
      <alignment horizontal="center"/>
    </xf>
    <xf numFmtId="0" fontId="7" fillId="12" borderId="53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 wrapText="1"/>
    </xf>
    <xf numFmtId="0" fontId="7" fillId="14" borderId="58" xfId="0" applyFont="1" applyFill="1" applyBorder="1" applyAlignment="1">
      <alignment horizontal="center"/>
    </xf>
    <xf numFmtId="0" fontId="7" fillId="14" borderId="59" xfId="0" applyFont="1" applyFill="1" applyBorder="1" applyAlignment="1">
      <alignment horizontal="center"/>
    </xf>
    <xf numFmtId="0" fontId="7" fillId="14" borderId="40" xfId="0" applyFont="1" applyFill="1" applyBorder="1" applyAlignment="1">
      <alignment horizontal="center"/>
    </xf>
    <xf numFmtId="0" fontId="11" fillId="14" borderId="41" xfId="0" applyFont="1" applyFill="1" applyBorder="1" applyAlignment="1">
      <alignment horizontal="center"/>
    </xf>
    <xf numFmtId="0" fontId="7" fillId="12" borderId="7" xfId="0" applyFont="1" applyFill="1" applyBorder="1" applyAlignment="1">
      <alignment horizontal="center"/>
    </xf>
    <xf numFmtId="0" fontId="11" fillId="12" borderId="7" xfId="0" applyFont="1" applyFill="1" applyBorder="1" applyAlignment="1">
      <alignment horizontal="center"/>
    </xf>
    <xf numFmtId="0" fontId="7" fillId="14" borderId="78" xfId="0" applyFont="1" applyFill="1" applyBorder="1" applyAlignment="1">
      <alignment horizontal="center" vertical="center" wrapText="1" shrinkToFit="1"/>
    </xf>
    <xf numFmtId="0" fontId="11" fillId="12" borderId="79" xfId="0" applyFont="1" applyFill="1" applyBorder="1" applyAlignment="1">
      <alignment horizontal="center" vertical="center" wrapText="1" shrinkToFit="1"/>
    </xf>
    <xf numFmtId="0" fontId="11" fillId="12" borderId="40" xfId="0" applyFont="1" applyFill="1" applyBorder="1" applyAlignment="1">
      <alignment horizontal="center" vertical="center" wrapText="1" shrinkToFit="1"/>
    </xf>
    <xf numFmtId="0" fontId="11" fillId="12" borderId="41" xfId="0" applyFont="1" applyFill="1" applyBorder="1" applyAlignment="1">
      <alignment horizontal="center" vertical="center" wrapText="1" shrinkToFit="1"/>
    </xf>
    <xf numFmtId="0" fontId="11" fillId="12" borderId="58" xfId="0" applyFont="1" applyFill="1" applyBorder="1" applyAlignment="1">
      <alignment horizontal="center" vertical="center" wrapText="1" shrinkToFit="1"/>
    </xf>
    <xf numFmtId="0" fontId="11" fillId="12" borderId="59" xfId="0" applyFont="1" applyFill="1" applyBorder="1" applyAlignment="1">
      <alignment horizontal="center" vertical="center" wrapText="1" shrinkToFit="1"/>
    </xf>
    <xf numFmtId="0" fontId="7" fillId="14" borderId="35" xfId="0" applyFont="1" applyFill="1" applyBorder="1" applyAlignment="1">
      <alignment/>
    </xf>
    <xf numFmtId="0" fontId="0" fillId="12" borderId="75" xfId="0" applyFill="1" applyBorder="1" applyAlignment="1">
      <alignment/>
    </xf>
    <xf numFmtId="0" fontId="9" fillId="14" borderId="35" xfId="0" applyFont="1" applyFill="1" applyBorder="1" applyAlignment="1">
      <alignment horizontal="center"/>
    </xf>
    <xf numFmtId="0" fontId="0" fillId="12" borderId="48" xfId="0" applyFill="1" applyBorder="1" applyAlignment="1">
      <alignment horizontal="center"/>
    </xf>
    <xf numFmtId="0" fontId="0" fillId="12" borderId="75" xfId="0" applyFill="1" applyBorder="1" applyAlignment="1">
      <alignment horizontal="center"/>
    </xf>
    <xf numFmtId="0" fontId="7" fillId="14" borderId="83" xfId="0" applyFont="1" applyFill="1" applyBorder="1" applyAlignment="1">
      <alignment horizontal="center" textRotation="90"/>
    </xf>
    <xf numFmtId="0" fontId="0" fillId="12" borderId="84" xfId="0" applyFill="1" applyBorder="1" applyAlignment="1">
      <alignment horizontal="center" textRotation="90"/>
    </xf>
    <xf numFmtId="0" fontId="0" fillId="12" borderId="85" xfId="0" applyFill="1" applyBorder="1" applyAlignment="1">
      <alignment horizontal="center" textRotation="90"/>
    </xf>
    <xf numFmtId="3" fontId="3" fillId="2" borderId="36" xfId="0" applyNumberFormat="1" applyFont="1" applyFill="1" applyBorder="1" applyAlignment="1" applyProtection="1">
      <alignment horizontal="center" vertical="center"/>
      <protection locked="0"/>
    </xf>
    <xf numFmtId="3" fontId="3" fillId="2" borderId="70" xfId="0" applyNumberFormat="1" applyFont="1" applyFill="1" applyBorder="1" applyAlignment="1" applyProtection="1">
      <alignment horizontal="center" vertical="center"/>
      <protection locked="0"/>
    </xf>
    <xf numFmtId="0" fontId="7" fillId="14" borderId="6" xfId="0" applyFont="1" applyFill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3" fillId="3" borderId="55" xfId="0" applyFont="1" applyFill="1" applyBorder="1" applyAlignment="1" applyProtection="1">
      <alignment vertical="center"/>
      <protection locked="0"/>
    </xf>
    <xf numFmtId="0" fontId="3" fillId="3" borderId="56" xfId="0" applyFont="1" applyFill="1" applyBorder="1" applyAlignment="1" applyProtection="1">
      <alignment vertical="center"/>
      <protection locked="0"/>
    </xf>
    <xf numFmtId="0" fontId="3" fillId="3" borderId="57" xfId="0" applyFont="1" applyFill="1" applyBorder="1" applyAlignment="1" applyProtection="1">
      <alignment vertical="center"/>
      <protection locked="0"/>
    </xf>
    <xf numFmtId="0" fontId="3" fillId="3" borderId="4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41" xfId="0" applyFont="1" applyFill="1" applyBorder="1" applyAlignment="1" applyProtection="1">
      <alignment vertical="center"/>
      <protection locked="0"/>
    </xf>
    <xf numFmtId="0" fontId="3" fillId="3" borderId="76" xfId="0" applyFont="1" applyFill="1" applyBorder="1" applyAlignment="1" applyProtection="1">
      <alignment vertical="center"/>
      <protection locked="0"/>
    </xf>
    <xf numFmtId="0" fontId="3" fillId="3" borderId="54" xfId="0" applyFont="1" applyFill="1" applyBorder="1" applyAlignment="1" applyProtection="1">
      <alignment vertical="center"/>
      <protection locked="0"/>
    </xf>
    <xf numFmtId="0" fontId="3" fillId="3" borderId="77" xfId="0" applyFont="1" applyFill="1" applyBorder="1" applyAlignment="1" applyProtection="1">
      <alignment vertical="center"/>
      <protection locked="0"/>
    </xf>
    <xf numFmtId="0" fontId="9" fillId="14" borderId="86" xfId="0" applyFont="1" applyFill="1" applyBorder="1" applyAlignment="1">
      <alignment vertical="center"/>
    </xf>
    <xf numFmtId="0" fontId="10" fillId="12" borderId="54" xfId="0" applyFont="1" applyFill="1" applyBorder="1" applyAlignment="1">
      <alignment vertical="center"/>
    </xf>
    <xf numFmtId="3" fontId="0" fillId="3" borderId="37" xfId="0" applyNumberForma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6" fillId="14" borderId="62" xfId="0" applyFont="1" applyFill="1" applyBorder="1" applyAlignment="1">
      <alignment vertical="center"/>
    </xf>
    <xf numFmtId="0" fontId="2" fillId="14" borderId="0" xfId="0" applyFont="1" applyFill="1" applyBorder="1" applyAlignment="1">
      <alignment vertical="center"/>
    </xf>
    <xf numFmtId="0" fontId="9" fillId="14" borderId="0" xfId="0" applyFont="1" applyFill="1" applyBorder="1" applyAlignment="1">
      <alignment horizontal="right" vertical="center"/>
    </xf>
    <xf numFmtId="0" fontId="0" fillId="14" borderId="0" xfId="0" applyFill="1" applyBorder="1" applyAlignment="1">
      <alignment vertical="center"/>
    </xf>
    <xf numFmtId="0" fontId="0" fillId="14" borderId="41" xfId="0" applyFill="1" applyBorder="1" applyAlignment="1">
      <alignment vertical="center"/>
    </xf>
    <xf numFmtId="0" fontId="9" fillId="14" borderId="62" xfId="0" applyFont="1" applyFill="1" applyBorder="1" applyAlignment="1">
      <alignment vertical="center"/>
    </xf>
    <xf numFmtId="0" fontId="3" fillId="3" borderId="66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0" xfId="0" applyBorder="1" applyAlignment="1" applyProtection="1">
      <alignment vertical="center"/>
      <protection locked="0"/>
    </xf>
    <xf numFmtId="0" fontId="3" fillId="14" borderId="86" xfId="0" applyFont="1" applyFill="1" applyBorder="1" applyAlignment="1" applyProtection="1">
      <alignment vertical="center"/>
      <protection/>
    </xf>
    <xf numFmtId="0" fontId="0" fillId="12" borderId="54" xfId="0" applyFill="1" applyBorder="1" applyAlignment="1" applyProtection="1">
      <alignment vertical="center"/>
      <protection/>
    </xf>
    <xf numFmtId="0" fontId="0" fillId="12" borderId="87" xfId="0" applyFill="1" applyBorder="1" applyAlignment="1" applyProtection="1">
      <alignment vertical="center"/>
      <protection/>
    </xf>
    <xf numFmtId="0" fontId="9" fillId="14" borderId="27" xfId="0" applyFont="1" applyFill="1" applyBorder="1" applyAlignment="1">
      <alignment horizontal="center" vertical="center" textRotation="90" wrapText="1"/>
    </xf>
    <xf numFmtId="0" fontId="0" fillId="12" borderId="27" xfId="0" applyFill="1" applyBorder="1" applyAlignment="1">
      <alignment vertical="center" textRotation="90" wrapText="1"/>
    </xf>
    <xf numFmtId="0" fontId="0" fillId="12" borderId="28" xfId="0" applyFill="1" applyBorder="1" applyAlignment="1">
      <alignment vertical="center" textRotation="90" wrapText="1"/>
    </xf>
    <xf numFmtId="0" fontId="9" fillId="14" borderId="6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3" fillId="14" borderId="28" xfId="0" applyFont="1" applyFill="1" applyBorder="1" applyAlignment="1">
      <alignment horizontal="center" vertical="center" wrapText="1"/>
    </xf>
    <xf numFmtId="0" fontId="3" fillId="14" borderId="32" xfId="0" applyFont="1" applyFill="1" applyBorder="1" applyAlignment="1">
      <alignment horizontal="center" vertical="center" wrapText="1"/>
    </xf>
    <xf numFmtId="0" fontId="3" fillId="14" borderId="33" xfId="0" applyFont="1" applyFill="1" applyBorder="1" applyAlignment="1">
      <alignment horizontal="center" vertical="center" wrapText="1"/>
    </xf>
    <xf numFmtId="0" fontId="26" fillId="14" borderId="62" xfId="0" applyFont="1" applyFill="1" applyBorder="1" applyAlignment="1" applyProtection="1">
      <alignment vertical="center"/>
      <protection/>
    </xf>
    <xf numFmtId="0" fontId="20" fillId="12" borderId="0" xfId="0" applyFont="1" applyFill="1" applyBorder="1" applyAlignment="1" applyProtection="1">
      <alignment vertical="center"/>
      <protection/>
    </xf>
    <xf numFmtId="0" fontId="2" fillId="12" borderId="0" xfId="0" applyFont="1" applyFill="1" applyBorder="1" applyAlignment="1" applyProtection="1">
      <alignment vertical="center"/>
      <protection/>
    </xf>
    <xf numFmtId="0" fontId="7" fillId="14" borderId="22" xfId="0" applyFont="1" applyFill="1" applyBorder="1" applyAlignment="1" applyProtection="1">
      <alignment vertical="center"/>
      <protection/>
    </xf>
    <xf numFmtId="0" fontId="11" fillId="12" borderId="22" xfId="0" applyFont="1" applyFill="1" applyBorder="1" applyAlignment="1" applyProtection="1">
      <alignment vertical="center"/>
      <protection/>
    </xf>
    <xf numFmtId="0" fontId="4" fillId="14" borderId="44" xfId="0" applyFont="1" applyFill="1" applyBorder="1" applyAlignment="1">
      <alignment horizontal="center" vertical="center"/>
    </xf>
    <xf numFmtId="0" fontId="0" fillId="12" borderId="44" xfId="0" applyFill="1" applyBorder="1" applyAlignment="1">
      <alignment horizontal="center" vertical="center"/>
    </xf>
    <xf numFmtId="0" fontId="9" fillId="14" borderId="0" xfId="0" applyFont="1" applyFill="1" applyBorder="1" applyAlignment="1">
      <alignment vertical="center"/>
    </xf>
    <xf numFmtId="0" fontId="9" fillId="14" borderId="61" xfId="0" applyFont="1" applyFill="1" applyBorder="1" applyAlignment="1">
      <alignment vertical="center"/>
    </xf>
    <xf numFmtId="0" fontId="3" fillId="3" borderId="36" xfId="0" applyFont="1" applyFill="1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9" fillId="14" borderId="0" xfId="0" applyFont="1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0" fillId="14" borderId="61" xfId="0" applyFill="1" applyBorder="1" applyAlignment="1">
      <alignment vertical="center" wrapText="1"/>
    </xf>
    <xf numFmtId="0" fontId="10" fillId="14" borderId="41" xfId="0" applyFont="1" applyFill="1" applyBorder="1" applyAlignment="1">
      <alignment horizontal="center" vertical="top" wrapText="1"/>
    </xf>
    <xf numFmtId="0" fontId="10" fillId="14" borderId="39" xfId="0" applyFont="1" applyFill="1" applyBorder="1" applyAlignment="1">
      <alignment horizontal="center" vertical="top" wrapText="1"/>
    </xf>
    <xf numFmtId="0" fontId="10" fillId="14" borderId="88" xfId="0" applyFont="1" applyFill="1" applyBorder="1" applyAlignment="1">
      <alignment horizontal="center" vertical="top" wrapText="1"/>
    </xf>
    <xf numFmtId="0" fontId="9" fillId="14" borderId="53" xfId="0" applyFont="1" applyFill="1" applyBorder="1" applyAlignment="1">
      <alignment vertical="center" wrapText="1"/>
    </xf>
    <xf numFmtId="0" fontId="0" fillId="14" borderId="53" xfId="0" applyFill="1" applyBorder="1" applyAlignment="1">
      <alignment vertical="center" wrapText="1"/>
    </xf>
    <xf numFmtId="0" fontId="0" fillId="14" borderId="89" xfId="0" applyFill="1" applyBorder="1" applyAlignment="1">
      <alignment vertical="center" wrapText="1"/>
    </xf>
    <xf numFmtId="0" fontId="3" fillId="3" borderId="74" xfId="0" applyFont="1" applyFill="1" applyBorder="1" applyAlignment="1" applyProtection="1">
      <alignment vertical="center"/>
      <protection locked="0"/>
    </xf>
    <xf numFmtId="0" fontId="3" fillId="3" borderId="87" xfId="0" applyFont="1" applyFill="1" applyBorder="1" applyAlignment="1" applyProtection="1">
      <alignment vertical="center"/>
      <protection locked="0"/>
    </xf>
    <xf numFmtId="0" fontId="3" fillId="14" borderId="40" xfId="0" applyFont="1" applyFill="1" applyBorder="1" applyAlignment="1">
      <alignment vertical="center"/>
    </xf>
    <xf numFmtId="4" fontId="3" fillId="2" borderId="66" xfId="0" applyNumberFormat="1" applyFon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3" fillId="14" borderId="69" xfId="0" applyFont="1" applyFill="1" applyBorder="1">
      <alignment/>
    </xf>
    <xf numFmtId="0" fontId="0" fillId="12" borderId="44" xfId="0" applyFill="1" applyBorder="1">
      <alignment/>
    </xf>
    <xf numFmtId="4" fontId="0" fillId="0" borderId="3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0" xfId="0" applyBorder="1" applyAlignment="1">
      <alignment horizontal="center"/>
    </xf>
    <xf numFmtId="0" fontId="7" fillId="14" borderId="53" xfId="0" applyFont="1" applyFill="1" applyBorder="1" applyAlignment="1">
      <alignment horizontal="right"/>
    </xf>
    <xf numFmtId="0" fontId="11" fillId="12" borderId="53" xfId="0" applyFont="1" applyFill="1" applyBorder="1" applyAlignment="1">
      <alignment horizontal="right"/>
    </xf>
    <xf numFmtId="0" fontId="3" fillId="14" borderId="62" xfId="0" applyFont="1" applyFill="1" applyBorder="1" applyAlignment="1">
      <alignment/>
    </xf>
    <xf numFmtId="0" fontId="0" fillId="12" borderId="62" xfId="0" applyFill="1" applyBorder="1" applyAlignment="1">
      <alignment/>
    </xf>
    <xf numFmtId="0" fontId="3" fillId="14" borderId="78" xfId="0" applyFont="1" applyFill="1" applyBorder="1" applyAlignment="1">
      <alignment vertical="center"/>
    </xf>
    <xf numFmtId="0" fontId="0" fillId="12" borderId="53" xfId="0" applyFill="1" applyBorder="1" applyAlignment="1">
      <alignment vertical="center"/>
    </xf>
    <xf numFmtId="0" fontId="27" fillId="14" borderId="62" xfId="0" applyFont="1" applyFill="1" applyBorder="1" applyAlignment="1">
      <alignment vertical="center"/>
    </xf>
    <xf numFmtId="0" fontId="11" fillId="14" borderId="0" xfId="0" applyFont="1" applyFill="1" applyBorder="1" applyAlignment="1">
      <alignment vertical="center"/>
    </xf>
    <xf numFmtId="0" fontId="3" fillId="14" borderId="5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14" borderId="53" xfId="0" applyFont="1" applyFill="1" applyBorder="1" applyAlignment="1">
      <alignment/>
    </xf>
    <xf numFmtId="0" fontId="0" fillId="0" borderId="54" xfId="0" applyBorder="1" applyAlignment="1">
      <alignment/>
    </xf>
    <xf numFmtId="0" fontId="10" fillId="12" borderId="0" xfId="0" applyFont="1" applyFill="1" applyBorder="1" applyAlignment="1">
      <alignment vertical="center"/>
    </xf>
    <xf numFmtId="14" fontId="0" fillId="3" borderId="36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70" xfId="0" applyFill="1" applyBorder="1" applyAlignment="1" applyProtection="1">
      <alignment horizontal="center" vertical="center"/>
      <protection locked="0"/>
    </xf>
    <xf numFmtId="0" fontId="0" fillId="12" borderId="37" xfId="0" applyFill="1" applyBorder="1" applyAlignment="1">
      <alignment horizontal="center" vertical="center"/>
    </xf>
    <xf numFmtId="0" fontId="3" fillId="14" borderId="25" xfId="0" applyFont="1" applyFill="1" applyBorder="1" applyAlignment="1">
      <alignment horizontal="center" vertical="center" wrapText="1"/>
    </xf>
    <xf numFmtId="0" fontId="3" fillId="14" borderId="42" xfId="0" applyFont="1" applyFill="1" applyBorder="1" applyAlignment="1">
      <alignment horizontal="center" vertical="center" wrapText="1"/>
    </xf>
    <xf numFmtId="0" fontId="3" fillId="14" borderId="85" xfId="0" applyFont="1" applyFill="1" applyBorder="1" applyAlignment="1">
      <alignment horizontal="center" vertical="center" wrapText="1"/>
    </xf>
    <xf numFmtId="0" fontId="9" fillId="14" borderId="63" xfId="0" applyFont="1" applyFill="1" applyBorder="1" applyAlignment="1">
      <alignment vertical="center"/>
    </xf>
    <xf numFmtId="0" fontId="0" fillId="14" borderId="53" xfId="0" applyFill="1" applyBorder="1" applyAlignment="1">
      <alignment vertical="center"/>
    </xf>
    <xf numFmtId="1" fontId="5" fillId="10" borderId="34" xfId="11" applyNumberFormat="1" applyFont="1" applyFill="1" applyBorder="1" applyAlignment="1">
      <alignment horizontal="center" vertical="center"/>
      <protection/>
    </xf>
    <xf numFmtId="1" fontId="5" fillId="10" borderId="22" xfId="11" applyNumberFormat="1" applyFont="1" applyFill="1" applyBorder="1" applyAlignment="1">
      <alignment horizontal="center" vertical="center"/>
      <protection/>
    </xf>
    <xf numFmtId="1" fontId="5" fillId="10" borderId="24" xfId="11" applyNumberFormat="1" applyFont="1" applyFill="1" applyBorder="1" applyAlignment="1">
      <alignment horizontal="center" vertical="center"/>
      <protection/>
    </xf>
    <xf numFmtId="0" fontId="5" fillId="10" borderId="34" xfId="11" applyFont="1" applyFill="1" applyBorder="1" applyAlignment="1">
      <alignment horizontal="center" vertical="center"/>
      <protection/>
    </xf>
    <xf numFmtId="0" fontId="5" fillId="10" borderId="24" xfId="11" applyFont="1" applyFill="1" applyBorder="1" applyAlignment="1">
      <alignment horizontal="center" vertical="center"/>
      <protection/>
    </xf>
    <xf numFmtId="0" fontId="0" fillId="2" borderId="0" xfId="0" applyFill="1" applyProtection="1">
      <alignment/>
      <protection/>
    </xf>
  </cellXfs>
  <cellStyles count="1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normální 2" xfId="11"/>
    <cellStyle name="Normální 3" xfId="12"/>
    <cellStyle name="Total" xfId="13"/>
    <cellStyle name="Heading 1" xfId="14" hidden="1"/>
    <cellStyle name="Heading 2" xfId="15" hidden="1"/>
    <cellStyle name="Celkem" xfId="16" hidden="1" builtinId="25"/>
  </cellStyles>
  <dxfs count="35"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numFmt numFmtId="0" formatCode="General"/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2">
              <xs:complexType>
                <xs:sequence>
                  <xs:element maxOccurs="1" minOccurs="1" name="VetaD">
                    <xs:complexTyp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2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2021.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(2021 -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/&gt;&lt;strong&gt;A&lt;/strong&gt; – s výjimkou případů uvedených pod písm. B až T&lt;br /&gt;&lt;strong&gt;B&lt;/strong&gt; – při zániku subjektu s likvidací za část zdaňovacího období, která uplynula přede dnem jeho vstupu do likvidace (§ 240c odst. 2 daňového řádu)&lt;br /&gt;&lt;strong&gt;C&lt;/strong&gt; -  v průběhu likvidace (§ 240c odst. 1 daňového řádu)&lt;br /&gt;&lt;strong&gt;D&lt;/strong&gt; – při zániku subjektu bez likvidace za část zdaňovacího období, která uplynula přede dnem jeho zániku (§ 240a daňového řádu)&lt;br /&gt;&lt;strong&gt;G&lt;/strong&gt; – při převodu privatizovaného majetku za část zdaňovacího období, která uplynula přede dnem tohoto převodu (§ 240d daňového řádu)&lt;br /&gt;&lt;strong&gt;H&lt;/strong&gt; – při zániku subjektu s likvidací za část zdaňovacího období, která uplynula přede dnem zpracování návrhu na použití likvidačního zůstatku (§ 240c odst. 3 daňového řádu)&lt;br /&gt;&lt;strong&gt;I&lt;/strong&gt;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 /&gt;&lt;strong&gt;M&lt;/strong&gt;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zdaňovacího období, která uplynula do dne předcházejícího dni skončení řízení o pozůstalosti (§ 239b odst. 5 daňového řádu)&lt;br /&gt;&lt;strong&gt;O&lt;/strong&gt; – při soudem nařízené likvidaci pozůstalosti – likvidačním správcem za část zdaňovacího období, která uplynula přede dnem předložení řádné zprávy o zpeněžení majetku likvidační podstaty nebo jeho části soudu (§ 239c daňového řádu)&lt;br /&gt;&lt;strong&gt;P&lt;/strong&gt; – při insolvenčním řízení za část zdaňovacího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zdaňovacího období, za kterou nebylo dosud podáno (§ 244 odst. 3 a 4 daň. řádu)&lt;br&gt;&amp;nbsp&lt;br&gt;Položka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d_lku" type="dateInMultiFormat" use="optional"/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href="https://adisepo.mfcr.cz/pmd/dokumentace/ciselniky/ukazka/ufo"&gt;zde&lt;/a&gt;.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href="https://adisepo.mfcr.cz/pmd/dokumentace/ciselniky/ukazka/obce"&gt;zde&lt;/a&gt;.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href="https://adisepo.mfcr.cz/pmd/dokumentace/ciselniky/ukazka/zeme"&gt;zde&lt;/a&gt;.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href="https://adisepo.mfcr.cz/pmd/dokumentace/ciselniky/ukazka/pracufo"&gt;zde&lt;/a&gt;.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pz" use="optional">
                        <xs:annotation>
                          <xs:documentation>Registrační značka s 8 znaky může být vyplněna od ZO roku 2015 a platí pro ni tyto konvence: RZ může být složena pouze z arabských číslic; RZ musí obsahovat vždy alespoň jednu arabskou číslici (nesmí být složena pouze z písmen latinské abecedy); RZ nesmí obsahovat písmena "G", "CH", "O", "Q", "W"; Při dodržení uvedených pravidel může být umístění znaků v libovolné kombinaci.</xs:documentation>
                        </xs:annotation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zdaňovací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 &lt;br&gt; I – I. čtvrtletí, II – II. čtvrtletí, III – III. čtvrtletí, IV – říjen, listopad, V – prosinec.&lt;br&gt;&lt;strong&gt;V případě použití roční sazby daně&lt;/strong&gt; vyplníte počty měsíců, ve kterých u vozidla vzniklo, zaniklo nebo trvalo zdaňované období v jednotlivých částech kalendářního roku.&lt;br&gt;&lt;strong&gt;Příklad A:&lt;/strong&gt; Vozidlo podléhalo dani silniční od července (včetně) do konce kalendářního roku.&lt;br&gt;Správný zápis A:&lt;br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čtvrtletí/období, zapište počet měsíců podléhajících dani silniční ve čtvrtletí/období a za lomítkem pořadové číslo měsíce v daném čtvrtletí/období, ke kterému se zdaňované období vztahuje. Lomítko je používáno pouze při vyplňování ´papírové´ verze přiznání, nikoli elektronické, tzv. EPO-verze - v ní se příslušné čtvrtletí/ období, tzv. zlomové pole (dochází v něm k popisované % změně u snížené sazby daně) roztrojí, event. rozdvojí a daný zdaňovaný měsíc se označí zaškrtnutím – viz Příklad B.&lt;/strong&gt; Do kolonky daného čtvrtletí/období (dále ´Q´) zapíšete tedy jednu z následujících šesti variant:&lt;br&gt;&lt;table border="1" cellspacing="0" cellpadding="2"&gt;&lt;tbody&gt;&lt;tr&gt;&lt;td&gt;zápis&lt;/td&gt;&lt;td&gt;bylo-li vozidlo používáno&lt;br&gt;k podnikání&lt;/td&gt;&lt;td rowspan="4"&gt;v úplném opisu k tisku&lt;br&gt;elektronického, tzv.&lt;br&gt;EPO - přiznání se&lt;br&gt;zobrazí jako&lt;/td&gt;&lt;td&gt;zápis&lt;/td&gt;&lt;td&gt;&amp;nbsp;&lt;/td&gt;&lt;td&gt;zápis&lt;/td&gt;&lt;td&gt;bylo-li vozidlo používáno&lt;br&gt;k podnikání&lt;/td&gt;&lt;td rowspan="4" olspan="4"&gt;v úplném opisu k tisku&lt;br&gt;elektronického, tzv.&lt;br&gt;EPO - přiznání se&lt;br&gt;zobrazí jako&lt;/td&gt;&lt;td&gt;zápis&lt;/td&gt;&lt;/tr&gt;&lt;tr&gt;&lt;td align="center"&gt;&lt;strong&gt;2/12&lt;/strong&gt;&lt;/td&gt;&lt;td&gt;v 1. a 2. měsíci Q&lt;/td&gt;&lt;td align="center"&gt;&lt;strong&gt;212&lt;/strong&gt;&lt;/td&gt;&lt;td&gt;&amp;nbsp;&lt;/td&gt;&lt;td align="center"&gt;&lt;strong&gt;1/1&lt;/strong&gt;&lt;/td&gt;&lt;td&gt;jen v 1. měsíci Q&lt;/td&gt;&lt;td align="center"&gt;&lt;strong&gt;11&lt;/strong&gt;&lt;/td&gt;&lt;/tr&gt;&lt;tr&gt;&lt;td align="center"&gt;&lt;strong&gt;2/13&lt;/strong&gt;&lt;/td&gt;&lt;td&gt;v 1. a 3. měsíci Q&lt;/td&gt;&lt;td align="center"&gt;&lt;strong&gt;213&lt;/strong&gt;&lt;/td&gt;&lt;td&gt;&amp;nbsp;&lt;/td&gt;&lt;td align="center"&gt;&lt;strong&gt;1/2&lt;/strong&gt;&lt;/td&gt;&lt;td&gt;jen ve 2. měsíci Q&lt;/td&gt;&lt;td align="center"&gt;&lt;strong&gt;12&lt;/strong&gt;&lt;/td&gt;&lt;/tr&gt;&lt;tr&gt;&lt;td align="center"&gt;&lt;strong&gt;2/23&lt;/strong&gt;&lt;/td&gt;&lt;td&gt;ve 2. a 3. měsíci Q&lt;/td&gt;&lt;td align="center"&gt;&lt;strong&gt;223&lt;/strong&gt;&lt;/td&gt;&lt;td&gt;&amp;nbsp;&lt;/td&gt;&lt;td align="center"&gt;&lt;strong&gt;1/3&lt;/strong&gt;&lt;/td&gt;&lt;td&gt;jen ve 3. měsíci Q&lt;/td&gt;&lt;td align="center"&gt;&lt;strong&gt;13&lt;/strong&gt;&lt;/td&gt;&lt;/tr&gt;&lt;/tbody&gt;&lt;/table&gt;&lt;br&gt;&amp;nbsp;&lt;br&gt;&lt;strong&gt;Příklad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2/13; v úplném opisu k tisku elektronického, tzv. EPO-přiznání se zobrazí jako 213.&lt;br&gt;Správný zápis B:&lt;br&gt;&lt;table&gt;&lt;tbody&gt;&lt;tr&gt;&lt;td&gt;I&lt;/td&gt;&lt;td class="stred"&gt;II&lt;/td&gt;&lt;td&gt;III&lt;/td&gt;&lt;td&gt;IV&lt;/td&gt;&lt;td&gt;V&lt;/td&gt;&lt;/tr&gt;&lt;tr&gt;&lt;td&gt;0&lt;/td&gt;&lt;td&gt;2/13&lt;/td&gt;&lt;td&gt;0&lt;/td&gt;&lt;td&gt;0&lt;/td&gt;&lt;td&gt;0&lt;/td&gt;&lt;/tr&gt;&lt;/tbody&gt;&lt;/table&gt;&lt;br&gt;v el. verzi přiznání (EPO):&lt;br&gt;&lt;table&gt;&lt;tbody&gt;&lt;tr&gt;&lt;td&gt;I&lt;/td&gt;&lt;td class="stred"&gt;II&lt;/td&gt;&lt;td&gt;III&lt;/td&gt;&lt;td&gt;IV&lt;/td&gt;&lt;td&gt;V&lt;/td&gt;&lt;/tr&gt;&lt;tr&gt;&lt;td&gt;0&lt;/td&gt;&lt;td&gt;&lt;input type="checkbox" disabled="disabled" checked="checked" style="width:10px;height:10px"&gt; &lt;input type="checkbox" disabled="disabled" style="width:10px;height:10px"&gt; &lt;input type="checkbox" disabled="disabled" checked="checked" style="width:10px;height:10px"&gt;&lt;/td&gt;&lt;td&gt;0&lt;/td&gt;&lt;td&gt;0&lt;/td&gt;&lt;td&gt;0&lt;/td&gt;&lt;/tr&gt;&lt;/tbody&gt;&lt;/table&gt;&lt;br&gt;úplný opis k tisku (formát zápisu položky do XML souboru):&lt;br&gt;&lt;table&gt;&lt;tbody&gt;&lt;tr&gt;&lt;td&gt;I&lt;/td&gt;&lt;td class="stred"&gt;II&lt;/td&gt;&lt;td&gt;III&lt;/td&gt;&lt;td&gt;IV&lt;/td&gt;&lt;td&gt;V&lt;/td&gt;&lt;/tr&gt;&lt;tr&gt;&lt;td&gt;0&lt;/td&gt;&lt;td&gt;213&lt;/td&gt;&lt;td&gt;0&lt;/td&gt;&lt;td&gt;0&lt;/td&gt;&lt;td&gt;0&lt;/td&gt;&lt;/tr&gt;&lt;/tbody&gt;&lt;/table&gt;&lt;br&gt;&lt;strong&gt;Příklad C: V případě použití denní sazby daně&lt;/strong&gt; vyplníte počty dní podléhající dani silniční v jednotlivých částech zdaňovacího období. Zaměstnavatel využíval osobní automobil zaměstnance k podnikání v I. čtvrtletí 10 dní, ve III. čtvrtletí 8 dní, v říjnu a listopadu celkem 9 dní a v měsíci prosinci 6 dní.&lt;br&gt;Správný zápis C:&lt;br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&gt;V případě, že jako zaměstnavatel zvolíte denní sazbu u osobních automobilů a jejich přípojných vozidel, u nichž neuplatňujete současně nárok na osvobození - sloupec č. 15 vyplníte dle instrukcí u tohoto sloupce pro tato vozidla (např. zápisem z(1)) a ve sloupci č. 23 vyplníte celkové počty dní, ve kterých byla předmětná vozidla používána v jednotlivých částech zdaňovacího období (nelze zároveň uplatnit sníženou sazbu daně dle §6 odst. 6).&lt;br&gt;&lt;strong&gt;Příklad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celoročně).&lt;br&gt;Správný zápis D:&lt;br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&gt;nebo&lt;br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řádek)&lt;/td&gt;&lt;/tr&gt;&lt;/tbody&gt;&lt;/table&gt;&lt;br&gt;Chybný zápis D:&lt;br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libovolný.&lt;/strong&gt;&lt;br&gt;&amp;nbsp;&lt;br&gt;U vozidla, které bylo vyřazeno z provozu podle zákona č. 56/2001 Sb., o podmínkách provozu vozidel na pozemních komunikacích a o změně zákona č. 168/1999 Sb., o pojištění odpovědnosti za škodu způsobenou provozem vozidla a o změně některých souvisejících zákonů (zákon o pojištění odpovědnosti vozidla), ve znění zákona č. 307/1999 Sb., ve znění pozdějších předpisů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neuvádí.&amp;nbsp;&lt;/strong&gt;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nepodléhalo vozidlo dani silniční,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d_osvob" use="optional">
                        <xs:annotation>
                          <xs:documentation>Vyplňte počet úplných kalendářních měsíců (dní) trvání podmínky (podmínek) pro osvobození. &lt;strong&gt;Pokud u vozidla neuplatňujete nárok na osvobození za celé období, kdy vozidlo podléhá dani silniční, uvedete na zvláštní samostatné příloze. V případě elektronického podání (tzv. EPO-podání) prostřednictvím daňového portálu, do části "Jiné přílohy" buď formou textové přílohy nebo elektronické, tzv. e-přílohy) kalendářní měsíce/dny, kdy bylo vozidlo od daně osvobozeno. Přílohu označte DIČ (viz záhlaví řádek 02).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annotation>
                          <xs:documentation>Vyplníte úhrnnou výši osvobození od daně vypočítanou podle počtu měsíců podléhajících dani silniční a příslušné sazby daně (§ 9 a § 6 zákona o dani silniční). Výše nároku na osvobození se vypočte jako součin počtu kalendářních měsíců uvedených ve sloupci 26 a 1/12 roční daňové sazby (upravené o příslušné zvýšení či snížení sazby daně) uvedené ve sloupci 24, popř. jako součin počtu dnů uvedených ve sloupci 26 a denní sazby ve výši 25 Kč uvedené ve sloupci 21. V ojedinělém případě, kdy &lt;strong&gt;dochází k souběhu tří faktorů tzv. zlomu v % sazbě snížení daně (viz Příklad B), rozdílnému trvání počtu měsíců podléhajících dani silniční (nerovnost vykazovaných údajů sloupce 23 a 26) a uplatnění tohoto osvobození dle § 3 písm. d) a násl. zákona o dani silniční, rozepište konkrétní měsíce osvobození u předmětného vozidla do samostatné přílohy&lt;/strong&gt; (viz popis sloupce 26 a následující Příklad E).&lt;br /&gt;&lt;strong&gt;Příklad E:&lt;/strong&gt; Poplatník s nákladním automobilem (2 nápravy, povolená/celková hmotnost 10 t) prvně registrovaným v 11/2018 a používaným celoročně uplatňuje nárok na osvobození dle § 3 písm. e) v měsících lednu až dubnu a listopadu 2021.&lt;br /&gt;&lt;strong&gt;Řešení:&lt;/strong&gt; zjištění % snížené sazby daně -&amp;gt; leden až říjen 48 %, listopad až prosinec 40 %;&lt;br /&gt;&lt;strong&gt;Roční sazba daně&lt;/strong&gt; = 7 200 Kč, daň po snížení dle § 6 odst. 6 = 3 840 Kč (sloupec 24; po aplikaci jednotlivých % snížení 3 120 + 720).&lt;br /&gt;&lt;strong&gt;Osvobození&lt;/strong&gt; = 1 608 Kč (leden až duben 1 248 Kč plus 360 Kč, tj. listopad) – &lt;strong&gt;na zvláštní samostatnou přílohu (v případě elektronického podání (tzv. EPO-podání) prostřednictvím daňového portálu, do části "Jiné přílohy" buď formou textové přílohy nebo elektronické, tzv. e-přílohy) rozepíšete měsíce, ve kterých bylo vozidlo od daně osvobozeno, dle principu sloupce 23 a příkladu B, tzn. 3-1-0-1/2-0 (u elektronického, tzv. EPO-přiznání 3-1-0-12-0).&lt;/strong&gt;&lt;br /&gt;Výsledná daň po snížení a osvobození = 2 232 Kč(sloupec 29; tj. 3 840 minus 1 608).&lt;br /&gt;Správný zápis E:&lt;br /&gt;&lt;table&gt;&lt;tbody&gt;&lt;tr&gt;&lt;td&gt;I&lt;/td&gt;&lt;td class="stred" &gt;II&lt;/td&gt;&lt;td&gt;III&lt;/td&gt;&lt;td&gt;IV&lt;/td&gt;&lt;td&gt;V&lt;/td&gt;&lt;/tr&gt;&lt;tr&gt;&lt;td&gt;3&lt;/td&gt;&lt;td&gt;1&lt;/td&gt;&lt;td&gt;0&lt;/td&gt;&lt;td&gt;1/2&lt;/td&gt;&lt;td&gt;0&lt;/td&gt;&lt;/tr&gt;&lt;/tbody&gt;&lt;/table&gt;&lt;br /&gt;V příloze el. verze přiznání (EPO):&lt;br /&gt;&lt;table&gt;&lt;tbody&gt;&lt;tr&gt;&lt;td&gt;I&lt;/td&gt;&lt;td class="stred" &gt;II&lt;/td&gt;&lt;td&gt;III&lt;/td&gt;&lt;td&gt;IV&lt;/td&gt;&lt;td&gt;V&lt;/td&gt;&lt;/tr&gt;&lt;tr&gt;&lt;td&gt;3&lt;/td&gt;&lt;td&gt;1&lt;/td&gt;&lt;td&gt;0&lt;/td&gt;&lt;td&gt;12&lt;/td&gt;&lt;td&gt;0&lt;/td&gt;&lt;/tr&gt;&lt;/tbody&gt;&lt;/table&gt;</xs:documentation>
                        </xs:annotation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dsldp2_epo2-01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1048" name="Picture 3">
          <a:extLst>
            <a:ext uri="{FF2B5EF4-FFF2-40B4-BE49-F238E27FC236}">
              <a16:creationId xmlns:a16="http://schemas.microsoft.com/office/drawing/2014/main" id="{b17b281c-b9d0-4e55-b8d0-2c41a86f44f0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D12:E16" tableType="xml" totalsRowShown="0" headerRowDxfId="34" dataDxfId="33">
  <autoFilter ref="D12:E16"/>
  <tableColumns count="2">
    <tableColumn id="1" uniqueName="d_zal" name="Datum" dataDxfId="32">
      <calculatedColumnFormula>IF('2_str'!K23&lt;&gt;"",'2_str'!K23,"")</calculatedColumnFormula>
      <xmlColumnPr mapId="2" xpath="/Pisemnost/DSLDP2/VetaZ/@d_zal" xmlDataType="string"/>
    </tableColumn>
    <tableColumn id="2" uniqueName="kc_castka" name="KC" dataDxfId="31">
      <calculatedColumnFormula>IF('2_str'!L23&lt;&gt;"",'2_str'!L23,"")</calculatedColumnFormula>
      <xmlColumnPr mapId="2" xpath="/Pisemnost/DSLDP2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19:D20" tableType="xml" insertRow="1" totalsRowShown="0">
  <autoFilter ref="D19:D20"/>
  <tableColumns count="1">
    <tableColumn id="1" uniqueName="cislo" name="cislo">
      <xmlColumnPr mapId="2" xpath="/Pisemnost/DSLDP2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7:D8" tableType="xml" totalsRowShown="0">
  <autoFilter ref="D7:D8"/>
  <tableColumns count="1">
    <tableColumn id="1" uniqueName="kod_sekce" name="kod_sekce">
      <xmlColumnPr mapId="2" xpath="/Pisemnost/DSLDP2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E2:AG3" tableType="xml" totalsRowShown="0" headerRowDxfId="30" dataDxfId="29">
  <autoFilter ref="E2:AG3"/>
  <tableColumns count="29">
    <tableColumn id="1" uniqueName="c_rdapdsl2" name="c_rad" dataDxfId="28">
      <calculatedColumnFormula>'2_str'!A7</calculatedColumnFormula>
      <xmlColumnPr mapId="2" xpath="/Pisemnost/DSLDP2/VetaO/@c_rdapdsl2" xmlDataType="decimal"/>
    </tableColumn>
    <tableColumn id="2" uniqueName="spz" name="15" dataDxfId="27">
      <calculatedColumnFormula>IF('2_str'!C7&lt;&gt;"",'2_str'!C7,"")</calculatedColumnFormula>
      <xmlColumnPr mapId="2" xpath="/Pisemnost/DSLDP2/VetaO/@spz" xmlDataType="string"/>
    </tableColumn>
    <tableColumn id="3" uniqueName="d_regrok" name="15a" dataDxfId="26">
      <calculatedColumnFormula>IF('2_str'!E7&lt;&gt;0,TEXT('2_str'!E7,"rrrr"),"")</calculatedColumnFormula>
      <xmlColumnPr mapId="2" xpath="/Pisemnost/DSLDP2/VetaO/@d_regrok" xmlDataType="decimal"/>
    </tableColumn>
    <tableColumn id="4" uniqueName="d_regmes" name="15a2" dataDxfId="25">
      <calculatedColumnFormula>IF('2_str'!E7&lt;&gt;0,TEXT('2_str'!E7,"mm"),"")</calculatedColumnFormula>
      <xmlColumnPr mapId="2" xpath="/Pisemnost/DSLDP2/VetaO/@d_regmes" xmlDataType="decimal"/>
    </tableColumn>
    <tableColumn id="5" uniqueName="k_drvoz" name="16" dataDxfId="24">
      <calculatedColumnFormula>IF('2_str'!F7&lt;&gt;"",'2_str'!F7,"")</calculatedColumnFormula>
      <xmlColumnPr mapId="2" xpath="/Pisemnost/DSLDP2/VetaO/@k_drvoz" xmlDataType="string"/>
    </tableColumn>
    <tableColumn id="6" uniqueName="objemmot" name="17" dataDxfId="23">
      <calculatedColumnFormula>IF(AND('2_str'!G7&lt;&gt;"",'2_str'!G7&lt;&gt;0),'2_str'!G7,"")</calculatedColumnFormula>
      <xmlColumnPr mapId="2" xpath="/Pisemnost/DSLDP2/VetaO/@objemmot" xmlDataType="decimal"/>
    </tableColumn>
    <tableColumn id="7" uniqueName="p_naprav" name="18" dataDxfId="22">
      <calculatedColumnFormula>IF('2_str'!H7&lt;&gt;0,'2_str'!H7,IF($I2=9,0,""))</calculatedColumnFormula>
      <xmlColumnPr mapId="2" xpath="/Pisemnost/DSLDP2/VetaO/@p_naprav" xmlDataType="decimal"/>
    </tableColumn>
    <tableColumn id="8" uniqueName="hmotnost" name="19" dataDxfId="21">
      <calculatedColumnFormula>IF('2_str'!I7&lt;&gt;0,ROUND('2_str'!I7,2),IF($I2=9,0,""))</calculatedColumnFormula>
      <xmlColumnPr mapId="2" xpath="/Pisemnost/DSLDP2/VetaO/@hmotnost" xmlDataType="decimal"/>
    </tableColumn>
    <tableColumn id="9" uniqueName="sazbadsl" name="20" dataDxfId="20">
      <calculatedColumnFormula>IF('2_str'!J7&lt;&gt;"",'2_str'!J7,"")</calculatedColumnFormula>
      <xmlColumnPr mapId="2" xpath="/Pisemnost/DSLDP2/VetaO/@sazbadsl" xmlDataType="decimal"/>
    </tableColumn>
    <tableColumn id="10" uniqueName="sniz" name="21" dataDxfId="19">
      <calculatedColumnFormula>IF('2_str'!K7&lt;&gt;"",'2_str'!K7,"")</calculatedColumnFormula>
      <xmlColumnPr mapId="2" xpath="/Pisemnost/DSLDP2/VetaO/@sniz" xmlDataType="decimal"/>
    </tableColumn>
    <tableColumn id="11" uniqueName="md_dpovin1" name="23.I" dataDxfId="18">
      <calculatedColumnFormula>IF(AND('2_str'!L7&lt;&gt;0,$I3&lt;&gt;""),SUBSTITUTE('2_str'!L7,"/","",1),"")</calculatedColumnFormula>
      <xmlColumnPr mapId="2" xpath="/Pisemnost/DSLDP2/VetaO/@md_dpovin1" xmlDataType="decimal"/>
    </tableColumn>
    <tableColumn id="12" uniqueName="md_dpovin2" name="23.II" dataDxfId="17">
      <calculatedColumnFormula>IF(AND('2_str'!M7&lt;&gt;0,$I3&lt;&gt;""),SUBSTITUTE('2_str'!M7,"/","",1),"")</calculatedColumnFormula>
      <xmlColumnPr mapId="2" xpath="/Pisemnost/DSLDP2/VetaO/@md_dpovin2" xmlDataType="decimal"/>
    </tableColumn>
    <tableColumn id="13" uniqueName="md_dpovin3" name="23.III" dataDxfId="16">
      <calculatedColumnFormula>IF(AND('2_str'!N7&lt;&gt;0,$I3&lt;&gt;""),SUBSTITUTE('2_str'!N7,"/","",1),"")</calculatedColumnFormula>
      <xmlColumnPr mapId="2" xpath="/Pisemnost/DSLDP2/VetaO/@md_dpovin3" xmlDataType="decimal"/>
    </tableColumn>
    <tableColumn id="14" uniqueName="md_dpovin4" name="23.IV" dataDxfId="15">
      <calculatedColumnFormula>IF(AND('2_str'!O7&lt;&gt;0,$I3&lt;&gt;""),SUBSTITUTE('2_str'!O7,"/","",1),"")</calculatedColumnFormula>
      <xmlColumnPr mapId="2" xpath="/Pisemnost/DSLDP2/VetaO/@md_dpovin4" xmlDataType="decimal"/>
    </tableColumn>
    <tableColumn id="15" uniqueName="md_dpovin5" name="23.V" dataDxfId="14">
      <calculatedColumnFormula>IF(AND('2_str'!P7&lt;&gt;0,$I3&lt;&gt;""),SUBSTITUTE('2_str'!P7,"/","",1),"")</calculatedColumnFormula>
      <xmlColumnPr mapId="2" xpath="/Pisemnost/DSLDP2/VetaO/@md_dpovin5" xmlDataType="decimal"/>
    </tableColumn>
    <tableColumn id="16" uniqueName="kc_danbos" name="24" dataDxfId="13">
      <calculatedColumnFormula>IF(I3&lt;&gt;"",'2_str'!Q7,"")</calculatedColumnFormula>
      <xmlColumnPr mapId="2" xpath="/Pisemnost/DSLDP2/VetaO/@kc_danbos" xmlDataType="decimal"/>
    </tableColumn>
    <tableColumn id="17" uniqueName="k_osvoboz" name="25" dataDxfId="12">
      <calculatedColumnFormula>IF('2_str'!S7=0,"",'2_str'!S7)</calculatedColumnFormula>
      <xmlColumnPr mapId="2" xpath="/Pisemnost/DSLDP2/VetaO/@k_osvoboz" xmlDataType="string"/>
    </tableColumn>
    <tableColumn id="29" uniqueName="md_osvob1" name="1o" dataDxfId="11">
      <calculatedColumnFormula>IF([26]=([23.I]+[23.II]+[23.III]+[23.IV]+[23.V]),[23.I],IF([26]=10,1,IF([26]=11,2,IF([26]&gt;11,3,""))))</calculatedColumnFormula>
      <xmlColumnPr mapId="2" xpath="/Pisemnost/DSLDP2/VetaO/@md_osvob1" xmlDataType="decimal"/>
    </tableColumn>
    <tableColumn id="28" uniqueName="md_osvob2" name="2o" dataDxfId="10">
      <calculatedColumnFormula>IF([26]=([23.I]+[23.II]+[23.III]+[23.IV]+[23.V]),[23.II],IF([26]=7,1,IF([26]=8,2,IF([26]&gt;8,3,""))))</calculatedColumnFormula>
      <xmlColumnPr mapId="2" xpath="/Pisemnost/DSLDP2/VetaO/@md_osvob2" xmlDataType="decimal"/>
    </tableColumn>
    <tableColumn id="27" uniqueName="md_osvob3" name="3o" dataDxfId="9">
      <calculatedColumnFormula>IF([26]=([23.I]+[23.II]+[23.III]+[23.IV]+[23.V]),[23.III],IF([26]=4,1,IF([26]=5,2,IF([26]&gt;5,3,""))))</calculatedColumnFormula>
      <xmlColumnPr mapId="2" xpath="/Pisemnost/DSLDP2/VetaO/@md_osvob3" xmlDataType="decimal"/>
    </tableColumn>
    <tableColumn id="26" uniqueName="md_osvob4" name="4o" dataDxfId="8">
      <calculatedColumnFormula>IF([26]=([23.I]+[23.II]+[23.III]+[23.IV]+[23.V]),[23.IV],IF([26]=2,1,IF([26]&gt;2,2,"")))</calculatedColumnFormula>
      <xmlColumnPr mapId="2" xpath="/Pisemnost/DSLDP2/VetaO/@md_osvob4" xmlDataType="decimal"/>
    </tableColumn>
    <tableColumn id="25" uniqueName="md_osvob5" name="5o" dataDxfId="7">
      <calculatedColumnFormula>IF([26]=([23.I]+[23.II]+[23.III]+[23.IV]+[23.V]),[23.V],IF([26]&gt;=1,1,""))</calculatedColumnFormula>
      <xmlColumnPr mapId="2" xpath="/Pisemnost/DSLDP2/VetaO/@md_osvob5" xmlDataType="decimal"/>
    </tableColumn>
    <tableColumn id="18" uniqueName="md_osvob" name="26" dataDxfId="6">
      <calculatedColumnFormula>'2_str'!T7</calculatedColumnFormula>
      <xmlColumnPr mapId="2" xpath="/Pisemnost/DSLDP2/VetaO/@md_osvob" xmlDataType="decimal"/>
    </tableColumn>
    <tableColumn id="19" uniqueName="kc_osvob" name="27" dataDxfId="5">
      <calculatedColumnFormula>IF('2_str'!U7&lt;&gt;"",'2_str'!U7,"")</calculatedColumnFormula>
      <xmlColumnPr mapId="2" xpath="/Pisemnost/DSLDP2/VetaO/@kc_osvob" xmlDataType="decimal"/>
    </tableColumn>
    <tableColumn id="20" uniqueName="kc_sleva" name="28" dataDxfId="4">
      <calculatedColumnFormula>IF('2_str'!V7&lt;&gt;"",'2_str'!V7,"")</calculatedColumnFormula>
      <xmlColumnPr mapId="2" xpath="/Pisemnost/DSLDP2/VetaO/@kc_sleva" xmlDataType="decimal"/>
    </tableColumn>
    <tableColumn id="21" uniqueName="kc_dpovin" name="29" dataDxfId="3">
      <calculatedColumnFormula>IF(I3&lt;&gt;"",'2_str'!W7,"")</calculatedColumnFormula>
      <xmlColumnPr mapId="2" xpath="/Pisemnost/DSLDP2/VetaO/@kc_dpovin" xmlDataType="decimal"/>
    </tableColumn>
    <tableColumn id="22" uniqueName="typ_rdapdsl2" name="30" dataDxfId="2">
      <calculatedColumnFormula>IF(OR('2_str'!X7="V",'2_str'!X7="O",'2_str'!X7="R"),'2_str'!X7,"")</calculatedColumnFormula>
      <xmlColumnPr mapId="2" xpath="/Pisemnost/DSLDP2/VetaO/@typ_rdapdsl2" xmlDataType="string"/>
    </tableColumn>
    <tableColumn id="23" uniqueName="d342" name="d342" dataDxfId="1"/>
    <tableColumn id="24" uniqueName="rok" name="Rok" dataDxfId="0">
      <calculatedColumnFormula>'1_str'!$H$19</calculatedColumnFormula>
      <xmlColumnPr mapId="2" xpath="/Pisemnost/DSLDP2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4" connectionId="0">
    <xmlCellPr id="1" uniqueName="k_uladis">
      <xmlPr mapId="2" xpath="/Pisemnost/DSLDP2/VetaD/@k_uladis" xmlDataType="anyType"/>
    </xmlCellPr>
  </singleXmlCell>
  <singleXmlCell id="2" r="B5" connectionId="0">
    <xmlCellPr id="1" uniqueName="dokument">
      <xmlPr mapId="2" xpath="/Pisemnost/DSLDP2/VetaD/@dokument" xmlDataType="anyType"/>
    </xmlCellPr>
  </singleXmlCell>
  <singleXmlCell id="3" r="B6" connectionId="0">
    <xmlCellPr id="1" uniqueName="rok">
      <xmlPr mapId="2" xpath="/Pisemnost/DSLDP2/VetaD/@rok" xmlDataType="decimal"/>
    </xmlCellPr>
  </singleXmlCell>
  <singleXmlCell id="4" r="B7" connectionId="0">
    <xmlCellPr id="1" uniqueName="zdobd_od">
      <xmlPr mapId="2" xpath="/Pisemnost/DSLDP2/VetaD/@zdobd_od" xmlDataType="string"/>
    </xmlCellPr>
  </singleXmlCell>
  <singleXmlCell id="5" r="B8" connectionId="0">
    <xmlCellPr id="1" uniqueName="zdobd_do">
      <xmlPr mapId="2" xpath="/Pisemnost/DSLDP2/VetaD/@zdobd_do" xmlDataType="string"/>
    </xmlCellPr>
  </singleXmlCell>
  <singleXmlCell id="6" r="B9" connectionId="0">
    <xmlCellPr id="1" uniqueName="dapdsl_forma">
      <xmlPr mapId="2" xpath="/Pisemnost/DSLDP2/VetaD/@dapdsl_forma" xmlDataType="string"/>
    </xmlCellPr>
  </singleXmlCell>
  <singleXmlCell id="7" r="B10" connectionId="0">
    <xmlCellPr id="1" uniqueName="poc_pril">
      <xmlPr mapId="2" xpath="/Pisemnost/DSLDP2/VetaD/@poc_pril" xmlDataType="decimal"/>
    </xmlCellPr>
  </singleXmlCell>
  <singleXmlCell id="8" r="B11" connectionId="0">
    <xmlCellPr id="1" uniqueName="typ_dapdsl">
      <xmlPr mapId="2" xpath="/Pisemnost/DSLDP2/VetaD/@typ_dapdsl" xmlDataType="string"/>
    </xmlCellPr>
  </singleXmlCell>
  <singleXmlCell id="11" r="B12" connectionId="0">
    <xmlCellPr id="1" uniqueName="vysldan_po">
      <xmlPr mapId="2" xpath="/Pisemnost/DSLDP2/VetaD/@vysldan_po" xmlDataType="decimal"/>
    </xmlCellPr>
  </singleXmlCell>
  <singleXmlCell id="13" r="B13" connectionId="0">
    <xmlCellPr id="1" uniqueName="kc_zalcelk">
      <xmlPr mapId="2" xpath="/Pisemnost/DSLDP2/VetaD/@kc_zalcelk" xmlDataType="decimal"/>
    </xmlCellPr>
  </singleXmlCell>
  <singleXmlCell id="14" r="B14" connectionId="0">
    <xmlCellPr id="1" uniqueName="kc_zbydopl">
      <xmlPr mapId="2" xpath="/Pisemnost/DSLDP2/VetaD/@kc_zbydopl" xmlDataType="decimal"/>
    </xmlCellPr>
  </singleXmlCell>
  <singleXmlCell id="15" r="B15" connectionId="0">
    <xmlCellPr id="1" uniqueName="kc_preplac">
      <xmlPr mapId="2" xpath="/Pisemnost/DSLDP2/VetaD/@kc_preplac" xmlDataType="decimal"/>
    </xmlCellPr>
  </singleXmlCell>
  <singleXmlCell id="16" r="B16" connectionId="0">
    <xmlCellPr id="1" uniqueName="kc_poznpopo">
      <xmlPr mapId="2" xpath="/Pisemnost/DSLDP2/VetaD/@kc_poznpopo" xmlDataType="decimal"/>
    </xmlCellPr>
  </singleXmlCell>
  <singleXmlCell id="17" r="B17" connectionId="0">
    <xmlCellPr id="1" uniqueName="kc_rozdil">
      <xmlPr mapId="2" xpath="/Pisemnost/DSLDP2/VetaD/@kc_rozdil" xmlDataType="decimal"/>
    </xmlCellPr>
  </singleXmlCell>
  <singleXmlCell id="18" r="B18" connectionId="0">
    <xmlCellPr id="1" uniqueName="d_zjist">
      <xmlPr mapId="2" xpath="/Pisemnost/DSLDP2/VetaD/@d_zjist" xmlDataType="string"/>
    </xmlCellPr>
  </singleXmlCell>
  <singleXmlCell id="19" r="B19" connectionId="0">
    <xmlCellPr id="1" uniqueName="d_lku">
      <xmlPr mapId="2" xpath="/Pisemnost/DSLDP2/VetaD/@d_lku" xmlDataType="string"/>
    </xmlCellPr>
  </singleXmlCell>
  <singleXmlCell id="20" r="B20" connectionId="0">
    <xmlCellPr id="1" uniqueName="c_ufo_cil">
      <xmlPr mapId="2" xpath="/Pisemnost/DSLDP2/VetaD/@c_ufo_cil" xmlDataType="decimal"/>
    </xmlCellPr>
  </singleXmlCell>
  <singleXmlCell id="21" r="B24" connectionId="0">
    <xmlCellPr id="1" uniqueName="dic">
      <xmlPr mapId="2" xpath="/Pisemnost/DSLDP2/VetaP/@dic" xmlDataType="string"/>
    </xmlCellPr>
  </singleXmlCell>
  <singleXmlCell id="22" r="B25" connectionId="0">
    <xmlCellPr id="1" uniqueName="rod_c">
      <xmlPr mapId="2" xpath="/Pisemnost/DSLDP2/VetaP/@rod_c" xmlDataType="string"/>
    </xmlCellPr>
  </singleXmlCell>
  <singleXmlCell id="23" r="B26" connectionId="0">
    <xmlCellPr id="1" uniqueName="typ_ds">
      <xmlPr mapId="2" xpath="/Pisemnost/DSLDP2/VetaP/@typ_ds" xmlDataType="string"/>
    </xmlCellPr>
  </singleXmlCell>
  <singleXmlCell id="24" r="B27" connectionId="0">
    <xmlCellPr id="1" uniqueName="prijmeni">
      <xmlPr mapId="2" xpath="/Pisemnost/DSLDP2/VetaP/@prijmeni" xmlDataType="string"/>
    </xmlCellPr>
  </singleXmlCell>
  <singleXmlCell id="25" r="B28" connectionId="0">
    <xmlCellPr id="1" uniqueName="rodnepr">
      <xmlPr mapId="2" xpath="/Pisemnost/DSLDP2/VetaP/@rodnepr" xmlDataType="string"/>
    </xmlCellPr>
  </singleXmlCell>
  <singleXmlCell id="26" r="B29" connectionId="0">
    <xmlCellPr id="1" uniqueName="jmeno">
      <xmlPr mapId="2" xpath="/Pisemnost/DSLDP2/VetaP/@jmeno" xmlDataType="string"/>
    </xmlCellPr>
  </singleXmlCell>
  <singleXmlCell id="27" r="B30" connectionId="0">
    <xmlCellPr id="1" uniqueName="titul">
      <xmlPr mapId="2" xpath="/Pisemnost/DSLDP2/VetaP/@titul" xmlDataType="string"/>
    </xmlCellPr>
  </singleXmlCell>
  <singleXmlCell id="28" r="B31" connectionId="0">
    <xmlCellPr id="1" uniqueName="zkrobchjm">
      <xmlPr mapId="2" xpath="/Pisemnost/DSLDP2/VetaP/@zkrobchjm" xmlDataType="string"/>
    </xmlCellPr>
  </singleXmlCell>
  <singleXmlCell id="29" r="B32" connectionId="0">
    <xmlCellPr id="1" uniqueName="naz_obce">
      <xmlPr mapId="2" xpath="/Pisemnost/DSLDP2/VetaP/@naz_obce" xmlDataType="string"/>
    </xmlCellPr>
  </singleXmlCell>
  <singleXmlCell id="31" r="B34" connectionId="0">
    <xmlCellPr id="1" uniqueName="ulice">
      <xmlPr mapId="2" xpath="/Pisemnost/DSLDP2/VetaP/@ulice" xmlDataType="string"/>
    </xmlCellPr>
  </singleXmlCell>
  <singleXmlCell id="32" r="B35" connectionId="0">
    <xmlCellPr id="1" uniqueName="c_pop">
      <xmlPr mapId="2" xpath="/Pisemnost/DSLDP2/VetaP/@c_pop" xmlDataType="decimal"/>
    </xmlCellPr>
  </singleXmlCell>
  <singleXmlCell id="33" r="B36" connectionId="0">
    <xmlCellPr id="1" uniqueName="c_orient">
      <xmlPr mapId="2" xpath="/Pisemnost/DSLDP2/VetaP/@c_orient" xmlDataType="string"/>
    </xmlCellPr>
  </singleXmlCell>
  <singleXmlCell id="34" r="B37" connectionId="0">
    <xmlCellPr id="1" uniqueName="psc">
      <xmlPr mapId="2" xpath="/Pisemnost/DSLDP2/VetaP/@psc" xmlDataType="string"/>
    </xmlCellPr>
  </singleXmlCell>
  <singleXmlCell id="35" r="B38" connectionId="0">
    <xmlCellPr id="1" uniqueName="stat">
      <xmlPr mapId="2" xpath="/Pisemnost/DSLDP2/VetaP/@stat" xmlDataType="string"/>
    </xmlCellPr>
  </singleXmlCell>
  <singleXmlCell id="36" r="B39" connectionId="0">
    <xmlCellPr id="1" uniqueName="c_telef">
      <xmlPr mapId="2" xpath="/Pisemnost/DSLDP2/VetaP/@c_telef" xmlDataType="string"/>
    </xmlCellPr>
  </singleXmlCell>
  <singleXmlCell id="37" r="B40" connectionId="0">
    <xmlCellPr id="1" uniqueName="opr_prijmeni">
      <xmlPr mapId="2" xpath="/Pisemnost/DSLDP2/VetaP/@opr_prijmeni" xmlDataType="string"/>
    </xmlCellPr>
  </singleXmlCell>
  <singleXmlCell id="38" r="B41" connectionId="0">
    <xmlCellPr id="1" uniqueName="opr_jmeno">
      <xmlPr mapId="2" xpath="/Pisemnost/DSLDP2/VetaP/@opr_jmeno" xmlDataType="string"/>
    </xmlCellPr>
  </singleXmlCell>
  <singleXmlCell id="39" r="B42" connectionId="0">
    <xmlCellPr id="1" uniqueName="opr_titul">
      <xmlPr mapId="2" xpath="/Pisemnost/DSLDP2/VetaP/@opr_titul" xmlDataType="string"/>
    </xmlCellPr>
  </singleXmlCell>
  <singleXmlCell id="40" r="B43" connectionId="0">
    <xmlCellPr id="1" uniqueName="opr_postaveni">
      <xmlPr mapId="2" xpath="/Pisemnost/DSLDP2/VetaP/@opr_postaveni" xmlDataType="string"/>
    </xmlCellPr>
  </singleXmlCell>
  <singleXmlCell id="41" r="B44" connectionId="0">
    <xmlCellPr id="1" uniqueName="sest_prijmeni">
      <xmlPr mapId="2" xpath="/Pisemnost/DSLDP2/VetaP/@sest_prijmeni" xmlDataType="string"/>
    </xmlCellPr>
  </singleXmlCell>
  <singleXmlCell id="42" r="B45" connectionId="0">
    <xmlCellPr id="1" uniqueName="sest_jmeno">
      <xmlPr mapId="2" xpath="/Pisemnost/DSLDP2/VetaP/@sest_jmeno" xmlDataType="string"/>
    </xmlCellPr>
  </singleXmlCell>
  <singleXmlCell id="43" r="B46" connectionId="0">
    <xmlCellPr id="1" uniqueName="sest_titul">
      <xmlPr mapId="2" xpath="/Pisemnost/DSLDP2/VetaP/@sest_titul" xmlDataType="string"/>
    </xmlCellPr>
  </singleXmlCell>
  <singleXmlCell id="44" r="B47" connectionId="0">
    <xmlCellPr id="1" uniqueName="sest_telef">
      <xmlPr mapId="2" xpath="/Pisemnost/DSLDP2/VetaP/@sest_telef" xmlDataType="string"/>
    </xmlCellPr>
  </singleXmlCell>
  <singleXmlCell id="45" r="B48" connectionId="0">
    <xmlCellPr id="1" uniqueName="zast_kod">
      <xmlPr mapId="2" xpath="/Pisemnost/DSLDP2/VetaP/@zast_kod" xmlDataType="string"/>
    </xmlCellPr>
  </singleXmlCell>
  <singleXmlCell id="46" r="B49" connectionId="0">
    <xmlCellPr id="1" uniqueName="zast_typ">
      <xmlPr mapId="2" xpath="/Pisemnost/DSLDP2/VetaP/@zast_typ" xmlDataType="string"/>
    </xmlCellPr>
  </singleXmlCell>
  <singleXmlCell id="47" r="B50" connectionId="0">
    <xmlCellPr id="1" uniqueName="zast_prijmeni">
      <xmlPr mapId="2" xpath="/Pisemnost/DSLDP2/VetaP/@zast_prijmeni" xmlDataType="string"/>
    </xmlCellPr>
  </singleXmlCell>
  <singleXmlCell id="48" r="B51" connectionId="0">
    <xmlCellPr id="1" uniqueName="zast_jmeno">
      <xmlPr mapId="2" xpath="/Pisemnost/DSLDP2/VetaP/@zast_jmeno" xmlDataType="string"/>
    </xmlCellPr>
  </singleXmlCell>
  <singleXmlCell id="49" r="B52" connectionId="0">
    <xmlCellPr id="1" uniqueName="zast_nazev">
      <xmlPr mapId="2" xpath="/Pisemnost/DSLDP2/VetaP/@zast_nazev" xmlDataType="string"/>
    </xmlCellPr>
  </singleXmlCell>
  <singleXmlCell id="50" r="B53" connectionId="0">
    <xmlCellPr id="1" uniqueName="zast_dat_nar">
      <xmlPr mapId="2" xpath="/Pisemnost/DSLDP2/VetaP/@zast_dat_nar" xmlDataType="string"/>
    </xmlCellPr>
  </singleXmlCell>
  <singleXmlCell id="51" r="B54" connectionId="0">
    <xmlCellPr id="1" uniqueName="zast_ev_cislo">
      <xmlPr mapId="2" xpath="/Pisemnost/DSLDP2/VetaP/@zast_ev_cislo" xmlDataType="string"/>
    </xmlCellPr>
  </singleXmlCell>
  <singleXmlCell id="52" r="B55" connectionId="0">
    <xmlCellPr id="1" uniqueName="zast_ic">
      <xmlPr mapId="2" xpath="/Pisemnost/DSLDP2/VetaP/@zast_ic" xmlDataType="string"/>
    </xmlCellPr>
  </singleXmlCell>
  <singleXmlCell id="53" r="B56" connectionId="0">
    <xmlCellPr id="1" uniqueName="c_pracufo">
      <xmlPr mapId="2" xpath="/Pisemnost/DSLDP2/VetaP/@c_pracufo" xmlDataType="decimal"/>
    </xmlCellPr>
  </singleXmlCell>
  <singleXmlCell id="54" r="B57" connectionId="0">
    <xmlCellPr id="1" uniqueName="id_dats">
      <xmlPr mapId="2" xpath="/Pisemnost/DSLDP2/VetaP/@id_dats" xmlDataType="string"/>
    </xmlCellPr>
  </singleXmlCell>
  <singleXmlCell id="55" r="B58" connectionId="0">
    <xmlCellPr id="1" uniqueName="email">
      <xmlPr mapId="2" xpath="/Pisemnost/DSLDP2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1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ColWidth="8.85428571428571" defaultRowHeight="12.75"/>
  <cols>
    <col min="12" max="30" width="9.14285714285714" style="2"/>
  </cols>
  <sheetData>
    <row r="1" spans="1:11" ht="12.75" customHeight="1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2.75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12.75" customHeigh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2.7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2.7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ht="12.75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ht="12.75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ht="12.75">
      <c r="A8" s="251" t="s">
        <v>1996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</row>
    <row r="9" spans="1:11" ht="12.75">
      <c r="A9" s="252"/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ht="12.75">
      <c r="A10" s="252"/>
      <c r="B10" s="252"/>
      <c r="C10" s="252"/>
      <c r="D10" s="252"/>
      <c r="E10" s="252"/>
      <c r="F10" s="252"/>
      <c r="G10" s="252"/>
      <c r="H10" s="252"/>
      <c r="I10" s="252"/>
      <c r="J10" s="252"/>
      <c r="K10" s="252"/>
    </row>
    <row r="11" spans="1:11" ht="12.75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</row>
    <row r="12" spans="1:11" ht="12.75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</row>
    <row r="13" spans="1:11" ht="30">
      <c r="A13" s="258" t="s">
        <v>41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spans="1:11" ht="18">
      <c r="A14" s="259" t="s">
        <v>2003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59"/>
    </row>
    <row r="15" spans="1:11" ht="18">
      <c r="A15" s="259" t="s">
        <v>2004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</row>
    <row r="16" spans="1:11" ht="12.75">
      <c r="A16" s="260" t="s">
        <v>1994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</row>
    <row r="17" spans="1:11" ht="36" customHeight="1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spans="1:11" ht="36" customHeight="1">
      <c r="A18" s="257" t="s">
        <v>158</v>
      </c>
      <c r="B18" s="257"/>
      <c r="C18" s="257"/>
      <c r="D18" s="257"/>
      <c r="E18" s="257"/>
      <c r="F18" s="257"/>
      <c r="G18" s="257"/>
      <c r="H18" s="257"/>
      <c r="I18" s="257"/>
      <c r="J18" s="257"/>
      <c r="K18" s="257"/>
    </row>
    <row r="19" spans="1:11" ht="18" customHeight="1">
      <c r="A19" s="253"/>
      <c r="B19" s="253"/>
      <c r="C19" s="253"/>
      <c r="D19" s="253"/>
      <c r="E19" s="253"/>
      <c r="F19" s="253"/>
      <c r="G19" s="253"/>
      <c r="H19" s="253"/>
      <c r="I19" s="253"/>
      <c r="J19" s="253"/>
      <c r="K19" s="253"/>
    </row>
    <row r="20" spans="1:11" ht="36" customHeight="1">
      <c r="A20" s="250" t="s">
        <v>110</v>
      </c>
      <c r="B20" s="250"/>
      <c r="C20" s="250"/>
      <c r="D20" s="250"/>
      <c r="E20" s="250"/>
      <c r="F20" s="250"/>
      <c r="G20" s="250"/>
      <c r="H20" s="250"/>
      <c r="I20" s="250"/>
      <c r="J20" s="250"/>
      <c r="K20" s="250"/>
    </row>
    <row r="21" spans="1:11" ht="18" customHeight="1">
      <c r="A21" s="254"/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spans="1:11" ht="18" customHeight="1">
      <c r="A22" s="255" t="s">
        <v>114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</row>
    <row r="23" spans="1:11" ht="18" customHeight="1">
      <c r="A23" s="256"/>
      <c r="B23" s="256"/>
      <c r="C23" s="256"/>
      <c r="D23" s="256"/>
      <c r="E23" s="256"/>
      <c r="F23" s="256"/>
      <c r="G23" s="256"/>
      <c r="H23" s="256"/>
      <c r="I23" s="256"/>
      <c r="J23" s="256"/>
      <c r="K23" s="256"/>
    </row>
    <row r="24" spans="1:11" ht="18" customHeight="1">
      <c r="A24" s="256"/>
      <c r="B24" s="256"/>
      <c r="C24" s="256"/>
      <c r="D24" s="256"/>
      <c r="E24" s="256"/>
      <c r="F24" s="256"/>
      <c r="G24" s="256"/>
      <c r="H24" s="256"/>
      <c r="I24" s="256"/>
      <c r="J24" s="256"/>
      <c r="K24" s="256"/>
    </row>
    <row r="25" spans="1:11" ht="36" customHeight="1">
      <c r="A25" s="250" t="s">
        <v>115</v>
      </c>
      <c r="B25" s="250"/>
      <c r="C25" s="250"/>
      <c r="D25" s="250"/>
      <c r="E25" s="250"/>
      <c r="F25" s="250"/>
      <c r="G25" s="250"/>
      <c r="H25" s="250"/>
      <c r="I25" s="250"/>
      <c r="J25" s="250"/>
      <c r="K25" s="250"/>
    </row>
    <row r="26" spans="1:11" ht="18" customHeight="1">
      <c r="A26" s="250"/>
      <c r="B26" s="250"/>
      <c r="C26" s="250"/>
      <c r="D26" s="250"/>
      <c r="E26" s="250"/>
      <c r="F26" s="250"/>
      <c r="G26" s="250"/>
      <c r="H26" s="250"/>
      <c r="I26" s="250"/>
      <c r="J26" s="250"/>
      <c r="K26" s="250"/>
    </row>
    <row r="27" spans="1:11" ht="18" customHeight="1">
      <c r="A27" s="250"/>
      <c r="B27" s="250"/>
      <c r="C27" s="250"/>
      <c r="D27" s="250"/>
      <c r="E27" s="250"/>
      <c r="F27" s="250"/>
      <c r="G27" s="250"/>
      <c r="H27" s="250"/>
      <c r="I27" s="250"/>
      <c r="J27" s="250"/>
      <c r="K27" s="250"/>
    </row>
    <row r="28" spans="1:11" ht="18" customHeight="1">
      <c r="A28" s="250" t="s">
        <v>2002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</row>
    <row r="29" spans="1:11" ht="18" customHeight="1">
      <c r="A29" s="263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3"/>
    </row>
    <row r="30" spans="1:11" ht="18" customHeight="1">
      <c r="A30" s="263"/>
      <c r="B30" s="263"/>
      <c r="C30" s="263"/>
      <c r="D30" s="263"/>
      <c r="E30" s="263"/>
      <c r="F30" s="263"/>
      <c r="G30" s="263"/>
      <c r="H30" s="263"/>
      <c r="I30" s="263"/>
      <c r="J30" s="263"/>
      <c r="K30" s="263"/>
    </row>
    <row r="31" spans="1:11" ht="18" customHeight="1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18" customHeight="1">
      <c r="A32" s="250" t="s">
        <v>47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50"/>
    </row>
    <row r="33" spans="1:11" ht="18" customHeight="1">
      <c r="A33" s="262"/>
      <c r="B33" s="262"/>
      <c r="C33" s="262"/>
      <c r="D33" s="262"/>
      <c r="E33" s="262"/>
      <c r="F33" s="262"/>
      <c r="G33" s="262"/>
      <c r="H33" s="262"/>
      <c r="I33" s="262"/>
      <c r="J33" s="262"/>
      <c r="K33" s="262"/>
    </row>
    <row r="34" spans="1:11" ht="18" customHeight="1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</row>
    <row r="35" spans="1:11" ht="18" customHeight="1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</row>
    <row r="36" spans="1:11" ht="18" customHeight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</row>
    <row r="37" spans="1:11" ht="18" customHeight="1">
      <c r="A37" s="250"/>
      <c r="B37" s="250"/>
      <c r="C37" s="250"/>
      <c r="D37" s="250"/>
      <c r="E37" s="250"/>
      <c r="F37" s="250"/>
      <c r="G37" s="250"/>
      <c r="H37" s="250"/>
      <c r="I37" s="250"/>
      <c r="J37" s="250"/>
      <c r="K37" s="250"/>
    </row>
    <row r="38" spans="1:11" ht="18" customHeight="1">
      <c r="A38" s="250"/>
      <c r="B38" s="250"/>
      <c r="C38" s="250"/>
      <c r="D38" s="250"/>
      <c r="E38" s="250"/>
      <c r="F38" s="250"/>
      <c r="G38" s="250"/>
      <c r="H38" s="250"/>
      <c r="I38" s="250"/>
      <c r="J38" s="250"/>
      <c r="K38" s="250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601">
        <v>1</v>
      </c>
    </row>
    <row r="100" spans="1:1" s="2" customFormat="1" ht="12.75">
      <c r="A100" s="2" t="s">
        <v>113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SGVRR8ckH0OUzo2/R6Z1EhOVszFTuyKGlrABnRMlv3J1Uccp6Rl/549tt03x7GkKf1jPePLMdzIsaeRSe5CrWg==" saltValue="hsZIfLEyc0OAnqFbuZpdSw==" spinCount="100000" sheet="1" objects="1" scenarios="1"/>
  <mergeCells count="21">
    <mergeCell ref="A37:K37"/>
    <mergeCell ref="A38:K38"/>
    <mergeCell ref="A34:K34"/>
    <mergeCell ref="A35:K35"/>
    <mergeCell ref="A36:K36"/>
    <mergeCell ref="A32:K33"/>
    <mergeCell ref="A29:K31"/>
    <mergeCell ref="A28:K28"/>
    <mergeCell ref="A27:K27"/>
    <mergeCell ref="A26:K26"/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21" sqref="B21"/>
    </sheetView>
  </sheetViews>
  <sheetFormatPr defaultColWidth="8.85428571428571" defaultRowHeight="12.75"/>
  <cols>
    <col min="1" max="1" width="28.1428571428571" style="4" customWidth="1"/>
    <col min="2" max="2" width="65.7142857142857" style="4" customWidth="1"/>
    <col min="3" max="3" width="3" style="4" customWidth="1"/>
    <col min="4" max="4" width="65.7142857142857" style="4" customWidth="1"/>
    <col min="5" max="5" width="28.2857142857143" style="4" customWidth="1"/>
    <col min="6" max="37" width="9.14285714285714" style="53"/>
  </cols>
  <sheetData>
    <row r="1" spans="1:37" s="15" customFormat="1" ht="18">
      <c r="A1" s="267" t="s">
        <v>48</v>
      </c>
      <c r="B1" s="268"/>
      <c r="C1" s="268"/>
      <c r="D1" s="268"/>
      <c r="E1" s="26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57"/>
      <c r="B2" s="58" t="s">
        <v>98</v>
      </c>
      <c r="C2" s="59"/>
      <c r="D2" s="61" t="s">
        <v>99</v>
      </c>
      <c r="E2" s="60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49</v>
      </c>
      <c r="C3" s="14"/>
      <c r="D3" s="20" t="s">
        <v>50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61</v>
      </c>
      <c r="B4" s="22"/>
      <c r="C4" s="23"/>
      <c r="D4" s="269"/>
      <c r="E4" s="14" t="s">
        <v>51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63</v>
      </c>
      <c r="B5" s="180"/>
      <c r="C5" s="25"/>
      <c r="D5" s="270"/>
      <c r="E5" s="14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52</v>
      </c>
      <c r="B6" s="24"/>
      <c r="C6" s="25"/>
      <c r="D6" s="270"/>
      <c r="E6" s="14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53</v>
      </c>
      <c r="B7" s="180"/>
      <c r="C7" s="25"/>
      <c r="D7" s="29"/>
      <c r="E7" s="14" t="s">
        <v>54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55</v>
      </c>
      <c r="B8" s="27"/>
      <c r="C8" s="25"/>
      <c r="D8" s="26"/>
      <c r="E8" s="1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56</v>
      </c>
      <c r="B9" s="28"/>
      <c r="C9" s="25"/>
      <c r="D9" s="26"/>
      <c r="E9" s="14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57</v>
      </c>
      <c r="B10" s="28"/>
      <c r="C10" s="25"/>
      <c r="D10" s="29"/>
      <c r="E10" s="14" t="s">
        <v>57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58</v>
      </c>
      <c r="B11" s="28"/>
      <c r="C11" s="25"/>
      <c r="D11" s="26"/>
      <c r="E11" s="14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71" t="s">
        <v>59</v>
      </c>
      <c r="C12" s="272"/>
      <c r="D12" s="273"/>
      <c r="E12" s="14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93" t="s">
        <v>154</v>
      </c>
      <c r="B13" s="30"/>
      <c r="C13" s="31"/>
      <c r="D13" s="32"/>
      <c r="E13" s="33" t="s">
        <v>60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93" t="s">
        <v>155</v>
      </c>
      <c r="B14" s="186"/>
      <c r="C14" s="25"/>
      <c r="D14" s="32"/>
      <c r="E14" s="14" t="s">
        <v>61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34" t="s">
        <v>62</v>
      </c>
      <c r="B15" s="30"/>
      <c r="C15" s="25"/>
      <c r="D15" s="32"/>
      <c r="E15" s="14" t="s">
        <v>63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64</v>
      </c>
      <c r="B16" s="179"/>
      <c r="C16" s="25"/>
      <c r="D16" s="32"/>
      <c r="E16" s="14" t="s">
        <v>53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65</v>
      </c>
      <c r="B17" s="35"/>
      <c r="C17" s="25"/>
      <c r="D17" s="32"/>
      <c r="E17" s="14" t="s">
        <v>66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67</v>
      </c>
      <c r="B18" s="179"/>
      <c r="C18" s="25"/>
      <c r="D18" s="32"/>
      <c r="E18" s="1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68</v>
      </c>
      <c r="B19" s="36"/>
      <c r="C19" s="31"/>
      <c r="D19" s="32"/>
      <c r="E19" s="33" t="s">
        <v>69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70</v>
      </c>
      <c r="B20" s="30"/>
      <c r="C20" s="25"/>
      <c r="D20" s="32"/>
      <c r="E20" s="14" t="s">
        <v>61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71</v>
      </c>
      <c r="B21" s="30"/>
      <c r="C21" s="25"/>
      <c r="D21" s="32"/>
      <c r="E21" s="14" t="s">
        <v>63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30"/>
      <c r="C22" s="25"/>
      <c r="D22" s="32"/>
      <c r="E22" s="14" t="s">
        <v>53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34" t="s">
        <v>72</v>
      </c>
      <c r="B23" s="30"/>
      <c r="C23" s="25"/>
      <c r="D23" s="37"/>
      <c r="E23" s="14" t="s">
        <v>73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30"/>
      <c r="C24" s="25"/>
      <c r="D24" s="32"/>
      <c r="E24" s="14" t="s">
        <v>74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73</v>
      </c>
      <c r="B25" s="38"/>
      <c r="C25" s="25"/>
      <c r="D25" s="39"/>
      <c r="E25" s="14" t="s">
        <v>65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75</v>
      </c>
      <c r="B26" s="38"/>
      <c r="C26" s="25"/>
      <c r="D26" s="32"/>
      <c r="E26" s="14" t="s">
        <v>67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76</v>
      </c>
      <c r="B27" s="40"/>
      <c r="C27" s="25"/>
      <c r="D27" s="41"/>
      <c r="E27" s="14" t="s">
        <v>68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2015</v>
      </c>
      <c r="B28" s="30"/>
      <c r="C28" s="25"/>
      <c r="D28" s="32"/>
      <c r="E28" s="14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77</v>
      </c>
      <c r="B29" s="274"/>
      <c r="C29" s="31"/>
      <c r="D29" s="32"/>
      <c r="E29" s="33" t="s">
        <v>78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74"/>
      <c r="C30" s="25"/>
      <c r="D30" s="178"/>
      <c r="E30" s="14" t="s">
        <v>61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34" t="s">
        <v>79</v>
      </c>
      <c r="B31" s="30"/>
      <c r="C31" s="25"/>
      <c r="D31" s="178"/>
      <c r="E31" s="14" t="s">
        <v>63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80</v>
      </c>
      <c r="B32" s="36"/>
      <c r="C32" s="25"/>
      <c r="D32" s="178"/>
      <c r="E32" s="14" t="s">
        <v>53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81</v>
      </c>
      <c r="B33" s="36"/>
      <c r="C33" s="25"/>
      <c r="D33" s="37"/>
      <c r="E33" s="14" t="s">
        <v>73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82</v>
      </c>
      <c r="B34" s="30"/>
      <c r="C34" s="25"/>
      <c r="D34" s="37"/>
      <c r="E34" s="14" t="s">
        <v>83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30"/>
      <c r="C35" s="25"/>
      <c r="D35" s="42"/>
      <c r="E35" s="14" t="s">
        <v>76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43"/>
      <c r="C36" s="44"/>
      <c r="D36" s="45"/>
      <c r="E36" s="14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75" t="s">
        <v>84</v>
      </c>
      <c r="B37" s="268"/>
      <c r="C37" s="268"/>
      <c r="D37" s="268"/>
      <c r="E37" s="26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6"/>
      <c r="B38" s="47" t="s">
        <v>87</v>
      </c>
      <c r="C38" s="14"/>
      <c r="D38" s="276" t="s">
        <v>86</v>
      </c>
      <c r="E38" s="27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8"/>
      <c r="B39" s="49" t="s">
        <v>85</v>
      </c>
      <c r="C39" s="14"/>
      <c r="D39" s="50" t="s">
        <v>88</v>
      </c>
      <c r="E39" s="14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51"/>
      <c r="B40" s="52" t="s">
        <v>89</v>
      </c>
      <c r="C40" s="14"/>
      <c r="D40" s="14"/>
      <c r="E40" s="14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64" t="s">
        <v>40</v>
      </c>
      <c r="B41" s="264"/>
      <c r="C41" s="264"/>
      <c r="D41" s="264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53" customFormat="1" ht="12.75">
      <c r="A43" s="54"/>
    </row>
    <row r="44" spans="1:5" s="53" customFormat="1" ht="12.75">
      <c r="A44" s="265"/>
      <c r="B44" s="266"/>
      <c r="C44" s="266"/>
      <c r="D44" s="266"/>
      <c r="E44" s="266"/>
    </row>
    <row r="45" s="53" customFormat="1" ht="12.75"/>
    <row r="46" s="53" customFormat="1" ht="12.75"/>
    <row r="47" s="53" customFormat="1" ht="12.75"/>
    <row r="48" s="53" customFormat="1" ht="12.75"/>
    <row r="49" s="53" customFormat="1" ht="12.75"/>
    <row r="50" s="53" customFormat="1" ht="12.75"/>
    <row r="51" s="53" customFormat="1" ht="12.75"/>
    <row r="52" s="53" customFormat="1" ht="12.75"/>
    <row r="53" spans="1:1" s="53" customFormat="1" ht="12.75">
      <c r="A53" s="54"/>
    </row>
    <row r="54" s="53" customFormat="1" ht="12.75"/>
    <row r="55" s="53" customFormat="1" ht="12.75"/>
    <row r="56" s="53" customFormat="1" ht="12.75"/>
    <row r="57" s="53" customFormat="1" ht="12.75"/>
    <row r="58" s="53" customFormat="1" ht="12.75"/>
    <row r="59" s="53" customFormat="1" ht="12.75"/>
    <row r="60" s="53" customFormat="1" ht="12.75"/>
    <row r="61" s="53" customFormat="1" ht="12.75"/>
    <row r="62" s="53" customFormat="1" ht="12.75"/>
    <row r="63" s="53" customFormat="1" ht="12.75"/>
    <row r="64" s="53" customFormat="1" ht="12.75"/>
    <row r="65" s="53" customFormat="1" ht="12.75"/>
    <row r="66" s="53" customFormat="1" ht="12.75"/>
    <row r="67" s="53" customFormat="1" ht="12.75"/>
    <row r="68" s="53" customFormat="1" ht="12.75"/>
    <row r="69" s="53" customFormat="1" ht="12.75"/>
    <row r="70" s="53" customFormat="1" ht="12.75"/>
    <row r="71" s="53" customFormat="1" ht="12.75"/>
    <row r="72" s="53" customFormat="1" ht="12.75"/>
    <row r="73" s="53" customFormat="1" ht="12.75"/>
    <row r="74" s="53" customFormat="1" ht="12.75"/>
    <row r="75" s="53" customFormat="1" ht="12.75"/>
    <row r="76" s="53" customFormat="1" ht="12.75"/>
    <row r="77" s="53" customFormat="1" ht="12.75"/>
    <row r="78" s="53" customFormat="1" ht="12.75"/>
    <row r="79" s="53" customFormat="1" ht="12.75"/>
    <row r="80" s="53" customFormat="1" ht="12.75"/>
    <row r="81" s="53" customFormat="1" ht="12.75"/>
    <row r="82" s="53" customFormat="1" ht="12.75"/>
    <row r="83" s="53" customFormat="1" ht="12.75"/>
    <row r="84" s="53" customFormat="1" ht="12.75"/>
    <row r="85" s="53" customFormat="1" ht="12.75"/>
    <row r="86" s="53" customFormat="1" ht="12.75"/>
    <row r="87" s="53" customFormat="1" ht="12.75"/>
    <row r="88" s="53" customFormat="1" ht="12.75"/>
    <row r="89" s="53" customFormat="1" ht="12.75"/>
    <row r="90" s="53" customFormat="1" ht="12.75"/>
    <row r="91" s="53" customFormat="1" ht="12.75"/>
    <row r="92" s="53" customFormat="1" ht="12.75"/>
    <row r="93" s="53" customFormat="1" ht="12.75"/>
    <row r="94" s="53" customFormat="1" ht="12.75"/>
    <row r="95" s="53" customFormat="1" ht="12.75"/>
    <row r="96" s="53" customFormat="1" ht="12.75"/>
    <row r="97" s="53" customFormat="1" ht="12.75"/>
    <row r="98" s="53" customFormat="1" ht="12.75"/>
    <row r="99" s="53" customFormat="1" ht="12.75"/>
    <row r="100" s="53" customFormat="1" ht="12.75"/>
    <row r="101" s="53" customFormat="1" ht="12.75"/>
    <row r="102" s="53" customFormat="1" ht="12.75"/>
    <row r="103" s="53" customFormat="1" ht="12.75"/>
    <row r="104" s="53" customFormat="1" ht="12.75"/>
    <row r="105" s="53" customFormat="1" ht="12.75"/>
    <row r="106" s="53" customFormat="1" ht="12.75"/>
    <row r="107" s="53" customFormat="1" ht="12.75"/>
    <row r="108" s="53" customFormat="1" ht="12.75"/>
    <row r="109" s="53" customFormat="1" ht="12.75"/>
    <row r="110" s="53" customFormat="1" ht="12.75"/>
    <row r="111" s="53" customFormat="1" ht="12.75"/>
    <row r="112" s="53" customFormat="1" ht="12.75"/>
    <row r="113" s="53" customFormat="1" ht="12.75"/>
    <row r="114" s="53" customFormat="1" ht="12.75"/>
    <row r="115" s="53" customFormat="1" ht="12.75"/>
    <row r="116" s="53" customFormat="1" ht="12.75"/>
    <row r="117" s="53" customFormat="1" ht="12.75"/>
    <row r="118" s="53" customFormat="1" ht="12.75"/>
    <row r="119" s="53" customFormat="1" ht="12.75"/>
    <row r="120" s="53" customFormat="1" ht="12.75"/>
    <row r="121" s="53" customFormat="1" ht="12.75"/>
    <row r="122" s="53" customFormat="1" ht="12.75"/>
    <row r="123" s="53" customFormat="1" ht="12.75"/>
    <row r="124" s="53" customFormat="1" ht="12.75"/>
    <row r="125" s="53" customFormat="1" ht="12.75"/>
    <row r="126" s="53" customFormat="1" ht="12.75"/>
    <row r="127" s="53" customFormat="1" ht="12.75"/>
    <row r="128" s="53" customFormat="1" ht="12.75"/>
    <row r="129" s="53" customFormat="1" ht="12.75"/>
    <row r="130" s="53" customFormat="1" ht="12.75"/>
    <row r="131" s="53" customFormat="1" ht="12.75"/>
    <row r="132" s="53" customFormat="1" ht="12.75"/>
    <row r="133" s="53" customFormat="1" ht="12.75"/>
    <row r="134" s="53" customFormat="1" ht="12.75"/>
    <row r="135" s="53" customFormat="1" ht="12.75"/>
    <row r="136" s="53" customFormat="1" ht="12.75"/>
    <row r="137" s="53" customFormat="1" ht="12.75"/>
    <row r="138" s="53" customFormat="1" ht="12.75"/>
    <row r="139" s="53" customFormat="1" ht="12.75"/>
    <row r="140" s="53" customFormat="1" ht="12.75"/>
    <row r="141" s="53" customFormat="1" ht="12.75"/>
    <row r="142" s="53" customFormat="1" ht="12.75"/>
    <row r="143" s="53" customFormat="1" ht="12.75"/>
    <row r="144" s="53" customFormat="1" ht="12.75"/>
    <row r="145" s="53" customFormat="1" ht="12.75"/>
    <row r="146" s="53" customFormat="1" ht="12.75"/>
    <row r="147" s="53" customFormat="1" ht="12.75"/>
    <row r="148" s="53" customFormat="1" ht="12.75"/>
    <row r="149" s="53" customFormat="1" ht="12.75"/>
    <row r="150" s="53" customFormat="1" ht="12.75"/>
    <row r="151" s="53" customFormat="1" ht="12.75"/>
    <row r="152" s="53" customFormat="1" ht="12.75"/>
    <row r="153" s="53" customFormat="1" ht="12.75"/>
    <row r="154" s="53" customFormat="1" ht="12.75"/>
    <row r="155" s="53" customFormat="1" ht="12.75"/>
    <row r="156" s="53" customFormat="1" ht="12.75"/>
    <row r="157" s="53" customFormat="1" ht="12.75"/>
    <row r="158" s="53" customFormat="1" ht="12.75"/>
    <row r="159" s="53" customFormat="1" ht="12.75"/>
    <row r="160" s="53" customFormat="1" ht="12.75"/>
    <row r="161" s="53" customFormat="1" ht="12.75"/>
    <row r="162" s="53" customFormat="1" ht="12.75"/>
    <row r="163" s="53" customFormat="1" ht="12.75"/>
    <row r="164" s="53" customFormat="1" ht="12.75"/>
    <row r="165" s="53" customFormat="1" ht="12.75"/>
    <row r="166" s="53" customFormat="1" ht="12.75"/>
    <row r="167" s="53" customFormat="1" ht="12.75"/>
    <row r="168" s="53" customFormat="1" ht="12.75"/>
    <row r="169" s="53" customFormat="1" ht="12.75"/>
    <row r="170" s="53" customFormat="1" ht="12.75"/>
    <row r="171" s="53" customFormat="1" ht="12.75"/>
    <row r="172" s="53" customFormat="1" ht="12.75"/>
    <row r="173" s="53" customFormat="1" ht="12.75"/>
    <row r="174" s="53" customFormat="1" ht="12.75"/>
    <row r="175" s="53" customFormat="1" ht="12.75"/>
    <row r="176" s="53" customFormat="1" ht="12.75"/>
    <row r="177" s="53" customFormat="1" ht="12.75"/>
    <row r="178" s="53" customFormat="1" ht="12.75"/>
    <row r="179" s="53" customFormat="1" ht="12.75"/>
    <row r="180" s="53" customFormat="1" ht="12.75"/>
    <row r="181" s="53" customFormat="1" ht="12.75"/>
    <row r="182" s="53" customFormat="1" ht="12.75"/>
    <row r="183" s="53" customFormat="1" ht="12.75"/>
    <row r="184" s="53" customFormat="1" ht="12.75"/>
    <row r="185" s="53" customFormat="1" ht="12.75"/>
    <row r="186" s="53" customFormat="1" ht="12.75"/>
    <row r="187" s="53" customFormat="1" ht="12.75"/>
    <row r="188" s="53" customFormat="1" ht="12.75"/>
    <row r="189" s="53" customFormat="1" ht="12.75"/>
    <row r="190" s="53" customFormat="1" ht="12.75"/>
    <row r="191" s="53" customFormat="1" ht="12.75"/>
    <row r="192" s="53" customFormat="1" ht="12.75"/>
    <row r="193" s="53" customFormat="1" ht="12.75"/>
    <row r="194" s="53" customFormat="1" ht="12.75"/>
    <row r="195" s="53" customFormat="1" ht="12.75"/>
    <row r="196" s="53" customFormat="1" ht="12.75"/>
    <row r="197" s="53" customFormat="1" ht="12.75"/>
    <row r="198" s="53" customFormat="1" ht="12.75"/>
    <row r="199" s="53" customFormat="1" ht="12.75"/>
    <row r="200" s="53" customFormat="1" ht="12.75"/>
    <row r="201" s="53" customFormat="1" ht="12.75"/>
    <row r="202" s="53" customFormat="1" ht="12.75"/>
    <row r="203" s="53" customFormat="1" ht="12.75"/>
    <row r="204" s="53" customFormat="1" ht="12.75"/>
    <row r="205" s="53" customFormat="1" ht="12.75"/>
    <row r="206" s="53" customFormat="1" ht="12.75"/>
    <row r="207" s="53" customFormat="1" ht="12.75"/>
    <row r="208" s="53" customFormat="1" ht="12.75"/>
    <row r="209" s="53" customFormat="1" ht="12.75"/>
    <row r="210" s="53" customFormat="1" ht="12.75"/>
    <row r="211" s="53" customFormat="1" ht="12.75"/>
    <row r="212" s="53" customFormat="1" ht="12.75"/>
    <row r="213" s="53" customFormat="1" ht="12.75"/>
    <row r="214" s="53" customFormat="1" ht="12.75"/>
    <row r="215" s="53" customFormat="1" ht="12.75"/>
    <row r="216" s="53" customFormat="1" ht="12.75"/>
    <row r="217" s="53" customFormat="1" ht="12.75"/>
  </sheetData>
  <sheetProtection algorithmName="SHA-512" hashValue="vJEOsGWmg9BeDJlZ/1LjC3ozjqbQLJbbP/93BmX4tT0LOHOi74+PAwFFI5rEdW7RMjoCQYoEuixJXxaVhiGx9Q==" saltValue="yFC7PR/Li5QMx2S96w/Iu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" defaultRowHeight="12.75"/>
  <cols>
    <col min="1" max="1" width="4" style="188" customWidth="1"/>
    <col min="2" max="2" width="100.714285714286" style="188" customWidth="1"/>
    <col min="3" max="42" width="9.14285714285714" style="187"/>
    <col min="43" max="16384" width="9.14285714285714" style="188"/>
  </cols>
  <sheetData>
    <row r="1" spans="1:2" ht="18">
      <c r="A1" s="278" t="s">
        <v>1967</v>
      </c>
      <c r="B1" s="279"/>
    </row>
    <row r="2" spans="1:2" ht="12.75">
      <c r="A2" s="232"/>
      <c r="B2" s="232"/>
    </row>
    <row r="3" spans="1:2" ht="30">
      <c r="A3" s="233" t="s">
        <v>1968</v>
      </c>
      <c r="B3" s="234" t="s">
        <v>1969</v>
      </c>
    </row>
    <row r="4" spans="1:2" ht="44.25">
      <c r="A4" s="233" t="s">
        <v>1970</v>
      </c>
      <c r="B4" s="235" t="s">
        <v>1991</v>
      </c>
    </row>
    <row r="5" spans="1:2" ht="29.25">
      <c r="A5" s="233" t="s">
        <v>1971</v>
      </c>
      <c r="B5" s="235" t="s">
        <v>1972</v>
      </c>
    </row>
    <row r="6" spans="1:2" ht="15">
      <c r="A6" s="233"/>
      <c r="B6" s="236" t="s">
        <v>1973</v>
      </c>
    </row>
    <row r="7" spans="1:2" ht="15">
      <c r="A7" s="233"/>
      <c r="B7" s="236" t="s">
        <v>1974</v>
      </c>
    </row>
    <row r="8" spans="1:2" s="187" customFormat="1" ht="86.25">
      <c r="A8" s="233"/>
      <c r="B8" s="235" t="s">
        <v>1975</v>
      </c>
    </row>
    <row r="9" spans="1:2" s="187" customFormat="1" ht="29.25">
      <c r="A9" s="233" t="s">
        <v>1976</v>
      </c>
      <c r="B9" s="235" t="s">
        <v>1990</v>
      </c>
    </row>
    <row r="10" spans="1:2" s="187" customFormat="1" ht="44.25" customHeight="1">
      <c r="A10" s="233" t="s">
        <v>1977</v>
      </c>
      <c r="B10" s="235" t="s">
        <v>1979</v>
      </c>
    </row>
    <row r="11" spans="1:2" s="187" customFormat="1" ht="15">
      <c r="A11" s="233" t="s">
        <v>1978</v>
      </c>
      <c r="B11" s="235" t="s">
        <v>1981</v>
      </c>
    </row>
    <row r="12" spans="1:2" s="187" customFormat="1" ht="15">
      <c r="A12" s="233"/>
      <c r="B12" s="237" t="s">
        <v>1982</v>
      </c>
    </row>
    <row r="13" spans="1:2" s="187" customFormat="1" ht="42.75">
      <c r="A13" s="233"/>
      <c r="B13" s="238" t="s">
        <v>1983</v>
      </c>
    </row>
    <row r="14" spans="1:2" s="187" customFormat="1" ht="14.25">
      <c r="A14" s="233" t="s">
        <v>1980</v>
      </c>
      <c r="B14" s="238" t="s">
        <v>1984</v>
      </c>
    </row>
    <row r="15" spans="1:2" s="187" customFormat="1" ht="14.25">
      <c r="A15" s="233"/>
      <c r="B15" s="238" t="s">
        <v>1985</v>
      </c>
    </row>
    <row r="16" spans="1:2" s="187" customFormat="1" ht="42.75">
      <c r="A16" s="233"/>
      <c r="B16" s="238" t="s">
        <v>1986</v>
      </c>
    </row>
    <row r="17" spans="1:2" s="187" customFormat="1" ht="12.75">
      <c r="A17" s="232"/>
      <c r="B17" s="232"/>
    </row>
    <row r="18" spans="1:2" s="187" customFormat="1" ht="15.75">
      <c r="A18" s="232"/>
      <c r="B18" s="239" t="s">
        <v>1987</v>
      </c>
    </row>
    <row r="19" spans="1:2" s="187" customFormat="1" ht="14.25">
      <c r="A19" s="232"/>
      <c r="B19" s="240" t="s">
        <v>1988</v>
      </c>
    </row>
    <row r="20" spans="1:2" s="187" customFormat="1" ht="14.25">
      <c r="A20" s="232"/>
      <c r="B20" s="240" t="s">
        <v>1989</v>
      </c>
    </row>
    <row r="21" s="187" customFormat="1" ht="12.75"/>
    <row r="22" s="187" customFormat="1" ht="12.75"/>
    <row r="23" s="187" customFormat="1" ht="12.75"/>
    <row r="24" s="187" customFormat="1" ht="12.75"/>
    <row r="25" s="187" customFormat="1" ht="12.75"/>
    <row r="26" s="187" customFormat="1" ht="12.75"/>
    <row r="27" s="187" customFormat="1" ht="12.75"/>
    <row r="28" s="187" customFormat="1" ht="12.75"/>
    <row r="29" s="187" customFormat="1" ht="12.75"/>
    <row r="30" s="187" customFormat="1" ht="12.75"/>
    <row r="31" s="187" customFormat="1" ht="12.75"/>
    <row r="32" s="187" customFormat="1" ht="12.75"/>
    <row r="33" s="187" customFormat="1" ht="12.75"/>
    <row r="34" s="187" customFormat="1" ht="12.75"/>
    <row r="35" s="187" customFormat="1" ht="12.75"/>
    <row r="36" s="187" customFormat="1" ht="12.75"/>
    <row r="37" s="187" customFormat="1" ht="12.75"/>
    <row r="38" s="187" customFormat="1" ht="12.75"/>
    <row r="39" s="187" customFormat="1" ht="12.75"/>
    <row r="40" s="187" customFormat="1" ht="12.75"/>
    <row r="41" s="187" customFormat="1" ht="12.75"/>
    <row r="42" s="187" customFormat="1" ht="12.75"/>
    <row r="43" s="187" customFormat="1" ht="12.75"/>
    <row r="44" s="187" customFormat="1" ht="12.75"/>
    <row r="45" s="187" customFormat="1" ht="12.75"/>
    <row r="46" s="187" customFormat="1" ht="12.75"/>
    <row r="47" s="187" customFormat="1" ht="12.75"/>
    <row r="48" s="187" customFormat="1" ht="12.75"/>
    <row r="49" s="187" customFormat="1" ht="12.75"/>
    <row r="50" s="187" customFormat="1" ht="12.75"/>
    <row r="51" s="187" customFormat="1" ht="12.75"/>
    <row r="52" s="187" customFormat="1" ht="12.75"/>
    <row r="53" s="187" customFormat="1" ht="12.75"/>
    <row r="54" s="187" customFormat="1" ht="12.75"/>
    <row r="55" s="187" customFormat="1" ht="12.75"/>
    <row r="56" s="187" customFormat="1" ht="12.75"/>
    <row r="57" s="187" customFormat="1" ht="12.75"/>
    <row r="58" s="187" customFormat="1" ht="12.75"/>
    <row r="59" s="187" customFormat="1" ht="12.75"/>
    <row r="60" s="187" customFormat="1" ht="12.75"/>
    <row r="61" s="187" customFormat="1" ht="12.75"/>
    <row r="62" s="187" customFormat="1" ht="12.75"/>
    <row r="63" s="187" customFormat="1" ht="12.75"/>
    <row r="64" s="187" customFormat="1" ht="12.75"/>
    <row r="65" s="187" customFormat="1" ht="12.75"/>
    <row r="66" s="187" customFormat="1" ht="12.75"/>
    <row r="67" s="187" customFormat="1" ht="12.75"/>
    <row r="68" s="187" customFormat="1" ht="12.75"/>
    <row r="69" s="187" customFormat="1" ht="12.75"/>
    <row r="70" s="187" customFormat="1" ht="12.75"/>
    <row r="71" s="187" customFormat="1" ht="12.75"/>
    <row r="72" s="187" customFormat="1" ht="12.75"/>
    <row r="73" s="187" customFormat="1" ht="12.75"/>
    <row r="74" s="187" customFormat="1" ht="12.75"/>
    <row r="75" s="187" customFormat="1" ht="12.75"/>
    <row r="76" s="187" customFormat="1" ht="12.75"/>
    <row r="77" s="187" customFormat="1" ht="12.75"/>
    <row r="78" s="187" customFormat="1" ht="12.75"/>
    <row r="79" s="187" customFormat="1" ht="12.75"/>
    <row r="80" s="187" customFormat="1" ht="12.75"/>
    <row r="81" s="187" customFormat="1" ht="12.75"/>
    <row r="82" s="187" customFormat="1" ht="12.75"/>
    <row r="83" s="187" customFormat="1" ht="12.75"/>
    <row r="84" s="187" customFormat="1" ht="12.75"/>
    <row r="85" s="187" customFormat="1" ht="12.75"/>
    <row r="86" s="187" customFormat="1" ht="12.75"/>
    <row r="87" s="187" customFormat="1" ht="12.75"/>
    <row r="88" s="187" customFormat="1" ht="12.75"/>
    <row r="89" s="187" customFormat="1" ht="12.75"/>
    <row r="90" s="187" customFormat="1" ht="12.75"/>
    <row r="91" s="187" customFormat="1" ht="12.75"/>
    <row r="92" s="187" customFormat="1" ht="12.75"/>
    <row r="93" s="187" customFormat="1" ht="12.75"/>
    <row r="94" s="187" customFormat="1" ht="12.75"/>
    <row r="95" s="187" customFormat="1" ht="12.75"/>
    <row r="96" s="187" customFormat="1" ht="12.75"/>
    <row r="97" s="187" customFormat="1" ht="12.75"/>
    <row r="98" s="187" customFormat="1" ht="12.75"/>
    <row r="99" s="187" customFormat="1" ht="12.75"/>
    <row r="100" s="187" customFormat="1" ht="12.75"/>
    <row r="101" s="187" customFormat="1" ht="12.75"/>
    <row r="102" s="187" customFormat="1" ht="12.75"/>
    <row r="103" s="187" customFormat="1" ht="12.75"/>
    <row r="104" s="187" customFormat="1" ht="12.75"/>
    <row r="105" s="187" customFormat="1" ht="12.75"/>
    <row r="106" s="187" customFormat="1" ht="12.75"/>
    <row r="107" s="187" customFormat="1" ht="12.75"/>
    <row r="108" s="187" customFormat="1" ht="12.75"/>
    <row r="109" s="187" customFormat="1" ht="12.75"/>
    <row r="110" s="187" customFormat="1" ht="12.75"/>
    <row r="111" s="187" customFormat="1" ht="12.75"/>
    <row r="112" s="187" customFormat="1" ht="12.75"/>
    <row r="113" s="187" customFormat="1" ht="12.75"/>
    <row r="114" s="187" customFormat="1" ht="12.75"/>
    <row r="115" s="187" customFormat="1" ht="12.75"/>
    <row r="116" s="187" customFormat="1" ht="12.75"/>
    <row r="117" s="187" customFormat="1" ht="12.75"/>
    <row r="118" s="187" customFormat="1" ht="12.75"/>
    <row r="119" s="187" customFormat="1" ht="12.75"/>
    <row r="120" s="187" customFormat="1" ht="12.75"/>
    <row r="121" s="187" customFormat="1" ht="12.75"/>
    <row r="122" s="187" customFormat="1" ht="12.75"/>
    <row r="123" s="187" customFormat="1" ht="12.75"/>
    <row r="124" s="187" customFormat="1" ht="12.75"/>
    <row r="125" s="187" customFormat="1" ht="12.75"/>
    <row r="126" s="187" customFormat="1" ht="12.75"/>
    <row r="127" s="187" customFormat="1" ht="12.75"/>
    <row r="128" s="187" customFormat="1" ht="12.75"/>
    <row r="129" s="187" customFormat="1" ht="12.75"/>
    <row r="130" s="187" customFormat="1" ht="12.75"/>
    <row r="131" s="187" customFormat="1" ht="12.75"/>
    <row r="132" s="187" customFormat="1" ht="12.75"/>
    <row r="133" s="187" customFormat="1" ht="12.75"/>
    <row r="134" s="187" customFormat="1" ht="12.75"/>
    <row r="135" s="187" customFormat="1" ht="12.75"/>
    <row r="136" s="187" customFormat="1" ht="12.75"/>
    <row r="137" s="187" customFormat="1" ht="12.75"/>
    <row r="138" s="187" customFormat="1" ht="12.75"/>
    <row r="139" s="187" customFormat="1" ht="12.75"/>
    <row r="140" s="187" customFormat="1" ht="12.75"/>
    <row r="141" s="187" customFormat="1" ht="12.75"/>
    <row r="142" s="187" customFormat="1" ht="12.75"/>
    <row r="143" s="187" customFormat="1" ht="12.75"/>
    <row r="144" s="187" customFormat="1" ht="12.75"/>
    <row r="145" s="187" customFormat="1" ht="12.75"/>
    <row r="146" s="187" customFormat="1" ht="12.75"/>
    <row r="147" s="187" customFormat="1" ht="12.75"/>
    <row r="148" s="187" customFormat="1" ht="12.75"/>
    <row r="149" s="187" customFormat="1" ht="12.75"/>
    <row r="150" s="187" customFormat="1" ht="12.75"/>
    <row r="151" s="187" customFormat="1" ht="12.75"/>
    <row r="152" s="187" customFormat="1" ht="12.75"/>
    <row r="153" s="187" customFormat="1" ht="12.75"/>
    <row r="154" s="187" customFormat="1" ht="12.75"/>
    <row r="155" s="187" customFormat="1" ht="12.75"/>
    <row r="156" s="187" customFormat="1" ht="12.75"/>
    <row r="157" s="187" customFormat="1" ht="12.75"/>
    <row r="158" s="187" customFormat="1" ht="12.75"/>
    <row r="159" s="187" customFormat="1" ht="12.75"/>
    <row r="160" s="187" customFormat="1" ht="12.75"/>
    <row r="161" s="187" customFormat="1" ht="12.75"/>
    <row r="162" s="187" customFormat="1" ht="12.75"/>
    <row r="163" s="187" customFormat="1" ht="12.75"/>
    <row r="164" s="187" customFormat="1" ht="12.75"/>
    <row r="165" s="187" customFormat="1" ht="12.75"/>
    <row r="166" s="187" customFormat="1" ht="12.75"/>
    <row r="167" s="187" customFormat="1" ht="12.75"/>
    <row r="168" s="187" customFormat="1" ht="12.75"/>
    <row r="169" s="187" customFormat="1" ht="12.75"/>
    <row r="170" s="187" customFormat="1" ht="12.75"/>
    <row r="171" s="187" customFormat="1" ht="12.75"/>
    <row r="172" s="187" customFormat="1" ht="12.75"/>
    <row r="173" s="187" customFormat="1" ht="12.75"/>
    <row r="174" s="187" customFormat="1" ht="12.75"/>
    <row r="175" s="187" customFormat="1" ht="12.75"/>
    <row r="176" s="187" customFormat="1" ht="12.75"/>
    <row r="177" s="187" customFormat="1" ht="12.75"/>
    <row r="178" s="187" customFormat="1" ht="12.75"/>
    <row r="179" s="187" customFormat="1" ht="12.75"/>
    <row r="180" s="187" customFormat="1" ht="12.75"/>
    <row r="181" s="187" customFormat="1" ht="12.75"/>
    <row r="182" s="187" customFormat="1" ht="12.75"/>
    <row r="183" s="187" customFormat="1" ht="12.75"/>
    <row r="184" s="187" customFormat="1" ht="12.75"/>
    <row r="185" s="187" customFormat="1" ht="12.75"/>
    <row r="186" s="187" customFormat="1" ht="12.75"/>
    <row r="187" s="187" customFormat="1" ht="12.75"/>
    <row r="188" s="187" customFormat="1" ht="12.75"/>
    <row r="189" s="187" customFormat="1" ht="12.75"/>
    <row r="190" s="187" customFormat="1" ht="12.75"/>
    <row r="191" s="187" customFormat="1" ht="12.75"/>
    <row r="192" s="187" customFormat="1" ht="12.75"/>
    <row r="193" s="187" customFormat="1" ht="12.75"/>
    <row r="194" s="187" customFormat="1" ht="12.75"/>
    <row r="195" s="187" customFormat="1" ht="12.75"/>
    <row r="196" s="187" customFormat="1" ht="12.75"/>
    <row r="197" s="187" customFormat="1" ht="12.75"/>
    <row r="198" s="187" customFormat="1" ht="12.75"/>
    <row r="199" s="187" customFormat="1" ht="12.75"/>
    <row r="200" s="187" customFormat="1" ht="12.75"/>
    <row r="201" s="187" customFormat="1" ht="12.75"/>
    <row r="202" s="187" customFormat="1" ht="12.75"/>
    <row r="203" s="187" customFormat="1" ht="12.75"/>
    <row r="204" s="187" customFormat="1" ht="12.75"/>
    <row r="205" s="187" customFormat="1" ht="12.75"/>
    <row r="206" s="187" customFormat="1" ht="12.75"/>
    <row r="207" s="187" customFormat="1" ht="12.75"/>
    <row r="208" s="187" customFormat="1" ht="12.75"/>
    <row r="209" s="187" customFormat="1" ht="12.75"/>
    <row r="210" s="187" customFormat="1" ht="12.75"/>
    <row r="211" s="187" customFormat="1" ht="12.75"/>
    <row r="212" s="187" customFormat="1" ht="12.75"/>
    <row r="213" s="187" customFormat="1" ht="12.75"/>
    <row r="214" s="187" customFormat="1" ht="12.75"/>
    <row r="215" s="187" customFormat="1" ht="12.75"/>
    <row r="216" s="187" customFormat="1" ht="12.75"/>
    <row r="217" s="187" customFormat="1" ht="12.75"/>
    <row r="218" s="187" customFormat="1" ht="12.75"/>
    <row r="219" s="187" customFormat="1" ht="12.75"/>
    <row r="220" s="187" customFormat="1" ht="12.75"/>
    <row r="221" s="187" customFormat="1" ht="12.75"/>
    <row r="222" s="187" customFormat="1" ht="12.75"/>
    <row r="223" s="187" customFormat="1" ht="12.75"/>
    <row r="224" s="187" customFormat="1" ht="12.75"/>
    <row r="225" s="187" customFormat="1" ht="12.75"/>
    <row r="226" s="187" customFormat="1" ht="12.75"/>
    <row r="227" s="187" customFormat="1" ht="12.75"/>
    <row r="228" s="187" customFormat="1" ht="12.75"/>
    <row r="229" s="187" customFormat="1" ht="12.75"/>
    <row r="230" s="187" customFormat="1" ht="12.75"/>
    <row r="231" s="187" customFormat="1" ht="12.75"/>
    <row r="232" s="187" customFormat="1" ht="12.75"/>
    <row r="233" s="187" customFormat="1" ht="12.75"/>
    <row r="234" s="187" customFormat="1" ht="12.75"/>
    <row r="235" s="187" customFormat="1" ht="12.75"/>
    <row r="236" s="187" customFormat="1" ht="12.75"/>
    <row r="237" s="187" customFormat="1" ht="12.75"/>
  </sheetData>
  <sheetProtection algorithmName="SHA-512" hashValue="VbdepD3GpPWU6N4eME5PAoJ3N80hGtdcZBiOeRItP/PAma8DYGExq3GmLRRxnLN9W0O3u9FSiXbCNaufji+Xiw==" saltValue="xqPPK273nEv+l2g5NFXbs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FFCC"/>
    <outlinePr summaryBelow="0" summaryRight="0"/>
    <pageSetUpPr fitToPage="1"/>
  </sheetPr>
  <dimension ref="A1:J49"/>
  <sheetViews>
    <sheetView showZeros="0" showOutlineSymbols="0" workbookViewId="0" topLeftCell="A18">
      <selection pane="topLeft" activeCell="G43" sqref="G43:J43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" style="2" customWidth="1"/>
    <col min="7" max="10" width="10.7142857142857" style="1" customWidth="1"/>
    <col min="11" max="16384" width="9.14285714285714" style="2"/>
  </cols>
  <sheetData>
    <row r="1" spans="1:10" ht="30" customHeight="1">
      <c r="A1" s="318" t="s">
        <v>8</v>
      </c>
      <c r="B1" s="294"/>
      <c r="C1" s="294"/>
      <c r="D1" s="294"/>
      <c r="E1" s="294"/>
      <c r="F1" s="294"/>
      <c r="G1" s="294"/>
      <c r="H1" s="294"/>
      <c r="I1" s="294"/>
      <c r="J1" s="294"/>
    </row>
    <row r="2" spans="1:10" ht="15" customHeight="1" thickBot="1">
      <c r="A2" s="307" t="s">
        <v>156</v>
      </c>
      <c r="B2" s="306"/>
      <c r="C2" s="306"/>
      <c r="D2" s="306"/>
      <c r="E2" s="306"/>
      <c r="F2" s="319"/>
      <c r="G2" s="319"/>
      <c r="H2" s="319"/>
      <c r="I2" s="319"/>
      <c r="J2" s="319"/>
    </row>
    <row r="3" spans="1:10" ht="18" customHeight="1" thickBot="1">
      <c r="A3" s="329">
        <f>+ZAKL_DATA!B13</f>
        <v>0</v>
      </c>
      <c r="B3" s="287"/>
      <c r="C3" s="287"/>
      <c r="D3" s="287"/>
      <c r="E3" s="288"/>
      <c r="F3" s="319"/>
      <c r="G3" s="319"/>
      <c r="H3" s="319"/>
      <c r="I3" s="319"/>
      <c r="J3" s="319"/>
    </row>
    <row r="4" spans="1:10" ht="15" customHeight="1" thickBot="1">
      <c r="A4" s="307" t="s">
        <v>157</v>
      </c>
      <c r="B4" s="306"/>
      <c r="C4" s="306"/>
      <c r="D4" s="306"/>
      <c r="E4" s="306"/>
      <c r="F4" s="319"/>
      <c r="G4" s="319"/>
      <c r="H4" s="319"/>
      <c r="I4" s="319"/>
      <c r="J4" s="319"/>
    </row>
    <row r="5" spans="1:10" ht="18" customHeight="1" thickBot="1">
      <c r="A5" s="329">
        <f>+ZAKL_DATA!B14</f>
        <v>0</v>
      </c>
      <c r="B5" s="287"/>
      <c r="C5" s="287"/>
      <c r="D5" s="287"/>
      <c r="E5" s="288"/>
      <c r="F5" s="320"/>
      <c r="G5" s="321" t="s">
        <v>100</v>
      </c>
      <c r="H5" s="322"/>
      <c r="I5" s="322"/>
      <c r="J5" s="323"/>
    </row>
    <row r="6" spans="1:10" ht="15" customHeight="1" thickBot="1">
      <c r="A6" s="289" t="s">
        <v>0</v>
      </c>
      <c r="B6" s="290"/>
      <c r="C6" s="290"/>
      <c r="D6" s="290"/>
      <c r="E6" s="290"/>
      <c r="F6" s="320"/>
      <c r="G6" s="324"/>
      <c r="H6" s="292"/>
      <c r="I6" s="292"/>
      <c r="J6" s="325"/>
    </row>
    <row r="7" spans="1:10" ht="18" customHeight="1" thickBot="1">
      <c r="A7" s="330" t="str">
        <f>+ZAKL_DATA!D2</f>
        <v>CZ</v>
      </c>
      <c r="B7" s="331"/>
      <c r="C7" s="331"/>
      <c r="D7" s="331"/>
      <c r="E7" s="332"/>
      <c r="F7" s="320"/>
      <c r="G7" s="324"/>
      <c r="H7" s="292"/>
      <c r="I7" s="292"/>
      <c r="J7" s="325"/>
    </row>
    <row r="8" spans="1:10" ht="15" customHeight="1" thickBot="1">
      <c r="A8" s="289" t="s">
        <v>111</v>
      </c>
      <c r="B8" s="290"/>
      <c r="C8" s="290"/>
      <c r="D8" s="290"/>
      <c r="E8" s="290"/>
      <c r="F8" s="320"/>
      <c r="G8" s="324"/>
      <c r="H8" s="292"/>
      <c r="I8" s="292"/>
      <c r="J8" s="325"/>
    </row>
    <row r="9" spans="1:10" ht="18" customHeight="1" thickBot="1">
      <c r="A9" s="333" t="str">
        <f>+MID(A7,3,20)</f>
        <v/>
      </c>
      <c r="B9" s="334"/>
      <c r="C9" s="334"/>
      <c r="D9" s="334"/>
      <c r="E9" s="335"/>
      <c r="F9" s="320"/>
      <c r="G9" s="324"/>
      <c r="H9" s="292"/>
      <c r="I9" s="292"/>
      <c r="J9" s="325"/>
    </row>
    <row r="10" spans="1:10" ht="12" customHeight="1">
      <c r="A10" s="338" t="s">
        <v>2016</v>
      </c>
      <c r="B10" s="339"/>
      <c r="C10" s="339"/>
      <c r="D10" s="339"/>
      <c r="E10" s="339"/>
      <c r="F10" s="320"/>
      <c r="G10" s="326"/>
      <c r="H10" s="327"/>
      <c r="I10" s="327"/>
      <c r="J10" s="328"/>
    </row>
    <row r="11" spans="1:10" ht="12" customHeight="1" thickBot="1">
      <c r="A11" s="241" t="s">
        <v>1</v>
      </c>
      <c r="B11" s="243"/>
      <c r="C11" s="243" t="s">
        <v>2023</v>
      </c>
      <c r="D11" s="243"/>
      <c r="E11" s="243" t="s">
        <v>2024</v>
      </c>
      <c r="F11" s="342"/>
      <c r="G11" s="266"/>
      <c r="H11" s="266"/>
      <c r="I11" s="266"/>
      <c r="J11" s="266"/>
    </row>
    <row r="12" spans="1:10" ht="18" customHeight="1" thickBot="1">
      <c r="A12" s="244" t="s">
        <v>2025</v>
      </c>
      <c r="B12" s="190"/>
      <c r="C12" s="244"/>
      <c r="D12" s="190"/>
      <c r="E12" s="244"/>
      <c r="F12" s="266"/>
      <c r="G12" s="266"/>
      <c r="H12" s="266"/>
      <c r="I12" s="266"/>
      <c r="J12" s="266"/>
    </row>
    <row r="13" spans="1:10" ht="18" customHeight="1" thickBot="1">
      <c r="A13" s="316"/>
      <c r="B13" s="292"/>
      <c r="C13" s="292"/>
      <c r="D13" s="292"/>
      <c r="E13" s="292"/>
      <c r="F13" s="292"/>
      <c r="G13" s="292"/>
      <c r="H13" s="292"/>
      <c r="I13" s="191" t="s">
        <v>9</v>
      </c>
      <c r="J13" s="3">
        <v>0</v>
      </c>
    </row>
    <row r="14" spans="1:10" ht="9.95" customHeight="1">
      <c r="A14" s="316"/>
      <c r="B14" s="292"/>
      <c r="C14" s="292"/>
      <c r="D14" s="292"/>
      <c r="E14" s="292"/>
      <c r="F14" s="292"/>
      <c r="G14" s="292"/>
      <c r="H14" s="292"/>
      <c r="I14" s="292"/>
      <c r="J14" s="292"/>
    </row>
    <row r="15" spans="1:10" ht="15" customHeight="1" thickBot="1">
      <c r="A15" s="316"/>
      <c r="B15" s="292"/>
      <c r="C15" s="292"/>
      <c r="D15" s="292"/>
      <c r="E15" s="292"/>
      <c r="F15" s="292"/>
      <c r="G15" s="292"/>
      <c r="H15" s="307" t="s">
        <v>33</v>
      </c>
      <c r="I15" s="306"/>
      <c r="J15" s="306"/>
    </row>
    <row r="16" spans="1:10" ht="18" customHeight="1" thickBot="1">
      <c r="A16" s="292"/>
      <c r="B16" s="292"/>
      <c r="C16" s="292"/>
      <c r="D16" s="292"/>
      <c r="E16" s="292"/>
      <c r="F16" s="292"/>
      <c r="G16" s="292"/>
      <c r="H16" s="177" t="s">
        <v>10</v>
      </c>
      <c r="I16" s="340"/>
      <c r="J16" s="341"/>
    </row>
    <row r="17" spans="1:10" ht="15" customHeight="1">
      <c r="A17" s="292"/>
      <c r="B17" s="292"/>
      <c r="C17" s="292"/>
      <c r="D17" s="292"/>
      <c r="E17" s="292"/>
      <c r="F17" s="292"/>
      <c r="G17" s="292"/>
      <c r="H17" s="309"/>
      <c r="I17" s="309"/>
      <c r="J17" s="309"/>
    </row>
    <row r="18" spans="1:10" ht="36.75" customHeight="1" thickBot="1">
      <c r="A18" s="336" t="s">
        <v>162</v>
      </c>
      <c r="B18" s="337"/>
      <c r="C18" s="337"/>
      <c r="D18" s="337"/>
      <c r="E18" s="337"/>
      <c r="F18" s="337"/>
      <c r="G18" s="337"/>
      <c r="H18" s="337"/>
      <c r="I18" s="337"/>
      <c r="J18" s="337"/>
    </row>
    <row r="19" spans="1:10" ht="21.75" customHeight="1" thickBot="1">
      <c r="A19" s="347" t="s">
        <v>32</v>
      </c>
      <c r="B19" s="348"/>
      <c r="C19" s="348"/>
      <c r="D19" s="348"/>
      <c r="E19" s="348"/>
      <c r="F19" s="348"/>
      <c r="G19" s="349"/>
      <c r="H19" s="56">
        <v>2021</v>
      </c>
      <c r="I19" s="350"/>
      <c r="J19" s="351"/>
    </row>
    <row r="20" spans="1:10" ht="17.1" customHeight="1">
      <c r="A20" s="352" t="s">
        <v>7</v>
      </c>
      <c r="B20" s="353"/>
      <c r="C20" s="353"/>
      <c r="D20" s="353"/>
      <c r="E20" s="353"/>
      <c r="F20" s="353"/>
      <c r="G20" s="353"/>
      <c r="H20" s="353"/>
      <c r="I20" s="353"/>
      <c r="J20" s="353"/>
    </row>
    <row r="21" spans="1:10" ht="15" customHeight="1">
      <c r="A21" s="310"/>
      <c r="B21" s="292"/>
      <c r="C21" s="292"/>
      <c r="D21" s="292"/>
      <c r="E21" s="292"/>
      <c r="F21" s="292"/>
      <c r="G21" s="292"/>
      <c r="H21" s="292"/>
      <c r="I21" s="292"/>
      <c r="J21" s="292"/>
    </row>
    <row r="22" spans="1:10" ht="17.1" customHeight="1">
      <c r="A22" s="354" t="s">
        <v>2</v>
      </c>
      <c r="B22" s="355"/>
      <c r="C22" s="355"/>
      <c r="D22" s="355"/>
      <c r="E22" s="355"/>
      <c r="F22" s="355"/>
      <c r="G22" s="355"/>
      <c r="H22" s="355"/>
      <c r="I22" s="355"/>
      <c r="J22" s="355"/>
    </row>
    <row r="23" spans="1:10" ht="17.1" customHeight="1">
      <c r="A23" s="356" t="s">
        <v>3</v>
      </c>
      <c r="B23" s="355"/>
      <c r="C23" s="355"/>
      <c r="D23" s="355"/>
      <c r="E23" s="355"/>
      <c r="F23" s="355"/>
      <c r="G23" s="355"/>
      <c r="H23" s="355"/>
      <c r="I23" s="355"/>
      <c r="J23" s="355"/>
    </row>
    <row r="24" spans="1:10" ht="17.1" customHeight="1" thickBot="1">
      <c r="A24" s="305" t="s">
        <v>4</v>
      </c>
      <c r="B24" s="306"/>
      <c r="C24" s="306"/>
      <c r="D24" s="306"/>
      <c r="E24" s="306"/>
      <c r="F24" s="306"/>
      <c r="G24" s="306"/>
      <c r="H24" s="306"/>
      <c r="I24" s="306"/>
      <c r="J24" s="306"/>
    </row>
    <row r="25" spans="1:10" ht="18" customHeight="1" thickBot="1">
      <c r="A25" s="344">
        <f>+ZAKL_DATA!B5</f>
        <v>0</v>
      </c>
      <c r="B25" s="345"/>
      <c r="C25" s="345"/>
      <c r="D25" s="345"/>
      <c r="E25" s="345"/>
      <c r="F25" s="345"/>
      <c r="G25" s="345"/>
      <c r="H25" s="345"/>
      <c r="I25" s="345"/>
      <c r="J25" s="346"/>
    </row>
    <row r="26" spans="1:10" ht="17.1" customHeight="1" thickBot="1">
      <c r="A26" s="343" t="s">
        <v>5</v>
      </c>
      <c r="B26" s="290"/>
      <c r="C26" s="290"/>
      <c r="D26" s="290"/>
      <c r="E26" s="290"/>
      <c r="F26" s="290"/>
      <c r="G26" s="290"/>
      <c r="H26" s="290"/>
      <c r="I26" s="290"/>
      <c r="J26" s="290"/>
    </row>
    <row r="27" spans="1:10" ht="18" customHeight="1" thickBot="1">
      <c r="A27" s="284">
        <f>+ZAKL_DATA!B6</f>
        <v>0</v>
      </c>
      <c r="B27" s="287"/>
      <c r="C27" s="287"/>
      <c r="D27" s="287"/>
      <c r="E27" s="287"/>
      <c r="F27" s="287"/>
      <c r="G27" s="287"/>
      <c r="H27" s="287"/>
      <c r="I27" s="287"/>
      <c r="J27" s="288"/>
    </row>
    <row r="28" spans="1:10" ht="17.1" customHeight="1" thickBot="1">
      <c r="A28" s="343" t="s">
        <v>2005</v>
      </c>
      <c r="B28" s="343"/>
      <c r="C28" s="343"/>
      <c r="D28" s="343"/>
      <c r="E28" s="343"/>
      <c r="F28" s="308"/>
      <c r="G28" s="343" t="s">
        <v>2006</v>
      </c>
      <c r="H28" s="290"/>
      <c r="I28" s="290"/>
      <c r="J28" s="290"/>
    </row>
    <row r="29" spans="1:10" ht="18" customHeight="1" thickBot="1">
      <c r="A29" s="284">
        <f>+ZAKL_DATA!B4</f>
        <v>0</v>
      </c>
      <c r="B29" s="285"/>
      <c r="C29" s="285"/>
      <c r="D29" s="285"/>
      <c r="E29" s="286"/>
      <c r="F29" s="292"/>
      <c r="G29" s="333">
        <f>+ZAKL_DATA!B7</f>
        <v>0</v>
      </c>
      <c r="H29" s="287"/>
      <c r="I29" s="287"/>
      <c r="J29" s="288"/>
    </row>
    <row r="30" spans="1:10" ht="17.1" customHeight="1" thickBot="1">
      <c r="A30" s="305" t="s">
        <v>39</v>
      </c>
      <c r="B30" s="306"/>
      <c r="C30" s="306"/>
      <c r="D30" s="306"/>
      <c r="E30" s="306"/>
      <c r="F30" s="306"/>
      <c r="G30" s="306"/>
      <c r="H30" s="306"/>
      <c r="I30" s="306"/>
      <c r="J30" s="306"/>
    </row>
    <row r="31" spans="1:10" ht="18" customHeight="1" thickBot="1">
      <c r="A31" s="344">
        <f>+ZAKL_DATA!D4</f>
        <v>0</v>
      </c>
      <c r="B31" s="345"/>
      <c r="C31" s="345"/>
      <c r="D31" s="345"/>
      <c r="E31" s="345"/>
      <c r="F31" s="345"/>
      <c r="G31" s="345"/>
      <c r="H31" s="345"/>
      <c r="I31" s="345"/>
      <c r="J31" s="346"/>
    </row>
    <row r="32" spans="1:10" ht="17.1" customHeight="1" thickBot="1">
      <c r="A32" s="343"/>
      <c r="B32" s="343"/>
      <c r="C32" s="343"/>
      <c r="D32" s="343"/>
      <c r="E32" s="343"/>
      <c r="F32" s="308"/>
      <c r="G32" s="304"/>
      <c r="H32" s="304"/>
      <c r="I32" s="304"/>
      <c r="J32" s="304"/>
    </row>
    <row r="33" spans="1:10" ht="18" customHeight="1" thickBot="1">
      <c r="A33" s="284">
        <f>+ZAKL_DATA!D7</f>
        <v>0</v>
      </c>
      <c r="B33" s="285"/>
      <c r="C33" s="285"/>
      <c r="D33" s="285"/>
      <c r="E33" s="286"/>
      <c r="F33" s="292"/>
      <c r="G33" s="292"/>
      <c r="H33" s="292"/>
      <c r="I33" s="292"/>
      <c r="J33" s="292"/>
    </row>
    <row r="34" spans="1:10" ht="17.1" customHeight="1">
      <c r="A34" s="317" t="s">
        <v>2007</v>
      </c>
      <c r="B34" s="317"/>
      <c r="C34" s="317"/>
      <c r="D34" s="317"/>
      <c r="E34" s="317"/>
      <c r="F34" s="292"/>
      <c r="G34" s="292"/>
      <c r="H34" s="292"/>
      <c r="I34" s="292"/>
      <c r="J34" s="292"/>
    </row>
    <row r="35" spans="1:10" ht="17.1" customHeight="1" thickBot="1">
      <c r="A35" s="305" t="s">
        <v>6</v>
      </c>
      <c r="B35" s="305"/>
      <c r="C35" s="305"/>
      <c r="D35" s="305"/>
      <c r="E35" s="305"/>
      <c r="F35" s="305"/>
      <c r="G35" s="305"/>
      <c r="H35" s="305"/>
      <c r="I35" s="316"/>
      <c r="J35" s="192" t="s">
        <v>11</v>
      </c>
    </row>
    <row r="36" spans="1:10" ht="18" customHeight="1" thickBot="1">
      <c r="A36" s="284">
        <f>+ZAKL_DATA!B18</f>
        <v>0</v>
      </c>
      <c r="B36" s="285"/>
      <c r="C36" s="285"/>
      <c r="D36" s="285"/>
      <c r="E36" s="285"/>
      <c r="F36" s="285"/>
      <c r="G36" s="285"/>
      <c r="H36" s="286"/>
      <c r="I36" s="316"/>
      <c r="J36" s="55">
        <f>+ZAKL_DATA!B19</f>
        <v>0</v>
      </c>
    </row>
    <row r="37" spans="1:10" ht="17.1" customHeight="1" thickBot="1">
      <c r="A37" s="289" t="s">
        <v>2009</v>
      </c>
      <c r="B37" s="311"/>
      <c r="C37" s="311"/>
      <c r="D37" s="311"/>
      <c r="E37" s="311"/>
      <c r="F37" s="311"/>
      <c r="G37" s="311"/>
      <c r="H37" s="309"/>
      <c r="I37" s="314" t="s">
        <v>2010</v>
      </c>
      <c r="J37" s="315"/>
    </row>
    <row r="38" spans="1:10" ht="18" customHeight="1" thickBot="1">
      <c r="A38" s="284" t="str">
        <f>+CONCATENATE(ZAKL_DATA!B16)</f>
        <v/>
      </c>
      <c r="B38" s="311"/>
      <c r="C38" s="311"/>
      <c r="D38" s="311"/>
      <c r="E38" s="311"/>
      <c r="F38" s="311"/>
      <c r="G38" s="312"/>
      <c r="H38" s="310"/>
      <c r="I38" s="313" t="str">
        <f>+CONCATENATE(ZAKL_DATA!B17)</f>
        <v/>
      </c>
      <c r="J38" s="312"/>
    </row>
    <row r="39" spans="1:10" ht="17.1" customHeight="1" thickBot="1">
      <c r="A39" s="289" t="s">
        <v>2008</v>
      </c>
      <c r="B39" s="290"/>
      <c r="C39" s="290"/>
      <c r="D39" s="290"/>
      <c r="E39" s="290"/>
      <c r="F39" s="309"/>
      <c r="G39" s="301"/>
      <c r="H39" s="302"/>
      <c r="I39" s="302"/>
      <c r="J39" s="302"/>
    </row>
    <row r="40" spans="1:10" ht="18" customHeight="1" thickBot="1">
      <c r="A40" s="284">
        <f>+ZAKL_DATA!B20</f>
        <v>0</v>
      </c>
      <c r="B40" s="285"/>
      <c r="C40" s="285"/>
      <c r="D40" s="285"/>
      <c r="E40" s="286"/>
      <c r="F40" s="292"/>
      <c r="G40" s="302"/>
      <c r="H40" s="302"/>
      <c r="I40" s="302"/>
      <c r="J40" s="302"/>
    </row>
    <row r="41" spans="1:10" ht="18" customHeight="1">
      <c r="A41" s="303" t="s">
        <v>2011</v>
      </c>
      <c r="B41" s="304"/>
      <c r="C41" s="304"/>
      <c r="D41" s="304"/>
      <c r="E41" s="304"/>
      <c r="F41" s="292"/>
      <c r="G41" s="266"/>
      <c r="H41" s="266"/>
      <c r="I41" s="266"/>
      <c r="J41" s="266"/>
    </row>
    <row r="42" spans="1:10" ht="17.1" customHeight="1" thickBot="1">
      <c r="A42" s="307" t="s">
        <v>2012</v>
      </c>
      <c r="B42" s="306"/>
      <c r="C42" s="306"/>
      <c r="D42" s="306"/>
      <c r="E42" s="306"/>
      <c r="F42" s="292"/>
      <c r="G42" s="307" t="s">
        <v>2013</v>
      </c>
      <c r="H42" s="306"/>
      <c r="I42" s="306"/>
      <c r="J42" s="306"/>
    </row>
    <row r="43" spans="1:10" ht="18" customHeight="1" thickBot="1">
      <c r="A43" s="296">
        <f>+ZAKL_DATA!B25</f>
        <v>0</v>
      </c>
      <c r="B43" s="297"/>
      <c r="C43" s="297"/>
      <c r="D43" s="297"/>
      <c r="E43" s="298"/>
      <c r="F43" s="292"/>
      <c r="G43" s="296">
        <f>+ZAKL_DATA!B27</f>
        <v>0</v>
      </c>
      <c r="H43" s="299"/>
      <c r="I43" s="299"/>
      <c r="J43" s="300"/>
    </row>
    <row r="44" spans="1:10" ht="17.1" customHeight="1" thickBot="1">
      <c r="A44" s="289" t="s">
        <v>2014</v>
      </c>
      <c r="B44" s="290"/>
      <c r="C44" s="290"/>
      <c r="D44" s="290"/>
      <c r="E44" s="290"/>
      <c r="F44" s="292"/>
      <c r="G44" s="295"/>
      <c r="H44" s="295"/>
      <c r="I44" s="295"/>
      <c r="J44" s="295"/>
    </row>
    <row r="45" spans="1:10" ht="18" customHeight="1" thickBot="1">
      <c r="A45" s="284" t="str">
        <f>+CONCATENATE(ZAKL_DATA!B28)</f>
        <v/>
      </c>
      <c r="B45" s="285"/>
      <c r="C45" s="285"/>
      <c r="D45" s="285"/>
      <c r="E45" s="286"/>
      <c r="F45" s="292"/>
      <c r="G45" s="284"/>
      <c r="H45" s="287"/>
      <c r="I45" s="287"/>
      <c r="J45" s="288"/>
    </row>
    <row r="46" spans="1:10" ht="12.75">
      <c r="A46" s="293" t="s">
        <v>40</v>
      </c>
      <c r="B46" s="294"/>
      <c r="C46" s="294"/>
      <c r="D46" s="294"/>
      <c r="E46" s="294"/>
      <c r="F46" s="294"/>
      <c r="G46" s="294"/>
      <c r="H46" s="294"/>
      <c r="I46" s="294"/>
      <c r="J46" s="294"/>
    </row>
    <row r="47" spans="1:10" ht="12.75">
      <c r="A47" s="291"/>
      <c r="B47" s="292"/>
      <c r="C47" s="292"/>
      <c r="D47" s="292"/>
      <c r="E47" s="292"/>
      <c r="F47" s="280" t="s">
        <v>2019</v>
      </c>
      <c r="G47" s="281"/>
      <c r="H47" s="281"/>
      <c r="I47" s="281"/>
      <c r="J47" s="281"/>
    </row>
    <row r="48" spans="1:10" ht="12.95" customHeight="1">
      <c r="A48" s="291" t="s">
        <v>2017</v>
      </c>
      <c r="B48" s="292"/>
      <c r="C48" s="292"/>
      <c r="D48" s="292"/>
      <c r="E48" s="292"/>
      <c r="F48" s="280" t="s">
        <v>2018</v>
      </c>
      <c r="G48" s="281"/>
      <c r="H48" s="281"/>
      <c r="I48" s="281"/>
      <c r="J48" s="281"/>
    </row>
    <row r="49" spans="1:10" ht="12.75">
      <c r="A49" s="282">
        <v>1</v>
      </c>
      <c r="B49" s="283"/>
      <c r="C49" s="283"/>
      <c r="D49" s="283"/>
      <c r="E49" s="283"/>
      <c r="F49" s="283"/>
      <c r="G49" s="283"/>
      <c r="H49" s="283"/>
      <c r="I49" s="283"/>
      <c r="J49" s="283"/>
    </row>
  </sheetData>
  <sheetProtection algorithmName="SHA-512" hashValue="0OUPeTRAPi0UrwzWZpNoiYOHi31hmqSTk+S8btouWZjEindJWFSisRBKRMTLSaL0H27Bt57fQw7ZCsIp5nc4Zw==" saltValue="NVHsVCR1c60Zbni+6msNJg==" spinCount="100000" sheet="1" objects="1" scenarios="1"/>
  <mergeCells count="71">
    <mergeCell ref="A23:J23"/>
    <mergeCell ref="A27:J27"/>
    <mergeCell ref="A24:J24"/>
    <mergeCell ref="A26:J26"/>
    <mergeCell ref="A25:J25"/>
    <mergeCell ref="A19:G19"/>
    <mergeCell ref="I19:J19"/>
    <mergeCell ref="A20:J20"/>
    <mergeCell ref="A21:J21"/>
    <mergeCell ref="A22:J22"/>
    <mergeCell ref="A32:E32"/>
    <mergeCell ref="A31:J31"/>
    <mergeCell ref="A28:E28"/>
    <mergeCell ref="G28:J28"/>
    <mergeCell ref="F28:F29"/>
    <mergeCell ref="A29:E29"/>
    <mergeCell ref="G29:J29"/>
    <mergeCell ref="A18:J18"/>
    <mergeCell ref="A10:E10"/>
    <mergeCell ref="A13:H13"/>
    <mergeCell ref="A14:J14"/>
    <mergeCell ref="H15:J15"/>
    <mergeCell ref="H17:J17"/>
    <mergeCell ref="A15:G17"/>
    <mergeCell ref="I16:J16"/>
    <mergeCell ref="F11:J12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36:H36"/>
    <mergeCell ref="A30:J30"/>
    <mergeCell ref="A42:E42"/>
    <mergeCell ref="G42:J42"/>
    <mergeCell ref="F32:J33"/>
    <mergeCell ref="A40:E40"/>
    <mergeCell ref="F39:F45"/>
    <mergeCell ref="H37:H38"/>
    <mergeCell ref="A38:G38"/>
    <mergeCell ref="I38:J38"/>
    <mergeCell ref="A37:G37"/>
    <mergeCell ref="I37:J37"/>
    <mergeCell ref="I35:I36"/>
    <mergeCell ref="A34:J34"/>
    <mergeCell ref="A35:H35"/>
    <mergeCell ref="A33:E33"/>
    <mergeCell ref="F47:J47"/>
    <mergeCell ref="A49:J49"/>
    <mergeCell ref="A45:E45"/>
    <mergeCell ref="G45:J45"/>
    <mergeCell ref="A39:E39"/>
    <mergeCell ref="F48:J48"/>
    <mergeCell ref="A48:E48"/>
    <mergeCell ref="A46:J46"/>
    <mergeCell ref="A44:E44"/>
    <mergeCell ref="G44:J44"/>
    <mergeCell ref="A43:E43"/>
    <mergeCell ref="G43:J43"/>
    <mergeCell ref="G39:J41"/>
    <mergeCell ref="A41:E41"/>
    <mergeCell ref="A47:E47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CC"/>
    <outlinePr summaryBelow="0" summaryRight="0"/>
    <pageSetUpPr fitToPage="1"/>
  </sheetPr>
  <dimension ref="A1:DQ41"/>
  <sheetViews>
    <sheetView showZeros="0" showOutlineSymbols="0" workbookViewId="0" topLeftCell="A1">
      <selection pane="topLeft" activeCell="H5" sqref="H5:I5"/>
    </sheetView>
  </sheetViews>
  <sheetFormatPr defaultColWidth="9.14428571428571" defaultRowHeight="12.75"/>
  <cols>
    <col min="1" max="1" width="2.85714285714286" style="6" customWidth="1"/>
    <col min="2" max="2" width="2" style="6" customWidth="1"/>
    <col min="3" max="4" width="5.71428571428571" style="6" customWidth="1"/>
    <col min="5" max="5" width="10.7142857142857" style="6" customWidth="1"/>
    <col min="6" max="6" width="4.71428571428571" style="6" customWidth="1"/>
    <col min="7" max="7" width="6.71428571428571" style="6" customWidth="1"/>
    <col min="8" max="8" width="4.71428571428571" style="4" customWidth="1"/>
    <col min="9" max="9" width="5.71428571428571" style="4" customWidth="1"/>
    <col min="10" max="10" width="10.7142857142857" style="4" customWidth="1"/>
    <col min="11" max="11" width="10.7142857142857" style="6" customWidth="1"/>
    <col min="12" max="16" width="4.71428571428571" style="6" customWidth="1"/>
    <col min="17" max="18" width="5.71428571428571" style="6" customWidth="1"/>
    <col min="19" max="19" width="4.71428571428571" style="6" customWidth="1"/>
    <col min="20" max="20" width="6.85714285714286" style="6" customWidth="1"/>
    <col min="21" max="23" width="10.7142857142857" style="6" customWidth="1"/>
    <col min="24" max="24" width="3.42857142857143" style="6" customWidth="1"/>
    <col min="25" max="25" width="57.4285714285714" style="4" customWidth="1"/>
    <col min="26" max="27" width="10.1428571428571" style="4" hidden="1" customWidth="1"/>
    <col min="28" max="29" width="9.14285714285714" style="4" hidden="1" customWidth="1"/>
    <col min="30" max="30" width="10.7142857142857" style="4" hidden="1" customWidth="1"/>
    <col min="31" max="31" width="12.1428571428571" style="4" hidden="1" customWidth="1"/>
    <col min="32" max="32" width="13" style="4" hidden="1" customWidth="1"/>
    <col min="33" max="116" width="9.14285714285714" style="4" hidden="1" customWidth="1"/>
    <col min="117" max="117" width="12.4285714285714" style="4" hidden="1" customWidth="1"/>
    <col min="118" max="118" width="11.1428571428571" style="4" hidden="1" customWidth="1"/>
    <col min="119" max="119" width="9.14285714285714" style="4" hidden="1" customWidth="1"/>
    <col min="120" max="120" width="11.4285714285714" style="4" hidden="1" customWidth="1"/>
    <col min="121" max="121" width="25.7142857142857" style="4" hidden="1" customWidth="1"/>
    <col min="122" max="122" width="11.8571428571429" style="4" customWidth="1"/>
    <col min="123" max="16384" width="9.14285714285714" style="4"/>
  </cols>
  <sheetData>
    <row r="1" spans="1:24" s="5" customFormat="1" ht="15.95" customHeight="1">
      <c r="A1" s="461" t="s">
        <v>12</v>
      </c>
      <c r="B1" s="462"/>
      <c r="C1" s="462"/>
      <c r="D1" s="463"/>
      <c r="E1" s="474" t="s">
        <v>45</v>
      </c>
      <c r="F1" s="477" t="s">
        <v>44</v>
      </c>
      <c r="G1" s="498" t="s">
        <v>16</v>
      </c>
      <c r="H1" s="414"/>
      <c r="I1" s="499"/>
      <c r="J1" s="471" t="s">
        <v>34</v>
      </c>
      <c r="K1" s="474" t="s">
        <v>35</v>
      </c>
      <c r="L1" s="484" t="s">
        <v>159</v>
      </c>
      <c r="M1" s="485"/>
      <c r="N1" s="485"/>
      <c r="O1" s="485"/>
      <c r="P1" s="485"/>
      <c r="Q1" s="492" t="s">
        <v>112</v>
      </c>
      <c r="R1" s="493"/>
      <c r="S1" s="474" t="s">
        <v>46</v>
      </c>
      <c r="T1" s="474"/>
      <c r="U1" s="474" t="s">
        <v>37</v>
      </c>
      <c r="V1" s="474" t="s">
        <v>36</v>
      </c>
      <c r="W1" s="474" t="s">
        <v>38</v>
      </c>
      <c r="X1" s="503" t="s">
        <v>91</v>
      </c>
    </row>
    <row r="2" spans="1:24" s="5" customFormat="1" ht="15.95" customHeight="1">
      <c r="A2" s="469" t="s">
        <v>90</v>
      </c>
      <c r="B2" s="465"/>
      <c r="C2" s="464" t="s">
        <v>42</v>
      </c>
      <c r="D2" s="465"/>
      <c r="E2" s="475"/>
      <c r="F2" s="478"/>
      <c r="G2" s="194"/>
      <c r="H2" s="480" t="s">
        <v>2145</v>
      </c>
      <c r="I2" s="481"/>
      <c r="J2" s="472"/>
      <c r="K2" s="475"/>
      <c r="L2" s="472"/>
      <c r="M2" s="439"/>
      <c r="N2" s="439"/>
      <c r="O2" s="439"/>
      <c r="P2" s="472"/>
      <c r="Q2" s="494"/>
      <c r="R2" s="495"/>
      <c r="S2" s="475"/>
      <c r="T2" s="475"/>
      <c r="U2" s="475"/>
      <c r="V2" s="475"/>
      <c r="W2" s="475"/>
      <c r="X2" s="504"/>
    </row>
    <row r="3" spans="1:24" s="5" customFormat="1" ht="15.95" customHeight="1">
      <c r="A3" s="402"/>
      <c r="B3" s="401"/>
      <c r="C3" s="466"/>
      <c r="D3" s="401"/>
      <c r="E3" s="475"/>
      <c r="F3" s="478"/>
      <c r="G3" s="195" t="s">
        <v>2022</v>
      </c>
      <c r="H3" s="196"/>
      <c r="I3" s="197" t="s">
        <v>20</v>
      </c>
      <c r="J3" s="472"/>
      <c r="K3" s="475"/>
      <c r="L3" s="472"/>
      <c r="M3" s="439"/>
      <c r="N3" s="439"/>
      <c r="O3" s="439"/>
      <c r="P3" s="472"/>
      <c r="Q3" s="494"/>
      <c r="R3" s="495"/>
      <c r="S3" s="475"/>
      <c r="T3" s="475"/>
      <c r="U3" s="475"/>
      <c r="V3" s="475"/>
      <c r="W3" s="475"/>
      <c r="X3" s="504"/>
    </row>
    <row r="4" spans="1:121" s="5" customFormat="1" ht="15.95" customHeight="1">
      <c r="A4" s="402"/>
      <c r="B4" s="401"/>
      <c r="C4" s="466"/>
      <c r="D4" s="401"/>
      <c r="E4" s="475"/>
      <c r="F4" s="478"/>
      <c r="G4" s="195" t="s">
        <v>17</v>
      </c>
      <c r="H4" s="488" t="s">
        <v>2146</v>
      </c>
      <c r="I4" s="489"/>
      <c r="J4" s="472"/>
      <c r="K4" s="475"/>
      <c r="L4" s="472"/>
      <c r="M4" s="439"/>
      <c r="N4" s="439"/>
      <c r="O4" s="439"/>
      <c r="P4" s="472"/>
      <c r="Q4" s="494"/>
      <c r="R4" s="495"/>
      <c r="S4" s="475"/>
      <c r="T4" s="475"/>
      <c r="U4" s="475"/>
      <c r="V4" s="475"/>
      <c r="W4" s="475"/>
      <c r="X4" s="504"/>
      <c r="Y4" s="86"/>
      <c r="Z4" s="86"/>
      <c r="AA4" s="86"/>
      <c r="AB4" s="86" t="s">
        <v>116</v>
      </c>
      <c r="AC4" s="86" t="s">
        <v>117</v>
      </c>
      <c r="AD4" s="86" t="s">
        <v>118</v>
      </c>
      <c r="AE4" s="73" t="s">
        <v>119</v>
      </c>
      <c r="AF4" s="74" t="s">
        <v>120</v>
      </c>
      <c r="AG4" s="73"/>
      <c r="AH4" s="73"/>
      <c r="AI4" s="73"/>
      <c r="AK4" s="74" t="s">
        <v>152</v>
      </c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4" t="s">
        <v>121</v>
      </c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4" t="s">
        <v>122</v>
      </c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4" t="s">
        <v>123</v>
      </c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4" t="s">
        <v>124</v>
      </c>
      <c r="CH4" s="73"/>
      <c r="CI4" s="73"/>
      <c r="CJ4" s="73"/>
      <c r="CK4" s="74" t="s">
        <v>125</v>
      </c>
      <c r="CL4" s="73"/>
      <c r="CM4" s="73"/>
      <c r="CN4" s="73"/>
      <c r="CO4" s="74" t="s">
        <v>126</v>
      </c>
      <c r="CP4" s="73"/>
      <c r="CQ4" s="73"/>
      <c r="CR4" s="73"/>
      <c r="CS4" s="74" t="s">
        <v>127</v>
      </c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4" t="s">
        <v>128</v>
      </c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5" t="s">
        <v>117</v>
      </c>
    </row>
    <row r="5" spans="1:121" s="5" customFormat="1" ht="15.95" customHeight="1">
      <c r="A5" s="402"/>
      <c r="B5" s="401"/>
      <c r="C5" s="467"/>
      <c r="D5" s="468"/>
      <c r="E5" s="476"/>
      <c r="F5" s="479"/>
      <c r="G5" s="198"/>
      <c r="H5" s="486" t="s">
        <v>31</v>
      </c>
      <c r="I5" s="487"/>
      <c r="J5" s="473"/>
      <c r="K5" s="476"/>
      <c r="L5" s="199" t="s">
        <v>22</v>
      </c>
      <c r="M5" s="199" t="s">
        <v>23</v>
      </c>
      <c r="N5" s="199" t="s">
        <v>24</v>
      </c>
      <c r="O5" s="199" t="s">
        <v>26</v>
      </c>
      <c r="P5" s="199" t="s">
        <v>27</v>
      </c>
      <c r="Q5" s="496"/>
      <c r="R5" s="497"/>
      <c r="S5" s="476"/>
      <c r="T5" s="476"/>
      <c r="U5" s="476"/>
      <c r="V5" s="476"/>
      <c r="W5" s="476"/>
      <c r="X5" s="505"/>
      <c r="Y5" s="87"/>
      <c r="Z5" s="87"/>
      <c r="AA5" s="87"/>
      <c r="AB5" s="87"/>
      <c r="AC5" s="86" t="s">
        <v>129</v>
      </c>
      <c r="AD5" s="86" t="s">
        <v>130</v>
      </c>
      <c r="AE5" s="76" t="s">
        <v>129</v>
      </c>
      <c r="AF5" s="76" t="s">
        <v>131</v>
      </c>
      <c r="AG5" s="76" t="s">
        <v>132</v>
      </c>
      <c r="AH5" s="76" t="s">
        <v>133</v>
      </c>
      <c r="AI5" s="76" t="s">
        <v>134</v>
      </c>
      <c r="AJ5" s="76" t="s">
        <v>135</v>
      </c>
      <c r="AK5" s="73" t="s">
        <v>136</v>
      </c>
      <c r="AL5" s="73" t="s">
        <v>137</v>
      </c>
      <c r="AM5" s="73" t="s">
        <v>138</v>
      </c>
      <c r="AN5" s="73" t="s">
        <v>139</v>
      </c>
      <c r="AO5" s="73" t="s">
        <v>140</v>
      </c>
      <c r="AP5" s="73" t="s">
        <v>141</v>
      </c>
      <c r="AQ5" s="73" t="s">
        <v>142</v>
      </c>
      <c r="AR5" s="73" t="s">
        <v>143</v>
      </c>
      <c r="AS5" s="73" t="s">
        <v>144</v>
      </c>
      <c r="AT5" s="73" t="s">
        <v>145</v>
      </c>
      <c r="AU5" s="73" t="s">
        <v>146</v>
      </c>
      <c r="AV5" s="73" t="s">
        <v>147</v>
      </c>
      <c r="AW5" s="73" t="s">
        <v>136</v>
      </c>
      <c r="AX5" s="73" t="s">
        <v>137</v>
      </c>
      <c r="AY5" s="73" t="s">
        <v>138</v>
      </c>
      <c r="AZ5" s="73" t="s">
        <v>139</v>
      </c>
      <c r="BA5" s="73" t="s">
        <v>140</v>
      </c>
      <c r="BB5" s="73" t="s">
        <v>141</v>
      </c>
      <c r="BC5" s="73" t="s">
        <v>142</v>
      </c>
      <c r="BD5" s="73" t="s">
        <v>143</v>
      </c>
      <c r="BE5" s="73" t="s">
        <v>144</v>
      </c>
      <c r="BF5" s="73" t="s">
        <v>145</v>
      </c>
      <c r="BG5" s="73" t="s">
        <v>146</v>
      </c>
      <c r="BH5" s="73" t="s">
        <v>147</v>
      </c>
      <c r="BI5" s="73" t="s">
        <v>136</v>
      </c>
      <c r="BJ5" s="73" t="s">
        <v>137</v>
      </c>
      <c r="BK5" s="73" t="s">
        <v>138</v>
      </c>
      <c r="BL5" s="73" t="s">
        <v>139</v>
      </c>
      <c r="BM5" s="73" t="s">
        <v>140</v>
      </c>
      <c r="BN5" s="73" t="s">
        <v>141</v>
      </c>
      <c r="BO5" s="73" t="s">
        <v>142</v>
      </c>
      <c r="BP5" s="73" t="s">
        <v>143</v>
      </c>
      <c r="BQ5" s="73" t="s">
        <v>144</v>
      </c>
      <c r="BR5" s="73" t="s">
        <v>145</v>
      </c>
      <c r="BS5" s="73" t="s">
        <v>146</v>
      </c>
      <c r="BT5" s="73" t="s">
        <v>147</v>
      </c>
      <c r="BU5" s="73" t="s">
        <v>136</v>
      </c>
      <c r="BV5" s="73" t="s">
        <v>137</v>
      </c>
      <c r="BW5" s="73" t="s">
        <v>138</v>
      </c>
      <c r="BX5" s="73" t="s">
        <v>139</v>
      </c>
      <c r="BY5" s="73" t="s">
        <v>140</v>
      </c>
      <c r="BZ5" s="73" t="s">
        <v>141</v>
      </c>
      <c r="CA5" s="73" t="s">
        <v>142</v>
      </c>
      <c r="CB5" s="73" t="s">
        <v>143</v>
      </c>
      <c r="CC5" s="73" t="s">
        <v>144</v>
      </c>
      <c r="CD5" s="73" t="s">
        <v>145</v>
      </c>
      <c r="CE5" s="73" t="s">
        <v>146</v>
      </c>
      <c r="CF5" s="73" t="s">
        <v>147</v>
      </c>
      <c r="CG5" s="76" t="s">
        <v>131</v>
      </c>
      <c r="CH5" s="76" t="s">
        <v>132</v>
      </c>
      <c r="CI5" s="76" t="s">
        <v>133</v>
      </c>
      <c r="CJ5" s="76" t="s">
        <v>134</v>
      </c>
      <c r="CK5" s="76" t="s">
        <v>131</v>
      </c>
      <c r="CL5" s="76" t="s">
        <v>132</v>
      </c>
      <c r="CM5" s="76" t="s">
        <v>133</v>
      </c>
      <c r="CN5" s="76" t="s">
        <v>134</v>
      </c>
      <c r="CO5" s="76" t="s">
        <v>131</v>
      </c>
      <c r="CP5" s="76" t="s">
        <v>132</v>
      </c>
      <c r="CQ5" s="76" t="s">
        <v>133</v>
      </c>
      <c r="CR5" s="76" t="s">
        <v>134</v>
      </c>
      <c r="CS5" s="73" t="s">
        <v>136</v>
      </c>
      <c r="CT5" s="73" t="s">
        <v>137</v>
      </c>
      <c r="CU5" s="73" t="s">
        <v>138</v>
      </c>
      <c r="CV5" s="73" t="s">
        <v>139</v>
      </c>
      <c r="CW5" s="73" t="s">
        <v>140</v>
      </c>
      <c r="CX5" s="73" t="s">
        <v>141</v>
      </c>
      <c r="CY5" s="73" t="s">
        <v>142</v>
      </c>
      <c r="CZ5" s="73" t="s">
        <v>143</v>
      </c>
      <c r="DA5" s="73" t="s">
        <v>144</v>
      </c>
      <c r="DB5" s="73" t="s">
        <v>145</v>
      </c>
      <c r="DC5" s="73" t="s">
        <v>146</v>
      </c>
      <c r="DD5" s="73" t="s">
        <v>147</v>
      </c>
      <c r="DE5" s="73" t="s">
        <v>136</v>
      </c>
      <c r="DF5" s="73" t="s">
        <v>137</v>
      </c>
      <c r="DG5" s="73" t="s">
        <v>138</v>
      </c>
      <c r="DH5" s="73" t="s">
        <v>139</v>
      </c>
      <c r="DI5" s="73" t="s">
        <v>140</v>
      </c>
      <c r="DJ5" s="73" t="s">
        <v>141</v>
      </c>
      <c r="DK5" s="73" t="s">
        <v>142</v>
      </c>
      <c r="DL5" s="73" t="s">
        <v>143</v>
      </c>
      <c r="DM5" s="73" t="s">
        <v>144</v>
      </c>
      <c r="DN5" s="73" t="s">
        <v>145</v>
      </c>
      <c r="DO5" s="73" t="s">
        <v>146</v>
      </c>
      <c r="DP5" s="73" t="s">
        <v>147</v>
      </c>
      <c r="DQ5" s="75" t="s">
        <v>148</v>
      </c>
    </row>
    <row r="6" spans="1:121" ht="15" customHeight="1">
      <c r="A6" s="470"/>
      <c r="B6" s="468"/>
      <c r="C6" s="482">
        <v>15</v>
      </c>
      <c r="D6" s="483"/>
      <c r="E6" s="200">
        <v>16</v>
      </c>
      <c r="F6" s="201">
        <v>17</v>
      </c>
      <c r="G6" s="201">
        <v>18</v>
      </c>
      <c r="H6" s="202">
        <v>19</v>
      </c>
      <c r="I6" s="203">
        <v>20</v>
      </c>
      <c r="J6" s="202">
        <v>21</v>
      </c>
      <c r="K6" s="202">
        <v>22</v>
      </c>
      <c r="L6" s="490">
        <v>23</v>
      </c>
      <c r="M6" s="491"/>
      <c r="N6" s="491"/>
      <c r="O6" s="491"/>
      <c r="P6" s="491"/>
      <c r="Q6" s="508">
        <v>24</v>
      </c>
      <c r="R6" s="509"/>
      <c r="S6" s="201">
        <v>25</v>
      </c>
      <c r="T6" s="201">
        <v>26</v>
      </c>
      <c r="U6" s="201">
        <v>27</v>
      </c>
      <c r="V6" s="201">
        <v>28</v>
      </c>
      <c r="W6" s="201">
        <v>29</v>
      </c>
      <c r="X6" s="204">
        <v>30</v>
      </c>
      <c r="Y6" s="88"/>
      <c r="Z6" s="88"/>
      <c r="AA6" s="88"/>
      <c r="AB6" s="88"/>
      <c r="AC6" s="88" t="s">
        <v>149</v>
      </c>
      <c r="AD6" s="88" t="s">
        <v>150</v>
      </c>
      <c r="AE6" s="77" t="s">
        <v>149</v>
      </c>
      <c r="AF6" s="76"/>
      <c r="AG6" s="76"/>
      <c r="AH6" s="76"/>
      <c r="AI6" s="76"/>
      <c r="AJ6" s="76"/>
      <c r="AK6" s="76" t="s">
        <v>131</v>
      </c>
      <c r="AL6" s="76"/>
      <c r="AM6" s="76"/>
      <c r="AN6" s="76" t="s">
        <v>132</v>
      </c>
      <c r="AO6" s="76"/>
      <c r="AP6" s="76"/>
      <c r="AQ6" s="76" t="s">
        <v>133</v>
      </c>
      <c r="AR6" s="76"/>
      <c r="AS6" s="76"/>
      <c r="AT6" s="76" t="s">
        <v>134</v>
      </c>
      <c r="AU6" s="76"/>
      <c r="AV6" s="76" t="s">
        <v>135</v>
      </c>
      <c r="AW6" s="76" t="s">
        <v>131</v>
      </c>
      <c r="AX6" s="76"/>
      <c r="AY6" s="76"/>
      <c r="AZ6" s="76" t="s">
        <v>132</v>
      </c>
      <c r="BA6" s="76"/>
      <c r="BB6" s="76"/>
      <c r="BC6" s="76" t="s">
        <v>133</v>
      </c>
      <c r="BD6" s="76"/>
      <c r="BE6" s="76"/>
      <c r="BF6" s="76" t="s">
        <v>134</v>
      </c>
      <c r="BG6" s="76"/>
      <c r="BH6" s="76" t="s">
        <v>135</v>
      </c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 t="s">
        <v>131</v>
      </c>
      <c r="BV6" s="76"/>
      <c r="BW6" s="76"/>
      <c r="BX6" s="76" t="s">
        <v>132</v>
      </c>
      <c r="BY6" s="76"/>
      <c r="BZ6" s="76"/>
      <c r="CA6" s="76" t="s">
        <v>133</v>
      </c>
      <c r="CB6" s="76"/>
      <c r="CC6" s="76"/>
      <c r="CD6" s="76" t="s">
        <v>134</v>
      </c>
      <c r="CE6" s="76"/>
      <c r="CF6" s="76" t="s">
        <v>135</v>
      </c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 t="s">
        <v>131</v>
      </c>
      <c r="CT6" s="76"/>
      <c r="CU6" s="76"/>
      <c r="CV6" s="76" t="s">
        <v>132</v>
      </c>
      <c r="CW6" s="76"/>
      <c r="CX6" s="76"/>
      <c r="CY6" s="76" t="s">
        <v>133</v>
      </c>
      <c r="CZ6" s="76"/>
      <c r="DA6" s="76"/>
      <c r="DB6" s="76" t="s">
        <v>134</v>
      </c>
      <c r="DC6" s="76"/>
      <c r="DD6" s="76" t="s">
        <v>135</v>
      </c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8" t="s">
        <v>151</v>
      </c>
    </row>
    <row r="7" spans="1:121" ht="15" customHeight="1">
      <c r="A7" s="459">
        <v>1</v>
      </c>
      <c r="B7" s="460"/>
      <c r="C7" s="447"/>
      <c r="D7" s="448"/>
      <c r="E7" s="91"/>
      <c r="F7" s="9"/>
      <c r="G7" s="8"/>
      <c r="H7" s="8"/>
      <c r="I7" s="71"/>
      <c r="J7" s="9"/>
      <c r="K7" s="8"/>
      <c r="L7" s="11" t="s">
        <v>153</v>
      </c>
      <c r="M7" s="12" t="s">
        <v>153</v>
      </c>
      <c r="N7" s="12" t="s">
        <v>153</v>
      </c>
      <c r="O7" s="12" t="s">
        <v>153</v>
      </c>
      <c r="P7" s="13" t="s">
        <v>153</v>
      </c>
      <c r="Q7" s="506">
        <f>IF(J7=25,+SUM(VALUE(L7),VALUE(M7),VALUE(O7),VALUE(N7),VALUE(P7))*J7,CEILING(IF(J7=25,J7*SUM(+LEFT(L7,1)+LEFT(M7,1)+LEFT(N7,1)+LEFT(O7,1)+LEFT(P7,1)),+DQ7),0.01))</f>
        <v>0</v>
      </c>
      <c r="R7" s="507"/>
      <c r="S7" s="8"/>
      <c r="T7" s="7"/>
      <c r="U7" s="10">
        <f>IF(SUM(+LEFT(L7,1)+LEFT(M7,1)+LEFT(N7,1)+LEFT(O7,1)+LEFT(P7,1))=0,0,T7/SUM(+LEFT(L7,1)+LEFT(M7,1)+LEFT(N7,1)+LEFT(O7,1)+LEFT(P7,1))*Q7)</f>
        <v>0</v>
      </c>
      <c r="V7" s="8">
        <f>+IF(Z7*AA7=0,0,IF(J7=25,0,"CHYBA"))</f>
        <v>0</v>
      </c>
      <c r="W7" s="10">
        <f>Q7-U7-V7</f>
        <v>0</v>
      </c>
      <c r="X7" s="62"/>
      <c r="Y7" s="357" t="str">
        <f>+IF(Z7*AA7=0," ",IF(J7=25,0,CONCATENATE("POZOR! Ve sloupci 23, podsloupci ",Z7," je potřeba v souladu s POKYNY vyplnit buňku ve formátu M/AB, kde za lomítkem jsou pořadové čísla měsíců, v kterých bylo vozido v daném čtvrtletí používáno")))</f>
        <v xml:space="preserve"> </v>
      </c>
      <c r="Z7" s="76">
        <f>+IF(CO7=1,1,IF(CP7=1,2,IF(CQ7=1,3,IF(CR7=1,4,0))))</f>
        <v>0</v>
      </c>
      <c r="AA7" s="76">
        <f>+SUM(AF7:AJ7)-SUM(CS7:DD7)</f>
        <v>0</v>
      </c>
      <c r="AB7" s="76">
        <f>'1_str'!$H$19</f>
        <v>2021</v>
      </c>
      <c r="AC7" s="79">
        <f>$J7</f>
        <v>0</v>
      </c>
      <c r="AD7" s="80">
        <f>$E7</f>
        <v>0</v>
      </c>
      <c r="AE7" s="81">
        <f>AC7/12</f>
        <v>0</v>
      </c>
      <c r="AF7" s="82">
        <f>INT(MID($L7,1,1))</f>
        <v>0</v>
      </c>
      <c r="AG7" s="82">
        <f>INT(MID($M7,1,1))</f>
        <v>0</v>
      </c>
      <c r="AH7" s="82">
        <f>INT(MID($N7,1,1))</f>
        <v>0</v>
      </c>
      <c r="AI7" s="82">
        <f>INT(MID($O7,1,1))</f>
        <v>0</v>
      </c>
      <c r="AJ7" s="82">
        <f>INT(MID($P7,1,1))</f>
        <v>0</v>
      </c>
      <c r="AK7" s="83">
        <f>IF(AF7&gt;0,1,0)</f>
        <v>0</v>
      </c>
      <c r="AL7" s="83">
        <f>IF(AF7&gt;1,1,0)</f>
        <v>0</v>
      </c>
      <c r="AM7" s="83">
        <f>IF(AF7&gt;2,1,0)</f>
        <v>0</v>
      </c>
      <c r="AN7" s="83">
        <f>IF(AG7&gt;0,1,0)</f>
        <v>0</v>
      </c>
      <c r="AO7" s="83">
        <f>IF(AG7&gt;1,1,0)</f>
        <v>0</v>
      </c>
      <c r="AP7" s="83">
        <f>IF(AG7&gt;2,1,0)</f>
        <v>0</v>
      </c>
      <c r="AQ7" s="83">
        <f>IF(AH7&gt;0,1,0)</f>
        <v>0</v>
      </c>
      <c r="AR7" s="83">
        <f>IF(AH7&gt;1,1,0)</f>
        <v>0</v>
      </c>
      <c r="AS7" s="83">
        <f>IF(AH7&gt;2,1,0)</f>
        <v>0</v>
      </c>
      <c r="AT7" s="83">
        <f>IF(AI7&gt;0,1,0)</f>
        <v>0</v>
      </c>
      <c r="AU7" s="83">
        <f>IF(AI7&gt;1,1,0)</f>
        <v>0</v>
      </c>
      <c r="AV7" s="83">
        <f>IF(AJ7&gt;0,1,0)</f>
        <v>0</v>
      </c>
      <c r="AW7" s="83">
        <f>IF(OR(MID($L7,3,1)="1",MID($L7,4,1)="1"),1,0)</f>
        <v>0</v>
      </c>
      <c r="AX7" s="83">
        <f>IF(OR(MID($L7,3,1)="2",MID($L7,4,1)="2"),1,0)</f>
        <v>0</v>
      </c>
      <c r="AY7" s="83">
        <f>IF(OR(MID($L7,3,1)="3",MID($L7,4,1)="3"),1,0)</f>
        <v>0</v>
      </c>
      <c r="AZ7" s="83">
        <f>IF(OR(MID($M7,3,1)="1",MID($M7,4,1)="1"),1,0)</f>
        <v>0</v>
      </c>
      <c r="BA7" s="83">
        <f>IF(OR(MID($M7,3,1)="2",MID($M7,4,1)="2"),1,0)</f>
        <v>0</v>
      </c>
      <c r="BB7" s="83">
        <f>IF(OR(MID($M7,3,1)="3",MID($M7,4,1)="3"),1,0)</f>
        <v>0</v>
      </c>
      <c r="BC7" s="83">
        <f>IF(OR(MID($N7,3,1)="1",MID($N7,4,1)="1"),1,0)</f>
        <v>0</v>
      </c>
      <c r="BD7" s="83">
        <f>IF(OR(MID($N7,3,1)="2",MID($N7,4,1)="2"),1,0)</f>
        <v>0</v>
      </c>
      <c r="BE7" s="83">
        <f>IF(OR(MID($N7,3,1)="3",MID($N7,4,1)="3"),1,0)</f>
        <v>0</v>
      </c>
      <c r="BF7" s="83">
        <f>IF(MID($O7,3,1)="1",1,0)</f>
        <v>0</v>
      </c>
      <c r="BG7" s="83">
        <f>IF(MID($O7,3,1)="2",1,0)</f>
        <v>0</v>
      </c>
      <c r="BH7" s="76">
        <v>0</v>
      </c>
      <c r="BI7" s="89">
        <f>(AB7-YEAR(AD7))*12-MONTH(AD7)+1</f>
        <v>1452</v>
      </c>
      <c r="BJ7" s="76">
        <f>BI7+1</f>
        <v>1453</v>
      </c>
      <c r="BK7" s="76">
        <f t="shared" si="0" ref="BK7:BT7">BJ7+1</f>
        <v>1454</v>
      </c>
      <c r="BL7" s="76">
        <f t="shared" si="0"/>
        <v>1455</v>
      </c>
      <c r="BM7" s="76">
        <f t="shared" si="0"/>
        <v>1456</v>
      </c>
      <c r="BN7" s="76">
        <f t="shared" si="0"/>
        <v>1457</v>
      </c>
      <c r="BO7" s="76">
        <f t="shared" si="0"/>
        <v>1458</v>
      </c>
      <c r="BP7" s="76">
        <f t="shared" si="0"/>
        <v>1459</v>
      </c>
      <c r="BQ7" s="76">
        <f t="shared" si="0"/>
        <v>1460</v>
      </c>
      <c r="BR7" s="76">
        <f t="shared" si="0"/>
        <v>1461</v>
      </c>
      <c r="BS7" s="76">
        <f t="shared" si="0"/>
        <v>1462</v>
      </c>
      <c r="BT7" s="76">
        <f t="shared" si="0"/>
        <v>1463</v>
      </c>
      <c r="BU7" s="84">
        <f t="shared" si="1" ref="BU7:CF7">IF(YEAR($AD7)&lt;1990,0.25,IF(BI7&lt;36,-0.48,IF(AND(BI7&gt;35,BI7&lt;72),-0.4,IF(AND(BI7&gt;71,BI7&lt;108),-0.25,0))))</f>
        <v>0.25</v>
      </c>
      <c r="BV7" s="84">
        <f t="shared" si="1"/>
        <v>0.25</v>
      </c>
      <c r="BW7" s="84">
        <f t="shared" si="1"/>
        <v>0.25</v>
      </c>
      <c r="BX7" s="84">
        <f t="shared" si="1"/>
        <v>0.25</v>
      </c>
      <c r="BY7" s="84">
        <f t="shared" si="1"/>
        <v>0.25</v>
      </c>
      <c r="BZ7" s="84">
        <f t="shared" si="1"/>
        <v>0.25</v>
      </c>
      <c r="CA7" s="84">
        <f t="shared" si="1"/>
        <v>0.25</v>
      </c>
      <c r="CB7" s="84">
        <f t="shared" si="1"/>
        <v>0.25</v>
      </c>
      <c r="CC7" s="84">
        <f t="shared" si="1"/>
        <v>0.25</v>
      </c>
      <c r="CD7" s="84">
        <f t="shared" si="1"/>
        <v>0.25</v>
      </c>
      <c r="CE7" s="84">
        <f t="shared" si="1"/>
        <v>0.25</v>
      </c>
      <c r="CF7" s="84">
        <f t="shared" si="1"/>
        <v>0.25</v>
      </c>
      <c r="CG7" s="82">
        <f>IF(AND(BU7=BV7,BV7=BW7),0,1)</f>
        <v>0</v>
      </c>
      <c r="CH7" s="76">
        <f>IF(AND(BX7=BY7,BY7=BZ7),0,1)</f>
        <v>0</v>
      </c>
      <c r="CI7" s="76">
        <f>IF(AND(CA7=CB7,CB7=CC7),0,1)</f>
        <v>0</v>
      </c>
      <c r="CJ7" s="76">
        <f>IF(CD7=CE7,0,1)</f>
        <v>0</v>
      </c>
      <c r="CK7" s="82">
        <f>IF(AND(AF7&gt;0,AF7&lt;3),1,0)</f>
        <v>0</v>
      </c>
      <c r="CL7" s="76">
        <f>IF(AND(AG7&gt;0,AG7&lt;3),1,0)</f>
        <v>0</v>
      </c>
      <c r="CM7" s="76">
        <f>IF(AND(AH7&gt;0,AH7&lt;3),1,0)</f>
        <v>0</v>
      </c>
      <c r="CN7" s="76">
        <f>IF(AND(AI7&gt;0,AI7&lt;2),1,0)</f>
        <v>0</v>
      </c>
      <c r="CO7" s="76">
        <f>IF(AND(CG7&gt;0,CK7&gt;0),1,0)</f>
        <v>0</v>
      </c>
      <c r="CP7" s="76">
        <f>IF(AND(CH7&gt;0,CL7&gt;0),1,0)</f>
        <v>0</v>
      </c>
      <c r="CQ7" s="76">
        <f>IF(AND(CI7&gt;0,CM7&gt;0),1,0)</f>
        <v>0</v>
      </c>
      <c r="CR7" s="76">
        <f>IF(AND(CJ7&gt;0,CN7&gt;0),1,0)</f>
        <v>0</v>
      </c>
      <c r="CS7" s="76">
        <f>IF(CO7&lt;1,AK7,AW7)</f>
        <v>0</v>
      </c>
      <c r="CT7" s="76">
        <f>IF(CO7&lt;1,AL7,AX7)</f>
        <v>0</v>
      </c>
      <c r="CU7" s="76">
        <f>IF(CO7&lt;1,AM7,AY7)</f>
        <v>0</v>
      </c>
      <c r="CV7" s="76">
        <f>IF(CP7&lt;1,AN7,AZ7)</f>
        <v>0</v>
      </c>
      <c r="CW7" s="76">
        <f>IF(CP7&lt;1,AO7,BA7)</f>
        <v>0</v>
      </c>
      <c r="CX7" s="76">
        <f>IF(CP7&lt;1,AP7,BB7)</f>
        <v>0</v>
      </c>
      <c r="CY7" s="76">
        <f>IF(CQ7&lt;1,AQ7,BC7)</f>
        <v>0</v>
      </c>
      <c r="CZ7" s="76">
        <f>IF(CQ7&lt;1,AR7,BD7)</f>
        <v>0</v>
      </c>
      <c r="DA7" s="76">
        <f>IF(CQ7&lt;1,AS7,BE7)</f>
        <v>0</v>
      </c>
      <c r="DB7" s="76">
        <f>IF(CR7&lt;1,AT7,BF7)</f>
        <v>0</v>
      </c>
      <c r="DC7" s="76">
        <f>IF(CR7&lt;1,AU7,BG7)</f>
        <v>0</v>
      </c>
      <c r="DD7" s="76">
        <f>AV7</f>
        <v>0</v>
      </c>
      <c r="DE7" s="81">
        <f>IF(CS7&gt;0,AE7*(1+BU7),0)</f>
        <v>0</v>
      </c>
      <c r="DF7" s="81">
        <f>IF(CT7&gt;0,AE7*(1+BV7),0)</f>
        <v>0</v>
      </c>
      <c r="DG7" s="81">
        <f>IF(CU7&gt;0,AE7*(1+BW7),0)</f>
        <v>0</v>
      </c>
      <c r="DH7" s="81">
        <f>IF(CV7&gt;0,AE7*(1+BX7),0)</f>
        <v>0</v>
      </c>
      <c r="DI7" s="81">
        <f>IF(CW7&gt;0,AE7*(1+BY7),0)</f>
        <v>0</v>
      </c>
      <c r="DJ7" s="81">
        <f>IF(CX7&gt;0,AE7*(1+BZ7),0)</f>
        <v>0</v>
      </c>
      <c r="DK7" s="81">
        <f>IF(CY7&gt;0,AE7*(1+CA7),0)</f>
        <v>0</v>
      </c>
      <c r="DL7" s="81">
        <f>IF(CZ7&gt;0,AE7*(1+CB7),0)</f>
        <v>0</v>
      </c>
      <c r="DM7" s="81">
        <f>IF(DA7&gt;0,AE7*(1+CC7),0)</f>
        <v>0</v>
      </c>
      <c r="DN7" s="81">
        <f>IF(DB7&gt;0,AE7*(1+CD7),0)</f>
        <v>0</v>
      </c>
      <c r="DO7" s="81">
        <f>IF(DC7&gt;0,AE7*(1+CE7),0)</f>
        <v>0</v>
      </c>
      <c r="DP7" s="81">
        <f>IF(DD7&gt;0,AE7*(1+CF7),0)</f>
        <v>0</v>
      </c>
      <c r="DQ7" s="85">
        <f>CEILING(SUM(DE7:DP7),0.01)</f>
        <v>0</v>
      </c>
    </row>
    <row r="8" spans="1:29" ht="15" customHeight="1">
      <c r="A8" s="454" t="s">
        <v>13</v>
      </c>
      <c r="B8" s="455"/>
      <c r="C8" s="411"/>
      <c r="D8" s="412"/>
      <c r="E8" s="205"/>
      <c r="F8" s="206"/>
      <c r="G8" s="207"/>
      <c r="H8" s="205"/>
      <c r="I8" s="208"/>
      <c r="J8" s="209"/>
      <c r="K8" s="207"/>
      <c r="L8" s="210"/>
      <c r="M8" s="211"/>
      <c r="N8" s="211"/>
      <c r="O8" s="211"/>
      <c r="P8" s="212"/>
      <c r="Q8" s="378"/>
      <c r="R8" s="379"/>
      <c r="S8" s="205"/>
      <c r="T8" s="205"/>
      <c r="U8" s="213"/>
      <c r="V8" s="207"/>
      <c r="W8" s="213"/>
      <c r="X8" s="214"/>
      <c r="Y8" s="358"/>
      <c r="AC8" s="80"/>
    </row>
    <row r="9" spans="1:24" ht="15" customHeight="1">
      <c r="A9" s="452"/>
      <c r="B9" s="453"/>
      <c r="C9" s="456"/>
      <c r="D9" s="457"/>
      <c r="E9" s="63"/>
      <c r="F9" s="64"/>
      <c r="G9" s="66"/>
      <c r="H9" s="66"/>
      <c r="I9" s="72"/>
      <c r="J9" s="64"/>
      <c r="K9" s="66"/>
      <c r="L9" s="67"/>
      <c r="M9" s="68"/>
      <c r="N9" s="68"/>
      <c r="O9" s="68"/>
      <c r="P9" s="69"/>
      <c r="Q9" s="416"/>
      <c r="R9" s="417"/>
      <c r="S9" s="66"/>
      <c r="T9" s="65"/>
      <c r="U9" s="10"/>
      <c r="V9" s="10"/>
      <c r="W9" s="10"/>
      <c r="X9" s="70"/>
    </row>
    <row r="10" spans="1:24" ht="15" customHeight="1">
      <c r="A10" s="454" t="s">
        <v>13</v>
      </c>
      <c r="B10" s="455"/>
      <c r="C10" s="411"/>
      <c r="D10" s="412"/>
      <c r="E10" s="205"/>
      <c r="F10" s="206"/>
      <c r="G10" s="207"/>
      <c r="H10" s="205"/>
      <c r="I10" s="208"/>
      <c r="J10" s="209"/>
      <c r="K10" s="207"/>
      <c r="L10" s="210"/>
      <c r="M10" s="211"/>
      <c r="N10" s="211"/>
      <c r="O10" s="211"/>
      <c r="P10" s="212"/>
      <c r="Q10" s="378"/>
      <c r="R10" s="379"/>
      <c r="S10" s="205"/>
      <c r="T10" s="205"/>
      <c r="U10" s="213"/>
      <c r="V10" s="207"/>
      <c r="W10" s="213"/>
      <c r="X10" s="214"/>
    </row>
    <row r="11" spans="1:24" ht="15" customHeight="1">
      <c r="A11" s="452"/>
      <c r="B11" s="453"/>
      <c r="C11" s="456"/>
      <c r="D11" s="457"/>
      <c r="E11" s="63"/>
      <c r="F11" s="64"/>
      <c r="G11" s="66"/>
      <c r="H11" s="66"/>
      <c r="I11" s="72"/>
      <c r="J11" s="64"/>
      <c r="K11" s="66"/>
      <c r="L11" s="67"/>
      <c r="M11" s="68"/>
      <c r="N11" s="68"/>
      <c r="O11" s="68"/>
      <c r="P11" s="69"/>
      <c r="Q11" s="416"/>
      <c r="R11" s="417"/>
      <c r="S11" s="66"/>
      <c r="T11" s="65"/>
      <c r="U11" s="10"/>
      <c r="V11" s="10"/>
      <c r="W11" s="10"/>
      <c r="X11" s="70"/>
    </row>
    <row r="12" spans="1:24" ht="15" customHeight="1" thickBot="1">
      <c r="A12" s="445" t="s">
        <v>13</v>
      </c>
      <c r="B12" s="446"/>
      <c r="C12" s="383"/>
      <c r="D12" s="384"/>
      <c r="E12" s="215"/>
      <c r="F12" s="216"/>
      <c r="G12" s="217"/>
      <c r="H12" s="215"/>
      <c r="I12" s="218"/>
      <c r="J12" s="219"/>
      <c r="K12" s="217"/>
      <c r="L12" s="220"/>
      <c r="M12" s="221"/>
      <c r="N12" s="221"/>
      <c r="O12" s="221"/>
      <c r="P12" s="222"/>
      <c r="Q12" s="378"/>
      <c r="R12" s="458"/>
      <c r="S12" s="215"/>
      <c r="T12" s="215"/>
      <c r="U12" s="223"/>
      <c r="V12" s="217"/>
      <c r="W12" s="223"/>
      <c r="X12" s="224"/>
    </row>
    <row r="13" spans="1:24" ht="5.1" customHeight="1" thickBot="1">
      <c r="A13" s="407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</row>
    <row r="14" spans="1:24" ht="15" customHeight="1">
      <c r="A14" s="449" t="s">
        <v>14</v>
      </c>
      <c r="B14" s="450"/>
      <c r="C14" s="450"/>
      <c r="D14" s="451"/>
      <c r="E14" s="443"/>
      <c r="F14" s="444"/>
      <c r="G14" s="225"/>
      <c r="H14" s="225"/>
      <c r="I14" s="365" t="s">
        <v>109</v>
      </c>
      <c r="J14" s="366"/>
      <c r="K14" s="367"/>
      <c r="L14" s="365" t="s">
        <v>25</v>
      </c>
      <c r="M14" s="501"/>
      <c r="N14" s="501"/>
      <c r="O14" s="501"/>
      <c r="P14" s="501"/>
      <c r="Q14" s="500" t="s">
        <v>29</v>
      </c>
      <c r="R14" s="501"/>
      <c r="S14" s="501"/>
      <c r="T14" s="502"/>
      <c r="U14" s="413" t="s">
        <v>30</v>
      </c>
      <c r="V14" s="414"/>
      <c r="W14" s="414"/>
      <c r="X14" s="415"/>
    </row>
    <row r="15" spans="1:24" ht="15" customHeight="1">
      <c r="A15" s="381">
        <v>31</v>
      </c>
      <c r="B15" s="438" t="s">
        <v>108</v>
      </c>
      <c r="C15" s="439"/>
      <c r="D15" s="439"/>
      <c r="E15" s="439"/>
      <c r="F15" s="401"/>
      <c r="G15" s="394" t="s">
        <v>19</v>
      </c>
      <c r="H15" s="395"/>
      <c r="I15" s="368">
        <f>IF(EXACT(LEFT('1_str'!E12,1),"d"),0,W7)</f>
        <v>0</v>
      </c>
      <c r="J15" s="369"/>
      <c r="K15" s="370"/>
      <c r="L15" s="567">
        <f>+SUM(L23:P26)</f>
        <v>0</v>
      </c>
      <c r="M15" s="568"/>
      <c r="N15" s="568"/>
      <c r="O15" s="568"/>
      <c r="P15" s="568"/>
      <c r="Q15" s="571">
        <f>MAX(+I15-L15,0)</f>
        <v>0</v>
      </c>
      <c r="R15" s="572"/>
      <c r="S15" s="572"/>
      <c r="T15" s="573"/>
      <c r="U15" s="408">
        <f>-MIN(I15-L15,0)</f>
        <v>0</v>
      </c>
      <c r="V15" s="409"/>
      <c r="W15" s="409"/>
      <c r="X15" s="410"/>
    </row>
    <row r="16" spans="1:24" ht="15" customHeight="1" thickBot="1">
      <c r="A16" s="382"/>
      <c r="B16" s="440"/>
      <c r="C16" s="441"/>
      <c r="D16" s="441"/>
      <c r="E16" s="441"/>
      <c r="F16" s="442"/>
      <c r="G16" s="398" t="s">
        <v>13</v>
      </c>
      <c r="H16" s="399"/>
      <c r="I16" s="375"/>
      <c r="J16" s="376"/>
      <c r="K16" s="377"/>
      <c r="L16" s="569"/>
      <c r="M16" s="570"/>
      <c r="N16" s="570"/>
      <c r="O16" s="570"/>
      <c r="P16" s="570"/>
      <c r="Q16" s="226"/>
      <c r="R16" s="227"/>
      <c r="S16" s="227"/>
      <c r="T16" s="228"/>
      <c r="U16" s="371"/>
      <c r="V16" s="371"/>
      <c r="W16" s="371"/>
      <c r="X16" s="372"/>
    </row>
    <row r="17" spans="1:24" ht="5.1" customHeight="1" thickBot="1">
      <c r="A17" s="380"/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</row>
    <row r="18" spans="1:24" ht="30" customHeight="1">
      <c r="A18" s="229">
        <v>32</v>
      </c>
      <c r="B18" s="396"/>
      <c r="C18" s="397"/>
      <c r="D18" s="391" t="s">
        <v>1995</v>
      </c>
      <c r="E18" s="392"/>
      <c r="F18" s="392"/>
      <c r="G18" s="392"/>
      <c r="H18" s="392"/>
      <c r="I18" s="393"/>
      <c r="J18" s="363" t="s">
        <v>15</v>
      </c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73">
        <v>0</v>
      </c>
      <c r="W18" s="374"/>
      <c r="X18" s="576"/>
    </row>
    <row r="19" spans="1:24" ht="15" customHeight="1">
      <c r="A19" s="536" t="s">
        <v>103</v>
      </c>
      <c r="B19" s="394" t="s">
        <v>19</v>
      </c>
      <c r="C19" s="395"/>
      <c r="D19" s="385">
        <f>IF(EXACT(LEFT('1_str'!E12,1),"d"),W7,0)</f>
        <v>0</v>
      </c>
      <c r="E19" s="386"/>
      <c r="F19" s="386"/>
      <c r="G19" s="386"/>
      <c r="H19" s="386"/>
      <c r="I19" s="387"/>
      <c r="J19" s="400" t="s">
        <v>105</v>
      </c>
      <c r="K19" s="401"/>
      <c r="L19" s="403"/>
      <c r="M19" s="403"/>
      <c r="N19" s="403"/>
      <c r="O19" s="403"/>
      <c r="P19" s="403"/>
      <c r="Q19" s="403"/>
      <c r="R19" s="403"/>
      <c r="S19" s="403"/>
      <c r="T19" s="403"/>
      <c r="U19" s="403"/>
      <c r="V19" s="403"/>
      <c r="W19" s="404"/>
      <c r="X19" s="577"/>
    </row>
    <row r="20" spans="1:24" ht="15" customHeight="1" thickBot="1">
      <c r="A20" s="537"/>
      <c r="B20" s="539" t="s">
        <v>13</v>
      </c>
      <c r="C20" s="540"/>
      <c r="D20" s="388"/>
      <c r="E20" s="389"/>
      <c r="F20" s="389"/>
      <c r="G20" s="389"/>
      <c r="H20" s="389"/>
      <c r="I20" s="390"/>
      <c r="J20" s="402"/>
      <c r="K20" s="401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6"/>
      <c r="X20" s="577"/>
    </row>
    <row r="21" spans="1:24" ht="15" customHeight="1" thickBot="1">
      <c r="A21" s="537"/>
      <c r="B21" s="394"/>
      <c r="C21" s="395"/>
      <c r="D21" s="391" t="s">
        <v>104</v>
      </c>
      <c r="E21" s="392"/>
      <c r="F21" s="392"/>
      <c r="G21" s="392"/>
      <c r="H21" s="392"/>
      <c r="I21" s="393"/>
      <c r="J21" s="402"/>
      <c r="K21" s="401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6"/>
      <c r="X21" s="577"/>
    </row>
    <row r="22" spans="1:24" ht="15" customHeight="1">
      <c r="A22" s="537"/>
      <c r="B22" s="394" t="s">
        <v>19</v>
      </c>
      <c r="C22" s="395"/>
      <c r="D22" s="385">
        <v>0</v>
      </c>
      <c r="E22" s="386"/>
      <c r="F22" s="386"/>
      <c r="G22" s="386"/>
      <c r="H22" s="386"/>
      <c r="I22" s="387"/>
      <c r="J22" s="230">
        <v>33</v>
      </c>
      <c r="K22" s="231" t="s">
        <v>21</v>
      </c>
      <c r="L22" s="359"/>
      <c r="M22" s="359"/>
      <c r="N22" s="359"/>
      <c r="O22" s="359"/>
      <c r="P22" s="359"/>
      <c r="Q22" s="359"/>
      <c r="R22" s="359"/>
      <c r="S22" s="360" t="s">
        <v>106</v>
      </c>
      <c r="T22" s="361"/>
      <c r="U22" s="360" t="s">
        <v>18</v>
      </c>
      <c r="V22" s="360"/>
      <c r="W22" s="362"/>
      <c r="X22" s="577"/>
    </row>
    <row r="23" spans="1:24" ht="15" customHeight="1" thickBot="1">
      <c r="A23" s="537"/>
      <c r="B23" s="539" t="s">
        <v>13</v>
      </c>
      <c r="C23" s="540"/>
      <c r="D23" s="541"/>
      <c r="E23" s="542"/>
      <c r="F23" s="542"/>
      <c r="G23" s="542"/>
      <c r="H23" s="542"/>
      <c r="I23" s="543"/>
      <c r="J23" s="423" t="s">
        <v>107</v>
      </c>
      <c r="K23" s="184"/>
      <c r="L23" s="425"/>
      <c r="M23" s="425"/>
      <c r="N23" s="425"/>
      <c r="O23" s="425"/>
      <c r="P23" s="425"/>
      <c r="Q23" s="425"/>
      <c r="R23" s="425"/>
      <c r="S23" s="427"/>
      <c r="T23" s="428"/>
      <c r="U23" s="427"/>
      <c r="V23" s="429"/>
      <c r="W23" s="430"/>
      <c r="X23" s="577"/>
    </row>
    <row r="24" spans="1:24" ht="15" customHeight="1">
      <c r="A24" s="537"/>
      <c r="B24" s="394"/>
      <c r="C24" s="395"/>
      <c r="D24" s="591" t="s">
        <v>28</v>
      </c>
      <c r="E24" s="592"/>
      <c r="F24" s="592"/>
      <c r="G24" s="592"/>
      <c r="H24" s="592"/>
      <c r="I24" s="593"/>
      <c r="J24" s="423"/>
      <c r="K24" s="184"/>
      <c r="L24" s="425"/>
      <c r="M24" s="425"/>
      <c r="N24" s="425"/>
      <c r="O24" s="425"/>
      <c r="P24" s="425"/>
      <c r="Q24" s="425"/>
      <c r="R24" s="425"/>
      <c r="S24" s="427"/>
      <c r="T24" s="428"/>
      <c r="U24" s="427"/>
      <c r="V24" s="429"/>
      <c r="W24" s="430"/>
      <c r="X24" s="577"/>
    </row>
    <row r="25" spans="1:24" ht="15" customHeight="1">
      <c r="A25" s="537"/>
      <c r="B25" s="394" t="s">
        <v>19</v>
      </c>
      <c r="C25" s="395"/>
      <c r="D25" s="385">
        <f>+D19-D22</f>
        <v>0</v>
      </c>
      <c r="E25" s="386"/>
      <c r="F25" s="386"/>
      <c r="G25" s="386"/>
      <c r="H25" s="386"/>
      <c r="I25" s="387"/>
      <c r="J25" s="423"/>
      <c r="K25" s="184"/>
      <c r="L25" s="425"/>
      <c r="M25" s="425"/>
      <c r="N25" s="425"/>
      <c r="O25" s="425"/>
      <c r="P25" s="425"/>
      <c r="Q25" s="425"/>
      <c r="R25" s="425"/>
      <c r="S25" s="427"/>
      <c r="T25" s="428"/>
      <c r="U25" s="427"/>
      <c r="V25" s="429"/>
      <c r="W25" s="430"/>
      <c r="X25" s="577"/>
    </row>
    <row r="26" spans="1:24" ht="15" customHeight="1" thickBot="1">
      <c r="A26" s="538"/>
      <c r="B26" s="398" t="s">
        <v>13</v>
      </c>
      <c r="C26" s="590"/>
      <c r="D26" s="541"/>
      <c r="E26" s="542"/>
      <c r="F26" s="542"/>
      <c r="G26" s="542"/>
      <c r="H26" s="542"/>
      <c r="I26" s="543"/>
      <c r="J26" s="424"/>
      <c r="K26" s="185"/>
      <c r="L26" s="426"/>
      <c r="M26" s="426"/>
      <c r="N26" s="426"/>
      <c r="O26" s="426"/>
      <c r="P26" s="426"/>
      <c r="Q26" s="426"/>
      <c r="R26" s="426"/>
      <c r="S26" s="431"/>
      <c r="T26" s="432"/>
      <c r="U26" s="431"/>
      <c r="V26" s="433"/>
      <c r="W26" s="434"/>
      <c r="X26" s="577"/>
    </row>
    <row r="27" spans="1:24" ht="3.75" customHeight="1">
      <c r="A27" s="380"/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</row>
    <row r="28" spans="1:24" ht="15" customHeight="1" thickBot="1">
      <c r="A28" s="549"/>
      <c r="B28" s="550"/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</row>
    <row r="29" spans="1:24" ht="15" customHeight="1">
      <c r="A29" s="524" t="s">
        <v>160</v>
      </c>
      <c r="B29" s="525"/>
      <c r="C29" s="525"/>
      <c r="D29" s="525"/>
      <c r="E29" s="525"/>
      <c r="F29" s="525"/>
      <c r="G29" s="525"/>
      <c r="H29" s="525"/>
      <c r="I29" s="526" t="s">
        <v>161</v>
      </c>
      <c r="J29" s="527"/>
      <c r="K29" s="528"/>
      <c r="L29" s="435"/>
      <c r="M29" s="436"/>
      <c r="N29" s="437"/>
      <c r="O29" s="578"/>
      <c r="P29" s="579"/>
      <c r="Q29" s="582"/>
      <c r="R29" s="555" t="s">
        <v>92</v>
      </c>
      <c r="S29" s="556"/>
      <c r="T29" s="556"/>
      <c r="U29" s="556"/>
      <c r="V29" s="556"/>
      <c r="W29" s="556"/>
      <c r="X29" s="557"/>
    </row>
    <row r="30" spans="1:24" ht="12.95" customHeight="1">
      <c r="A30" s="529" t="s">
        <v>93</v>
      </c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83"/>
      <c r="R30" s="556"/>
      <c r="S30" s="556"/>
      <c r="T30" s="556"/>
      <c r="U30" s="556"/>
      <c r="V30" s="556"/>
      <c r="W30" s="556"/>
      <c r="X30" s="557"/>
    </row>
    <row r="31" spans="1:24" ht="15" customHeight="1">
      <c r="A31" s="530" t="str">
        <f>+CONCATENATE(ZAKL_DATA!D20," ",ZAKL_DATA!D21," ",ZAKL_DATA!D22)</f>
        <v xml:space="preserve">  </v>
      </c>
      <c r="B31" s="531"/>
      <c r="C31" s="531"/>
      <c r="D31" s="531"/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2"/>
      <c r="Q31" s="583"/>
      <c r="R31" s="420"/>
      <c r="S31" s="421"/>
      <c r="T31" s="421"/>
      <c r="U31" s="421"/>
      <c r="V31" s="422"/>
      <c r="W31" s="566"/>
      <c r="X31" s="419"/>
    </row>
    <row r="32" spans="1:24" ht="12.95" customHeight="1">
      <c r="A32" s="580" t="s">
        <v>94</v>
      </c>
      <c r="B32" s="581"/>
      <c r="C32" s="581"/>
      <c r="D32" s="581"/>
      <c r="E32" s="581"/>
      <c r="F32" s="581"/>
      <c r="G32" s="581"/>
      <c r="H32" s="581"/>
      <c r="I32" s="581"/>
      <c r="J32" s="581"/>
      <c r="K32" s="581"/>
      <c r="L32" s="581"/>
      <c r="M32" s="581"/>
      <c r="N32" s="581"/>
      <c r="O32" s="581"/>
      <c r="P32" s="581"/>
      <c r="Q32" s="256"/>
      <c r="R32" s="418"/>
      <c r="S32" s="418"/>
      <c r="T32" s="418"/>
      <c r="U32" s="418"/>
      <c r="V32" s="418"/>
      <c r="W32" s="418"/>
      <c r="X32" s="419"/>
    </row>
    <row r="33" spans="1:24" ht="12.95" customHeight="1">
      <c r="A33" s="529" t="s">
        <v>2020</v>
      </c>
      <c r="B33" s="527"/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7"/>
      <c r="P33" s="527"/>
      <c r="Q33" s="418"/>
      <c r="R33" s="551" t="s">
        <v>95</v>
      </c>
      <c r="S33" s="551"/>
      <c r="T33" s="551"/>
      <c r="U33" s="551"/>
      <c r="V33" s="551"/>
      <c r="W33" s="551"/>
      <c r="X33" s="552"/>
    </row>
    <row r="34" spans="1:24" ht="15" customHeight="1">
      <c r="A34" s="530" t="str">
        <f>+CONCATENATE(ZAKL_DATA!D14," ",ZAKL_DATA!D15," ",ZAKL_DATA!D16)</f>
        <v xml:space="preserve">  </v>
      </c>
      <c r="B34" s="531"/>
      <c r="C34" s="531"/>
      <c r="D34" s="531"/>
      <c r="E34" s="531"/>
      <c r="F34" s="531"/>
      <c r="G34" s="531"/>
      <c r="H34" s="531"/>
      <c r="I34" s="531"/>
      <c r="J34" s="531"/>
      <c r="K34" s="531"/>
      <c r="L34" s="531"/>
      <c r="M34" s="531"/>
      <c r="N34" s="531"/>
      <c r="O34" s="531"/>
      <c r="P34" s="532"/>
      <c r="Q34" s="583"/>
      <c r="R34" s="553">
        <f>+ZAKL_DATA!D17</f>
        <v>0</v>
      </c>
      <c r="S34" s="531"/>
      <c r="T34" s="531"/>
      <c r="U34" s="531"/>
      <c r="V34" s="531"/>
      <c r="W34" s="531"/>
      <c r="X34" s="554"/>
    </row>
    <row r="35" spans="1:24" ht="3.95" customHeight="1" thickBot="1">
      <c r="A35" s="533"/>
      <c r="B35" s="534"/>
      <c r="C35" s="534"/>
      <c r="D35" s="534"/>
      <c r="E35" s="534"/>
      <c r="F35" s="534"/>
      <c r="G35" s="534"/>
      <c r="H35" s="534"/>
      <c r="I35" s="534"/>
      <c r="J35" s="534"/>
      <c r="K35" s="534"/>
      <c r="L35" s="534"/>
      <c r="M35" s="534"/>
      <c r="N35" s="534"/>
      <c r="O35" s="534"/>
      <c r="P35" s="534"/>
      <c r="Q35" s="534"/>
      <c r="R35" s="534"/>
      <c r="S35" s="534"/>
      <c r="T35" s="534"/>
      <c r="U35" s="534"/>
      <c r="V35" s="534"/>
      <c r="W35" s="534"/>
      <c r="X35" s="535"/>
    </row>
    <row r="36" spans="1:24" ht="12.95" customHeight="1" thickBot="1">
      <c r="A36" s="547"/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</row>
    <row r="37" spans="1:24" ht="9.95" customHeight="1">
      <c r="A37" s="594"/>
      <c r="B37" s="595"/>
      <c r="C37" s="595"/>
      <c r="D37" s="595"/>
      <c r="E37" s="595"/>
      <c r="F37" s="595"/>
      <c r="G37" s="595"/>
      <c r="H37" s="595"/>
      <c r="I37" s="595"/>
      <c r="J37" s="595"/>
      <c r="K37" s="595"/>
      <c r="L37" s="595"/>
      <c r="M37" s="595"/>
      <c r="N37" s="595"/>
      <c r="O37" s="595"/>
      <c r="P37" s="595"/>
      <c r="Q37" s="584"/>
      <c r="R37" s="561" t="s">
        <v>97</v>
      </c>
      <c r="S37" s="562"/>
      <c r="T37" s="562"/>
      <c r="U37" s="562"/>
      <c r="V37" s="562"/>
      <c r="W37" s="562"/>
      <c r="X37" s="563"/>
    </row>
    <row r="38" spans="1:24" ht="15" customHeight="1">
      <c r="A38" s="544" t="s">
        <v>102</v>
      </c>
      <c r="B38" s="545"/>
      <c r="C38" s="545"/>
      <c r="D38" s="545"/>
      <c r="E38" s="545"/>
      <c r="F38" s="546"/>
      <c r="G38" s="546"/>
      <c r="H38" s="546"/>
      <c r="I38" s="546"/>
      <c r="J38" s="558" t="s">
        <v>101</v>
      </c>
      <c r="K38" s="510"/>
      <c r="L38" s="511"/>
      <c r="M38" s="511"/>
      <c r="N38" s="511"/>
      <c r="O38" s="511"/>
      <c r="P38" s="512"/>
      <c r="Q38" s="266"/>
      <c r="R38" s="556"/>
      <c r="S38" s="556"/>
      <c r="T38" s="556"/>
      <c r="U38" s="556"/>
      <c r="V38" s="556"/>
      <c r="W38" s="556"/>
      <c r="X38" s="557"/>
    </row>
    <row r="39" spans="1:24" ht="15" customHeight="1">
      <c r="A39" s="529" t="s">
        <v>96</v>
      </c>
      <c r="B39" s="586"/>
      <c r="C39" s="586"/>
      <c r="D39" s="586"/>
      <c r="E39" s="586"/>
      <c r="F39" s="587">
        <f ca="1">+TODAY()</f>
        <v>44876</v>
      </c>
      <c r="G39" s="588"/>
      <c r="H39" s="588"/>
      <c r="I39" s="589"/>
      <c r="J39" s="559"/>
      <c r="K39" s="513"/>
      <c r="L39" s="514"/>
      <c r="M39" s="514"/>
      <c r="N39" s="514"/>
      <c r="O39" s="514"/>
      <c r="P39" s="515"/>
      <c r="Q39" s="266"/>
      <c r="R39" s="510"/>
      <c r="S39" s="511"/>
      <c r="T39" s="511"/>
      <c r="U39" s="511"/>
      <c r="V39" s="511"/>
      <c r="W39" s="511"/>
      <c r="X39" s="564"/>
    </row>
    <row r="40" spans="1:24" ht="15" customHeight="1" thickBot="1">
      <c r="A40" s="519" t="s">
        <v>2021</v>
      </c>
      <c r="B40" s="520"/>
      <c r="C40" s="520"/>
      <c r="D40" s="520"/>
      <c r="E40" s="520"/>
      <c r="F40" s="521" t="str">
        <f>+CONCATENATE(ZAKL_DATA!D30," ",ZAKL_DATA!D31)</f>
        <v xml:space="preserve"> </v>
      </c>
      <c r="G40" s="522"/>
      <c r="H40" s="522"/>
      <c r="I40" s="523"/>
      <c r="J40" s="560"/>
      <c r="K40" s="516"/>
      <c r="L40" s="517"/>
      <c r="M40" s="517"/>
      <c r="N40" s="517"/>
      <c r="O40" s="517"/>
      <c r="P40" s="518"/>
      <c r="Q40" s="585"/>
      <c r="R40" s="516"/>
      <c r="S40" s="517"/>
      <c r="T40" s="517"/>
      <c r="U40" s="517"/>
      <c r="V40" s="517"/>
      <c r="W40" s="517"/>
      <c r="X40" s="565"/>
    </row>
    <row r="41" spans="1:24" ht="12.75">
      <c r="A41" s="574" t="s">
        <v>2018</v>
      </c>
      <c r="B41" s="575"/>
      <c r="C41" s="575"/>
      <c r="D41" s="575"/>
      <c r="E41" s="575"/>
      <c r="F41" s="575"/>
      <c r="G41" s="575"/>
      <c r="H41" s="575"/>
      <c r="I41" s="575"/>
      <c r="J41" s="575"/>
      <c r="K41" s="575"/>
      <c r="L41" s="575"/>
      <c r="M41" s="575"/>
      <c r="N41" s="575"/>
      <c r="O41" s="575"/>
      <c r="P41" s="575"/>
      <c r="Q41" s="575"/>
      <c r="R41" s="575"/>
      <c r="S41" s="575"/>
      <c r="T41" s="575"/>
      <c r="U41" s="575"/>
      <c r="V41" s="575"/>
      <c r="W41" s="575"/>
      <c r="X41" s="575"/>
    </row>
  </sheetData>
  <sheetProtection algorithmName="SHA-512" hashValue="7Higiu+Ll2CzA6wrdkDikXeComwPS12srpKQSvjnYtAxbrF8JHUPhhryYiEX2QJdZx4l/kDnjpxmItNvwWCzYg==" saltValue="vYM0RSz1S7dSdJtWSQkfPw==" spinCount="100000" sheet="1" objects="1" scenarios="1"/>
  <mergeCells count="132">
    <mergeCell ref="L15:P15"/>
    <mergeCell ref="L16:P16"/>
    <mergeCell ref="Q15:T15"/>
    <mergeCell ref="A41:X41"/>
    <mergeCell ref="X18:X26"/>
    <mergeCell ref="O29:P29"/>
    <mergeCell ref="A32:Q32"/>
    <mergeCell ref="Q29:Q31"/>
    <mergeCell ref="Q37:Q40"/>
    <mergeCell ref="Q33:Q34"/>
    <mergeCell ref="A39:E39"/>
    <mergeCell ref="F39:I39"/>
    <mergeCell ref="D21:I21"/>
    <mergeCell ref="B21:C21"/>
    <mergeCell ref="B23:C23"/>
    <mergeCell ref="B24:C24"/>
    <mergeCell ref="B25:C25"/>
    <mergeCell ref="B22:C22"/>
    <mergeCell ref="D22:I22"/>
    <mergeCell ref="B26:C26"/>
    <mergeCell ref="D25:I25"/>
    <mergeCell ref="D26:I26"/>
    <mergeCell ref="D24:I24"/>
    <mergeCell ref="A37:P37"/>
    <mergeCell ref="K38:P40"/>
    <mergeCell ref="A40:E40"/>
    <mergeCell ref="F40:I40"/>
    <mergeCell ref="A29:H29"/>
    <mergeCell ref="I29:K29"/>
    <mergeCell ref="A30:P30"/>
    <mergeCell ref="A31:P31"/>
    <mergeCell ref="A35:X35"/>
    <mergeCell ref="A19:A26"/>
    <mergeCell ref="A27:X27"/>
    <mergeCell ref="B20:C20"/>
    <mergeCell ref="D23:I23"/>
    <mergeCell ref="A38:I38"/>
    <mergeCell ref="A36:X36"/>
    <mergeCell ref="A28:X28"/>
    <mergeCell ref="R33:X33"/>
    <mergeCell ref="A34:P34"/>
    <mergeCell ref="R34:X34"/>
    <mergeCell ref="A33:P33"/>
    <mergeCell ref="R29:X30"/>
    <mergeCell ref="J38:J40"/>
    <mergeCell ref="R37:X38"/>
    <mergeCell ref="R39:X40"/>
    <mergeCell ref="W31:X31"/>
    <mergeCell ref="W1:W5"/>
    <mergeCell ref="Q1:R5"/>
    <mergeCell ref="Q8:R8"/>
    <mergeCell ref="G1:I1"/>
    <mergeCell ref="Q14:T14"/>
    <mergeCell ref="L14:P14"/>
    <mergeCell ref="X1:X5"/>
    <mergeCell ref="Q7:R7"/>
    <mergeCell ref="Q6:R6"/>
    <mergeCell ref="S1:T5"/>
    <mergeCell ref="V1:V5"/>
    <mergeCell ref="U1:U5"/>
    <mergeCell ref="A1:D1"/>
    <mergeCell ref="C2:D5"/>
    <mergeCell ref="A2:B6"/>
    <mergeCell ref="J1:J5"/>
    <mergeCell ref="E1:E5"/>
    <mergeCell ref="F1:F5"/>
    <mergeCell ref="H2:I2"/>
    <mergeCell ref="C6:D6"/>
    <mergeCell ref="L1:P4"/>
    <mergeCell ref="H5:I5"/>
    <mergeCell ref="H4:I4"/>
    <mergeCell ref="K1:K5"/>
    <mergeCell ref="L6:P6"/>
    <mergeCell ref="C7:D7"/>
    <mergeCell ref="C8:D8"/>
    <mergeCell ref="A14:D14"/>
    <mergeCell ref="A9:B9"/>
    <mergeCell ref="A10:B10"/>
    <mergeCell ref="A11:B11"/>
    <mergeCell ref="C9:D9"/>
    <mergeCell ref="C11:D11"/>
    <mergeCell ref="Q12:R12"/>
    <mergeCell ref="A7:B7"/>
    <mergeCell ref="A8:B8"/>
    <mergeCell ref="U15:X15"/>
    <mergeCell ref="C10:D10"/>
    <mergeCell ref="U14:X14"/>
    <mergeCell ref="Q11:R11"/>
    <mergeCell ref="Q9:R9"/>
    <mergeCell ref="R32:X32"/>
    <mergeCell ref="R31:V31"/>
    <mergeCell ref="J23:J26"/>
    <mergeCell ref="L23:R23"/>
    <mergeCell ref="L24:R24"/>
    <mergeCell ref="L25:R25"/>
    <mergeCell ref="L26:R26"/>
    <mergeCell ref="S23:T23"/>
    <mergeCell ref="U23:W23"/>
    <mergeCell ref="S26:T26"/>
    <mergeCell ref="U26:W26"/>
    <mergeCell ref="S24:T24"/>
    <mergeCell ref="U24:W24"/>
    <mergeCell ref="S25:T25"/>
    <mergeCell ref="U25:W25"/>
    <mergeCell ref="L29:N29"/>
    <mergeCell ref="B15:F16"/>
    <mergeCell ref="E14:F14"/>
    <mergeCell ref="A12:B12"/>
    <mergeCell ref="Y7:Y8"/>
    <mergeCell ref="L22:R22"/>
    <mergeCell ref="S22:T22"/>
    <mergeCell ref="U22:W22"/>
    <mergeCell ref="J18:U18"/>
    <mergeCell ref="I14:K14"/>
    <mergeCell ref="I15:K15"/>
    <mergeCell ref="U16:X16"/>
    <mergeCell ref="V18:W18"/>
    <mergeCell ref="I16:K16"/>
    <mergeCell ref="Q10:R10"/>
    <mergeCell ref="A17:X17"/>
    <mergeCell ref="A15:A16"/>
    <mergeCell ref="C12:D12"/>
    <mergeCell ref="D19:I19"/>
    <mergeCell ref="D20:I20"/>
    <mergeCell ref="D18:I18"/>
    <mergeCell ref="B19:C19"/>
    <mergeCell ref="B18:C18"/>
    <mergeCell ref="G16:H16"/>
    <mergeCell ref="G15:H15"/>
    <mergeCell ref="J19:K21"/>
    <mergeCell ref="L19:W21"/>
    <mergeCell ref="A13:X13"/>
  </mergeCells>
  <printOptions horizontalCentered="1" verticalCentered="1"/>
  <pageMargins left="0.196850393700787" right="0.196850393700787" top="0.433070866141732" bottom="0.433070866141732" header="0.31496062992126" footer="0.31496062992126"/>
  <pageSetup horizontalDpi="300" verticalDpi="300" orientation="landscape" paperSize="9" scale="95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00"/>
  <sheetViews>
    <sheetView workbookViewId="0" topLeftCell="XFD1048576">
      <selection pane="topLeft" activeCell="A13" sqref="A1:XFD1048576"/>
    </sheetView>
  </sheetViews>
  <sheetFormatPr defaultColWidth="0" defaultRowHeight="12.75" zeroHeight="1"/>
  <cols>
    <col min="1" max="1" width="9.71428571428571" hidden="1" customWidth="1"/>
    <col min="2" max="16384" width="10.2857142857143" hidden="1"/>
  </cols>
  <sheetData>
    <row r="1" spans="3:30" ht="12.75" hidden="1">
      <c r="C1" s="105"/>
      <c r="D1" s="92" t="s">
        <v>2123</v>
      </c>
      <c r="E1" s="105" t="s">
        <v>1951</v>
      </c>
      <c r="F1" s="105" t="s">
        <v>2124</v>
      </c>
      <c r="G1" s="105" t="s">
        <v>2125</v>
      </c>
      <c r="H1" s="93" t="s">
        <v>2126</v>
      </c>
      <c r="I1" s="93" t="s">
        <v>2130</v>
      </c>
      <c r="J1" s="93" t="s">
        <v>2129</v>
      </c>
      <c r="K1" s="93" t="s">
        <v>2128</v>
      </c>
      <c r="L1" s="93" t="s">
        <v>2127</v>
      </c>
      <c r="M1" s="93" t="s">
        <v>2131</v>
      </c>
      <c r="N1" s="93" t="s">
        <v>2132</v>
      </c>
      <c r="O1" s="93" t="s">
        <v>2133</v>
      </c>
      <c r="P1" s="93" t="s">
        <v>2134</v>
      </c>
      <c r="Q1" s="93" t="s">
        <v>2135</v>
      </c>
      <c r="R1" s="93" t="s">
        <v>2136</v>
      </c>
      <c r="S1" s="93" t="s">
        <v>2137</v>
      </c>
      <c r="T1" s="93" t="s">
        <v>2138</v>
      </c>
      <c r="U1" s="93" t="s">
        <v>2143</v>
      </c>
      <c r="AA1" t="s">
        <v>2139</v>
      </c>
      <c r="AB1" t="s">
        <v>2142</v>
      </c>
      <c r="AC1" t="s">
        <v>2141</v>
      </c>
      <c r="AD1" t="s">
        <v>2140</v>
      </c>
    </row>
    <row r="2" spans="3:33" ht="12.75" hidden="1">
      <c r="C2" s="93"/>
      <c r="D2" s="105"/>
      <c r="E2" s="105" t="s">
        <v>1951</v>
      </c>
      <c r="F2" s="105" t="s">
        <v>1952</v>
      </c>
      <c r="G2" s="105" t="s">
        <v>43</v>
      </c>
      <c r="H2" s="105" t="s">
        <v>1953</v>
      </c>
      <c r="I2" s="105" t="s">
        <v>1954</v>
      </c>
      <c r="J2" s="105" t="s">
        <v>1955</v>
      </c>
      <c r="K2" s="105" t="s">
        <v>1956</v>
      </c>
      <c r="L2" s="105" t="s">
        <v>1957</v>
      </c>
      <c r="M2" s="105" t="s">
        <v>1958</v>
      </c>
      <c r="N2" s="105" t="s">
        <v>1959</v>
      </c>
      <c r="O2" s="183" t="s">
        <v>1960</v>
      </c>
      <c r="P2" s="183" t="s">
        <v>1961</v>
      </c>
      <c r="Q2" s="183" t="s">
        <v>1962</v>
      </c>
      <c r="R2" s="183" t="s">
        <v>1963</v>
      </c>
      <c r="S2" s="183" t="s">
        <v>1964</v>
      </c>
      <c r="T2" s="105" t="s">
        <v>1946</v>
      </c>
      <c r="U2" s="105" t="s">
        <v>1947</v>
      </c>
      <c r="V2" s="105" t="s">
        <v>1997</v>
      </c>
      <c r="W2" s="105" t="s">
        <v>1998</v>
      </c>
      <c r="X2" s="105" t="s">
        <v>1999</v>
      </c>
      <c r="Y2" s="105" t="s">
        <v>2000</v>
      </c>
      <c r="Z2" s="105" t="s">
        <v>2001</v>
      </c>
      <c r="AA2" s="105" t="s">
        <v>1948</v>
      </c>
      <c r="AB2" s="105" t="s">
        <v>1949</v>
      </c>
      <c r="AC2" s="105" t="s">
        <v>1950</v>
      </c>
      <c r="AD2" s="105" t="s">
        <v>1945</v>
      </c>
      <c r="AE2" s="105" t="s">
        <v>1965</v>
      </c>
      <c r="AF2" s="105" t="s">
        <v>1966</v>
      </c>
      <c r="AG2" s="105" t="s">
        <v>165</v>
      </c>
    </row>
    <row r="3" spans="1:33" ht="12.75" hidden="1">
      <c r="A3" s="245" t="s">
        <v>2026</v>
      </c>
      <c r="C3" s="93"/>
      <c r="D3" s="92"/>
      <c r="E3" s="92">
        <f>'2_str'!A7</f>
        <v>1</v>
      </c>
      <c r="F3" s="249" t="str">
        <f>IF('2_str'!C7&lt;&gt;"",'2_str'!C7,"")</f>
        <v/>
      </c>
      <c r="G3" s="92" t="str">
        <f>IF('2_str'!E7&lt;&gt;0,TEXT('2_str'!E7,"rrrr"),"")</f>
        <v/>
      </c>
      <c r="H3" s="92" t="str">
        <f>IF('2_str'!E7&lt;&gt;0,TEXT('2_str'!E7,"mm"),"")</f>
        <v/>
      </c>
      <c r="I3" s="182" t="str">
        <f>IF('2_str'!F7&lt;&gt;"",'2_str'!F7,"")</f>
        <v/>
      </c>
      <c r="J3" s="92" t="str">
        <f>IF(AND('2_str'!G7&lt;&gt;"",'2_str'!G7&lt;&gt;0),'2_str'!G7,"")</f>
        <v/>
      </c>
      <c r="K3" s="92" t="str">
        <f>IF('2_str'!H7&lt;&gt;0,'2_str'!H7,IF($I2=9,0,""))</f>
        <v/>
      </c>
      <c r="L3" s="92" t="str">
        <f>IF('2_str'!I7&lt;&gt;0,ROUND('2_str'!I7,2),IF($I2=9,0,""))</f>
        <v/>
      </c>
      <c r="M3" s="92" t="str">
        <f>IF('2_str'!J7&lt;&gt;"",'2_str'!J7,"")</f>
        <v/>
      </c>
      <c r="N3" s="92" t="str">
        <f>IF('2_str'!K7&lt;&gt;"",'2_str'!K7,"")</f>
        <v/>
      </c>
      <c r="O3" s="92" t="str">
        <f>IF(AND('2_str'!L7&lt;&gt;0,$I3&lt;&gt;""),SUBSTITUTE('2_str'!L7,"/","",1),"")</f>
        <v/>
      </c>
      <c r="P3" s="92" t="str">
        <f>IF(AND('2_str'!M7&lt;&gt;0,$I3&lt;&gt;""),SUBSTITUTE('2_str'!M7,"/","",1),"")</f>
        <v/>
      </c>
      <c r="Q3" s="92" t="str">
        <f>IF(AND('2_str'!N7&lt;&gt;0,$I3&lt;&gt;""),SUBSTITUTE('2_str'!N7,"/","",1),"")</f>
        <v/>
      </c>
      <c r="R3" s="92" t="str">
        <f>IF(AND('2_str'!O7&lt;&gt;0,$I3&lt;&gt;""),SUBSTITUTE('2_str'!O7,"/","",1),"")</f>
        <v/>
      </c>
      <c r="S3" s="92" t="str">
        <f>IF(AND('2_str'!P7&lt;&gt;0,$I3&lt;&gt;""),SUBSTITUTE('2_str'!P7,"/","",1),"")</f>
        <v/>
      </c>
      <c r="T3" s="92" t="str">
        <f>IF(I3&lt;&gt;"",'2_str'!Q7,"")</f>
        <v/>
      </c>
      <c r="U3" s="182" t="str">
        <f>IF('2_str'!S7=0,"",'2_str'!S7)</f>
        <v/>
      </c>
      <c r="V3" s="182" t="e">
        <f>IF([26]=([23.I]+[23.II]+[23.III]+[23.IV]+[23.V]),[23.I],IF([26]=10,1,IF([26]=11,2,IF([26]&gt;11,3,""))))</f>
        <v>#VALUE!</v>
      </c>
      <c r="W3" s="182" t="e">
        <f>IF([26]=([23.I]+[23.II]+[23.III]+[23.IV]+[23.V]),[23.II],IF([26]=7,1,IF([26]=8,2,IF([26]&gt;8,3,""))))</f>
        <v>#VALUE!</v>
      </c>
      <c r="X3" s="182" t="e">
        <f>IF([26]=([23.I]+[23.II]+[23.III]+[23.IV]+[23.V]),[23.III],IF([26]=4,1,IF([26]=5,2,IF([26]&gt;5,3,""))))</f>
        <v>#VALUE!</v>
      </c>
      <c r="Y3" s="182" t="e">
        <f>IF([26]=([23.I]+[23.II]+[23.III]+[23.IV]+[23.V]),[23.IV],IF([26]=2,1,IF([26]&gt;2,2,"")))</f>
        <v>#VALUE!</v>
      </c>
      <c r="Z3" s="182" t="e">
        <f>IF([26]=([23.I]+[23.II]+[23.III]+[23.IV]+[23.V]),[23.V],IF([26]&gt;=1,1,""))</f>
        <v>#VALUE!</v>
      </c>
      <c r="AA3" s="92">
        <f>'2_str'!T7</f>
        <v>0</v>
      </c>
      <c r="AB3" s="92">
        <f>IF('2_str'!U7&lt;&gt;"",'2_str'!U7,"")</f>
        <v>0</v>
      </c>
      <c r="AC3" s="92">
        <f>IF('2_str'!V7&lt;&gt;"",'2_str'!V7,"")</f>
        <v>0</v>
      </c>
      <c r="AD3" s="92" t="str">
        <f>IF(I3&lt;&gt;"",'2_str'!W7,"")</f>
        <v/>
      </c>
      <c r="AE3" s="181" t="str">
        <f>IF(OR('2_str'!X7="V",'2_str'!X7="O",'2_str'!X7="R"),'2_str'!X7,"")</f>
        <v/>
      </c>
      <c r="AF3" s="181"/>
      <c r="AG3" s="92">
        <f>'1_str'!$H$19</f>
        <v>2021</v>
      </c>
    </row>
    <row r="4" spans="1:7" ht="12.75" hidden="1">
      <c r="A4" s="246" t="s">
        <v>2031</v>
      </c>
      <c r="B4" s="94" t="s">
        <v>167</v>
      </c>
      <c r="C4" s="93" t="s">
        <v>2042</v>
      </c>
      <c r="D4" s="92"/>
      <c r="E4" s="92"/>
      <c r="F4" s="92"/>
      <c r="G4" s="92"/>
    </row>
    <row r="5" spans="1:32" ht="12.75" hidden="1">
      <c r="A5" s="246" t="s">
        <v>2028</v>
      </c>
      <c r="B5" s="94" t="s">
        <v>2144</v>
      </c>
      <c r="C5" s="246" t="s">
        <v>2042</v>
      </c>
      <c r="AF5" s="93"/>
    </row>
    <row r="6" spans="1:4" ht="12.75" hidden="1">
      <c r="A6" s="246" t="s">
        <v>116</v>
      </c>
      <c r="B6">
        <f>IF('1_str'!H19&lt;&gt;"",'1_str'!H19,"")</f>
        <v>2021</v>
      </c>
      <c r="C6" s="93" t="s">
        <v>2043</v>
      </c>
      <c r="D6" t="s">
        <v>2122</v>
      </c>
    </row>
    <row r="7" spans="1:4" ht="12.75" hidden="1">
      <c r="A7" s="246" t="s">
        <v>2032</v>
      </c>
      <c r="B7" s="94" t="str">
        <f>CONCATENATE("01.01.",'1_str'!H19)</f>
        <v>01.01.2021</v>
      </c>
      <c r="C7" s="246" t="s">
        <v>2048</v>
      </c>
      <c r="D7" t="s">
        <v>166</v>
      </c>
    </row>
    <row r="8" spans="1:4" ht="12.75" hidden="1">
      <c r="A8" s="246" t="s">
        <v>2033</v>
      </c>
      <c r="B8" s="94" t="str">
        <f>CONCATENATE("31.12.",'1_str'!H19)</f>
        <v>31.12.2021</v>
      </c>
      <c r="C8" s="246" t="s">
        <v>2053</v>
      </c>
      <c r="D8" s="94"/>
    </row>
    <row r="9" spans="1:4" ht="12.75" hidden="1">
      <c r="A9" s="246" t="s">
        <v>2034</v>
      </c>
      <c r="B9" s="94" t="str">
        <f>IF('1_str'!A12="X","B",IF(AND('1_str'!C12="X",'1_str'!E12="X"),"E",IF('1_str'!E12="X","D",IF('1_str'!C12="X","O","B"))))</f>
        <v>B</v>
      </c>
      <c r="D9" s="93" t="s">
        <v>168</v>
      </c>
    </row>
    <row r="10" spans="1:3" ht="12.75" hidden="1">
      <c r="A10" s="246" t="s">
        <v>2035</v>
      </c>
      <c r="B10">
        <f>'1_str'!J13</f>
        <v>0</v>
      </c>
      <c r="C10" s="246" t="s">
        <v>2055</v>
      </c>
    </row>
    <row r="11" spans="1:4" ht="12.75" hidden="1">
      <c r="A11" s="246" t="s">
        <v>2029</v>
      </c>
      <c r="B11" s="94" t="str">
        <f>IF('1_str'!H16&lt;&gt;"",'1_str'!H16,"")</f>
        <v>A</v>
      </c>
      <c r="C11" s="246" t="s">
        <v>2044</v>
      </c>
      <c r="D11" t="s">
        <v>2121</v>
      </c>
    </row>
    <row r="12" spans="1:5" ht="13.5" hidden="1" thickBot="1">
      <c r="A12" s="246" t="s">
        <v>2030</v>
      </c>
      <c r="B12" s="103">
        <f>'2_str'!I15</f>
        <v>0</v>
      </c>
      <c r="C12" s="246" t="s">
        <v>2045</v>
      </c>
      <c r="D12" s="98" t="s">
        <v>21</v>
      </c>
      <c r="E12" s="93" t="s">
        <v>169</v>
      </c>
    </row>
    <row r="13" spans="1:5" ht="14.25" hidden="1" thickTop="1" thickBot="1">
      <c r="A13" s="246" t="s">
        <v>2036</v>
      </c>
      <c r="B13" s="103">
        <f>'2_str'!L15</f>
        <v>0</v>
      </c>
      <c r="C13" s="93" t="s">
        <v>2051</v>
      </c>
      <c r="D13" s="99" t="str">
        <f>IF('2_str'!K23&lt;&gt;"",'2_str'!K23,"")</f>
        <v/>
      </c>
      <c r="E13" s="242" t="str">
        <f>IF('2_str'!L23&lt;&gt;"",'2_str'!L23,"")</f>
        <v/>
      </c>
    </row>
    <row r="14" spans="1:5" ht="13.5" hidden="1" thickTop="1">
      <c r="A14" s="246" t="s">
        <v>2037</v>
      </c>
      <c r="B14" s="103">
        <f>'2_str'!Q15</f>
        <v>0</v>
      </c>
      <c r="C14" s="247" t="s">
        <v>2054</v>
      </c>
      <c r="D14" s="99" t="str">
        <f>IF('2_str'!K24&lt;&gt;"",'2_str'!K24,"")</f>
        <v/>
      </c>
      <c r="E14" s="100" t="str">
        <f>IF('2_str'!L24&lt;&gt;"",'2_str'!L24,"")</f>
        <v/>
      </c>
    </row>
    <row r="15" spans="1:5" ht="12.75" hidden="1">
      <c r="A15" s="246" t="s">
        <v>2038</v>
      </c>
      <c r="B15" s="103">
        <f>'2_str'!U15</f>
        <v>0</v>
      </c>
      <c r="C15" s="246" t="s">
        <v>2052</v>
      </c>
      <c r="D15" s="101" t="str">
        <f>IF('2_str'!K25&lt;&gt;"",'2_str'!K25,"")</f>
        <v/>
      </c>
      <c r="E15" s="102" t="str">
        <f>IF('2_str'!L25&lt;&gt;"",'2_str'!L25,"")</f>
        <v/>
      </c>
    </row>
    <row r="16" spans="1:5" ht="12.75" hidden="1">
      <c r="A16" s="246" t="s">
        <v>2039</v>
      </c>
      <c r="B16" t="str">
        <f>IF('2_str'!D22&lt;&gt;0,'2_str'!D22,"")</f>
        <v/>
      </c>
      <c r="C16" s="246" t="s">
        <v>2047</v>
      </c>
      <c r="D16" s="101" t="str">
        <f>IF('2_str'!K26&lt;&gt;"",'2_str'!K26,"")</f>
        <v/>
      </c>
      <c r="E16" s="102" t="str">
        <f>IF('2_str'!L26&lt;&gt;"",'2_str'!L26,"")</f>
        <v/>
      </c>
    </row>
    <row r="17" spans="1:3" ht="12.75" hidden="1">
      <c r="A17" s="246" t="s">
        <v>2040</v>
      </c>
      <c r="B17">
        <f>'2_str'!D25</f>
        <v>0</v>
      </c>
      <c r="C17" s="93" t="s">
        <v>2050</v>
      </c>
    </row>
    <row r="18" spans="1:4" ht="12.75" hidden="1">
      <c r="A18" s="246" t="s">
        <v>163</v>
      </c>
      <c r="B18" s="94" t="str">
        <f>IF('2_str'!V18&gt;0,TEXT('2_str'!V18,"dd.mm.rrrr"),"")</f>
        <v/>
      </c>
      <c r="C18" s="93" t="s">
        <v>2046</v>
      </c>
      <c r="D18" t="s">
        <v>2120</v>
      </c>
    </row>
    <row r="19" spans="1:4" ht="12.75" hidden="1">
      <c r="A19" s="246" t="s">
        <v>2027</v>
      </c>
      <c r="B19" s="94" t="str">
        <f>IF('1_str'!I16&lt;&gt;"",'1_str'!I16,"")</f>
        <v/>
      </c>
      <c r="C19" s="246" t="s">
        <v>2041</v>
      </c>
      <c r="D19" t="s">
        <v>171</v>
      </c>
    </row>
    <row r="20" spans="1:3" ht="12.75" hidden="1">
      <c r="A20" s="246" t="s">
        <v>170</v>
      </c>
      <c r="B20" t="str">
        <f>IFERROR(VLOOKUP(ZAKL_DATA!B13,FU!B3:C17,2,FALSE),"")</f>
        <v/>
      </c>
      <c r="C20" s="246" t="s">
        <v>2049</v>
      </c>
    </row>
    <row r="22" spans="3:3" ht="12.75" hidden="1">
      <c r="C22" s="95"/>
    </row>
    <row r="23" spans="1:3" ht="12.75" hidden="1">
      <c r="A23" s="245" t="s">
        <v>2056</v>
      </c>
      <c r="C23" s="95"/>
    </row>
    <row r="24" spans="1:3" ht="12.75" hidden="1">
      <c r="A24" s="246" t="s">
        <v>2057</v>
      </c>
      <c r="B24" s="94" t="str">
        <f>MID(ZAKL_DATA!D2,3,10)</f>
        <v/>
      </c>
      <c r="C24" s="93" t="s">
        <v>2119</v>
      </c>
    </row>
    <row r="25" spans="1:3" ht="12.75" hidden="1">
      <c r="A25" s="246" t="s">
        <v>164</v>
      </c>
      <c r="B25" s="94" t="str">
        <f>+MID(ZAKL_DATA!D2,3,20)</f>
        <v/>
      </c>
      <c r="C25" s="93" t="s">
        <v>2119</v>
      </c>
    </row>
    <row r="26" spans="1:3" ht="12.75" hidden="1">
      <c r="A26" s="246" t="s">
        <v>2058</v>
      </c>
      <c r="B26" s="94" t="str">
        <f>IF(ZAKL_DATA!D4&gt;0,"P","F")</f>
        <v>F</v>
      </c>
      <c r="C26" t="s">
        <v>2118</v>
      </c>
    </row>
    <row r="27" spans="1:3" ht="12.75" hidden="1">
      <c r="A27" s="246" t="s">
        <v>2059</v>
      </c>
      <c r="B27" s="94" t="str">
        <f>IF(ZAKL_DATA!B5&lt;&gt;"",ZAKL_DATA!B5,"")</f>
        <v/>
      </c>
      <c r="C27" t="s">
        <v>2117</v>
      </c>
    </row>
    <row r="28" spans="1:3" ht="12.75" hidden="1">
      <c r="A28" s="246" t="s">
        <v>2060</v>
      </c>
      <c r="B28" s="94" t="str">
        <f>IF(ZAKL_DATA!B6&lt;&gt;"",ZAKL_DATA!B6,"")</f>
        <v/>
      </c>
      <c r="C28" s="93" t="s">
        <v>2093</v>
      </c>
    </row>
    <row r="29" spans="1:3" ht="12.75" hidden="1">
      <c r="A29" s="246" t="s">
        <v>2061</v>
      </c>
      <c r="B29" s="94" t="str">
        <f>IF(ZAKL_DATA!B4&lt;&gt;"",ZAKL_DATA!B4,"")</f>
        <v/>
      </c>
      <c r="C29" t="s">
        <v>2114</v>
      </c>
    </row>
    <row r="30" spans="1:3" ht="12.75" hidden="1">
      <c r="A30" s="246" t="s">
        <v>172</v>
      </c>
      <c r="B30" s="94" t="str">
        <f>IF(ZAKL_DATA!B7&lt;&gt;"",ZAKL_DATA!B7,"")</f>
        <v/>
      </c>
      <c r="C30" s="93" t="s">
        <v>2116</v>
      </c>
    </row>
    <row r="31" spans="1:3" ht="12.75" hidden="1">
      <c r="A31" s="246" t="s">
        <v>2062</v>
      </c>
      <c r="B31" s="94" t="str">
        <f>IF(ZAKL_DATA!D4&lt;&gt;"",ZAKL_DATA!D4,"")</f>
        <v/>
      </c>
      <c r="C31" t="s">
        <v>2115</v>
      </c>
    </row>
    <row r="32" spans="1:3" ht="12.75" hidden="1">
      <c r="A32" s="246" t="s">
        <v>2063</v>
      </c>
      <c r="B32" s="94" t="str">
        <f>IF(ZAKL_DATA!B18&lt;&gt;"",ZAKL_DATA!B18,"")</f>
        <v/>
      </c>
      <c r="C32" t="s">
        <v>2113</v>
      </c>
    </row>
    <row r="33" spans="1:3" ht="12.75" hidden="1">
      <c r="A33" s="246" t="s">
        <v>2064</v>
      </c>
      <c r="C33" t="s">
        <v>2112</v>
      </c>
    </row>
    <row r="34" spans="1:3" ht="12.75" hidden="1">
      <c r="A34" s="246" t="s">
        <v>2065</v>
      </c>
      <c r="B34" s="94" t="str">
        <f>IF(ZAKL_DATA!B16&lt;&gt;"",ZAKL_DATA!B16,"")</f>
        <v/>
      </c>
      <c r="C34" t="s">
        <v>2088</v>
      </c>
    </row>
    <row r="35" spans="1:3" ht="12.75" hidden="1">
      <c r="A35" s="246" t="s">
        <v>1992</v>
      </c>
      <c r="B35">
        <f>IF(ISNUMBER(FIND("/",ZAKL_DATA!B17)),LEFT(ZAKL_DATA!B17,(FIND("/",ZAKL_DATA!B17,1))-1),ZAKL_DATA!B17)</f>
        <v>0</v>
      </c>
      <c r="C35" t="s">
        <v>2111</v>
      </c>
    </row>
    <row r="36" spans="1:3" ht="12.75" hidden="1">
      <c r="A36" s="246" t="s">
        <v>1993</v>
      </c>
      <c r="B36" s="94" t="str">
        <f>IF(ISNUMBER(FIND("/",ZAKL_DATA!B17)),MID(ZAKL_DATA!B17,(FIND("/",ZAKL_DATA!B17,1))+1,LEN(ZAKL_DATA!B17)),"")</f>
        <v/>
      </c>
      <c r="C36" t="s">
        <v>2111</v>
      </c>
    </row>
    <row r="37" spans="1:3" ht="12.75" hidden="1">
      <c r="A37" s="246" t="s">
        <v>2066</v>
      </c>
      <c r="B37" s="247" t="str">
        <f>IF(ZAKL_DATA!B19&lt;&gt;"",ZAKL_DATA!B19,"")</f>
        <v/>
      </c>
      <c r="C37" s="246" t="s">
        <v>2088</v>
      </c>
    </row>
    <row r="38" spans="1:3" ht="12.75" hidden="1">
      <c r="A38" s="246" t="s">
        <v>2067</v>
      </c>
      <c r="B38" s="94" t="str">
        <f>IFERROR(VLOOKUP(ZAKL_DATA!B20,Ciselnik!P3:P253,1,FALSE),"")</f>
        <v/>
      </c>
      <c r="C38" s="246" t="s">
        <v>2094</v>
      </c>
    </row>
    <row r="39" spans="1:3" ht="12.75" hidden="1">
      <c r="A39" s="246" t="s">
        <v>2068</v>
      </c>
      <c r="B39" s="176" t="str">
        <f>IF(ZAKL_DATA!B25&lt;&gt;"",ZAKL_DATA!B25,"")</f>
        <v/>
      </c>
      <c r="C39" t="s">
        <v>2110</v>
      </c>
    </row>
    <row r="40" spans="1:3" ht="12.75" hidden="1">
      <c r="A40" s="246" t="s">
        <v>2069</v>
      </c>
      <c r="B40" s="94" t="str">
        <f>IF(AND(ZAKL_DATA!D4&lt;&gt;"",ZAKL_DATA!D15&lt;&gt;"",'2_str'!L29&lt;&gt;"4a",'2_str'!L29&lt;&gt;"4b"),ZAKL_DATA!D15,"")</f>
        <v/>
      </c>
      <c r="C40" s="246" t="s">
        <v>2090</v>
      </c>
    </row>
    <row r="41" spans="1:3" ht="12.75" hidden="1">
      <c r="A41" s="246" t="s">
        <v>2070</v>
      </c>
      <c r="B41" s="94" t="str">
        <f>IF(AND(ZAKL_DATA!D4&lt;&gt;"",ZAKL_DATA!D14&lt;&gt;"",'2_str'!L29&lt;&gt;"4a",'2_str'!L29&lt;&gt;"4b"),ZAKL_DATA!D14,"")</f>
        <v/>
      </c>
      <c r="C41" s="246" t="s">
        <v>2089</v>
      </c>
    </row>
    <row r="42" spans="1:3" ht="12.75" hidden="1">
      <c r="A42" s="246" t="s">
        <v>2071</v>
      </c>
      <c r="B42" s="94" t="str">
        <f>IF(AND(ZAKL_DATA!D4&lt;&gt;"",ZAKL_DATA!D16&lt;&gt;"",'2_str'!L29&lt;&gt;"4a",'2_str'!L29&lt;&gt;"4b"),ZAKL_DATA!D16,"")</f>
        <v/>
      </c>
      <c r="C42" s="246" t="s">
        <v>2092</v>
      </c>
    </row>
    <row r="43" spans="1:3" ht="12.75" hidden="1">
      <c r="A43" s="246" t="s">
        <v>2072</v>
      </c>
      <c r="B43" s="94" t="str">
        <f>IF(AND(ZAKL_DATA!D4&lt;&gt;"",ZAKL_DATA!D17&lt;&gt;"",'2_str'!L29&lt;&gt;"4a",'2_str'!L29&lt;&gt;"4b"),ZAKL_DATA!D17,"")</f>
        <v/>
      </c>
      <c r="C43" s="246" t="s">
        <v>2091</v>
      </c>
    </row>
    <row r="44" spans="1:3" ht="12.75" hidden="1">
      <c r="A44" s="246" t="s">
        <v>2073</v>
      </c>
      <c r="B44" s="94" t="str">
        <f>IF(ZAKL_DATA!D31&lt;&gt;"",ZAKL_DATA!D31,"")</f>
        <v/>
      </c>
      <c r="C44" s="103" t="s">
        <v>2109</v>
      </c>
    </row>
    <row r="45" spans="1:3" ht="12.75" hidden="1">
      <c r="A45" s="246" t="s">
        <v>2074</v>
      </c>
      <c r="B45" s="94" t="str">
        <f>IF(ZAKL_DATA!D30&lt;&gt;"",ZAKL_DATA!D30,"")</f>
        <v/>
      </c>
      <c r="C45" s="103" t="s">
        <v>2108</v>
      </c>
    </row>
    <row r="46" spans="1:3" ht="12.75" hidden="1">
      <c r="A46" s="246" t="s">
        <v>2075</v>
      </c>
      <c r="B46" s="94" t="str">
        <f>IF(ZAKL_DATA!D32&lt;&gt;"",ZAKL_DATA!D32,"")</f>
        <v/>
      </c>
      <c r="C46" s="103" t="s">
        <v>2107</v>
      </c>
    </row>
    <row r="47" spans="1:3" ht="12.75" hidden="1">
      <c r="A47" s="246" t="s">
        <v>2076</v>
      </c>
      <c r="B47" s="94" t="str">
        <f>IF(ZAKL_DATA!D33&lt;&gt;"",ZAKL_DATA!D33,"")</f>
        <v/>
      </c>
      <c r="C47" t="s">
        <v>2106</v>
      </c>
    </row>
    <row r="48" spans="1:3" ht="12.75" hidden="1">
      <c r="A48" s="246" t="s">
        <v>2077</v>
      </c>
      <c r="B48" s="94" t="str">
        <f>IF('2_str'!L29&lt;&gt;"",'2_str'!L29,"")</f>
        <v/>
      </c>
      <c r="C48" s="246" t="s">
        <v>2102</v>
      </c>
    </row>
    <row r="49" spans="1:5" ht="12.75" hidden="1">
      <c r="A49" s="246" t="s">
        <v>2078</v>
      </c>
      <c r="B49" s="94" t="str">
        <f>IF(OR('2_str'!L29="4a",'2_str'!L29="4b"),"F",IF(OR('2_str'!L29="4c",'2_str'!L29="4d"),"P",""))</f>
        <v/>
      </c>
      <c r="C49" s="246" t="s">
        <v>2101</v>
      </c>
      <c r="D49" s="92"/>
      <c r="E49" s="92"/>
    </row>
    <row r="50" spans="1:5" ht="12.75" hidden="1">
      <c r="A50" s="246" t="s">
        <v>2079</v>
      </c>
      <c r="B50" s="104" t="str">
        <f>IF(AND(OR(B53&lt;&gt;"",B54&lt;&gt;""),ZAKL_DATA!D21&lt;&gt;"",'2_str'!L29&lt;&gt;""),ZAKL_DATA!D21,"")</f>
        <v/>
      </c>
      <c r="C50" s="246" t="s">
        <v>2098</v>
      </c>
      <c r="D50" s="92"/>
      <c r="E50" s="92"/>
    </row>
    <row r="51" spans="1:5" ht="12.75" hidden="1">
      <c r="A51" s="246" t="s">
        <v>2080</v>
      </c>
      <c r="B51" s="104" t="str">
        <f>IF(AND(OR(B53&lt;&gt;"",B54&lt;&gt;""),ZAKL_DATA!D20&lt;&gt;"",'2_str'!L29&lt;&gt;""),ZAKL_DATA!D20,"")</f>
        <v/>
      </c>
      <c r="C51" s="246" t="s">
        <v>2099</v>
      </c>
      <c r="D51" s="92"/>
      <c r="E51" s="92"/>
    </row>
    <row r="52" spans="1:5" ht="12.75" hidden="1">
      <c r="A52" s="246" t="s">
        <v>2081</v>
      </c>
      <c r="B52" s="104" t="str">
        <f>IF(AND('2_str'!A31&lt;&gt;"",'2_str'!L29&lt;&gt;""),'2_str'!A31,"")</f>
        <v/>
      </c>
      <c r="C52" s="95" t="s">
        <v>2100</v>
      </c>
      <c r="D52" s="92"/>
      <c r="E52" s="92"/>
    </row>
    <row r="53" spans="1:5" ht="12.75" hidden="1">
      <c r="A53" s="246" t="s">
        <v>2082</v>
      </c>
      <c r="B53" s="104" t="str">
        <f>IF(AND(LEN('2_str'!R31)&gt;6,ISNUMBER(SEARCH(".",'2_str'!R31)),'2_str'!L29&lt;&gt;""),'2_str'!R31,"")</f>
        <v/>
      </c>
      <c r="C53" s="246" t="s">
        <v>2096</v>
      </c>
      <c r="D53" s="92"/>
      <c r="E53" s="92"/>
    </row>
    <row r="54" spans="1:5" ht="12.75" hidden="1">
      <c r="A54" s="246" t="s">
        <v>2083</v>
      </c>
      <c r="B54" s="104" t="str">
        <f>IF(AND(LEN('2_str'!R31)&lt;=4,'2_str'!R31&lt;&gt;"",'2_str'!L29&lt;&gt;""),'2_str'!R31,"")</f>
        <v/>
      </c>
      <c r="C54" s="246" t="s">
        <v>2097</v>
      </c>
      <c r="D54" s="92"/>
      <c r="E54" s="92"/>
    </row>
    <row r="55" spans="1:7" ht="12.75" hidden="1">
      <c r="A55" s="246" t="s">
        <v>2084</v>
      </c>
      <c r="B55" s="104" t="str">
        <f>IF(AND(LEN('2_str'!R31)&lt;9,LEN('2_str'!R31)&gt;5,'2_str'!L29&lt;&gt;""),'2_str'!R31,"")</f>
        <v/>
      </c>
      <c r="C55" s="93" t="s">
        <v>2095</v>
      </c>
      <c r="D55" s="92"/>
      <c r="E55" s="92"/>
      <c r="F55" s="92"/>
      <c r="G55" s="92"/>
    </row>
    <row r="56" spans="1:7" ht="12.75" hidden="1">
      <c r="A56" s="246" t="s">
        <v>2085</v>
      </c>
      <c r="B56" t="str">
        <f>IFERROR(VLOOKUP(ZAKL_DATA!B14,FU!E3:F204,2,FALSE),"")</f>
        <v/>
      </c>
      <c r="C56" s="248" t="s">
        <v>2103</v>
      </c>
      <c r="D56" s="92"/>
      <c r="E56" s="92"/>
      <c r="F56" s="92"/>
      <c r="G56" s="92"/>
    </row>
    <row r="57" spans="1:7" ht="12.75" hidden="1">
      <c r="A57" s="246" t="s">
        <v>2086</v>
      </c>
      <c r="B57" s="94" t="str">
        <f>IF('1_str'!A45&lt;&gt;"",'1_str'!A45,"")</f>
        <v/>
      </c>
      <c r="C57" s="246" t="s">
        <v>2104</v>
      </c>
      <c r="D57" s="92"/>
      <c r="E57" s="92"/>
      <c r="F57" s="92"/>
      <c r="G57" s="92"/>
    </row>
    <row r="58" spans="1:7" ht="12.75" hidden="1">
      <c r="A58" s="246" t="s">
        <v>2087</v>
      </c>
      <c r="B58" s="104" t="str">
        <f>IF(ISNUMBER(FIND("@",'1_str'!G43)),'1_str'!G43,"")</f>
        <v/>
      </c>
      <c r="C58" s="246" t="s">
        <v>2105</v>
      </c>
      <c r="D58" s="92"/>
      <c r="E58" s="92"/>
      <c r="F58" s="92"/>
      <c r="G58" s="92"/>
    </row>
    <row r="59" spans="4:7" ht="12.75" hidden="1">
      <c r="D59" s="92"/>
      <c r="E59" s="92"/>
      <c r="F59" s="92"/>
      <c r="G59" s="92"/>
    </row>
    <row r="60" spans="3:7" ht="12.75" hidden="1">
      <c r="C60" s="94"/>
      <c r="D60" s="92"/>
      <c r="E60" s="92"/>
      <c r="F60" s="92"/>
      <c r="G60" s="92"/>
    </row>
    <row r="61" spans="4:7" ht="12.75" hidden="1">
      <c r="D61" s="92"/>
      <c r="E61" s="92"/>
      <c r="F61" s="92"/>
      <c r="G61" s="92"/>
    </row>
    <row r="62" spans="4:7" ht="12.75" hidden="1">
      <c r="D62" s="92"/>
      <c r="E62" s="92"/>
      <c r="F62" s="92"/>
      <c r="G62" s="92"/>
    </row>
    <row r="63" spans="3:7" ht="12.75" hidden="1">
      <c r="C63" s="96"/>
      <c r="D63" s="92"/>
      <c r="E63" s="92"/>
      <c r="F63" s="92"/>
      <c r="G63" s="92"/>
    </row>
    <row r="64" spans="4:7" ht="12.75" hidden="1">
      <c r="D64" s="92"/>
      <c r="E64" s="92"/>
      <c r="F64" s="92"/>
      <c r="G64" s="92"/>
    </row>
    <row r="65" spans="3:7" ht="12.75" hidden="1">
      <c r="C65" s="93"/>
      <c r="D65" s="92"/>
      <c r="E65" s="92"/>
      <c r="F65" s="92"/>
      <c r="G65" s="92"/>
    </row>
    <row r="66" spans="6:7" ht="12.75" hidden="1">
      <c r="F66" s="92"/>
      <c r="G66" s="92"/>
    </row>
    <row r="67" spans="6:7" ht="12.75" hidden="1">
      <c r="F67" s="92"/>
      <c r="G67" s="92"/>
    </row>
    <row r="68" spans="3:7" ht="12.75" hidden="1">
      <c r="C68" s="93"/>
      <c r="F68" s="92"/>
      <c r="G68" s="92"/>
    </row>
    <row r="69" spans="6:7" ht="12.75" hidden="1">
      <c r="F69" s="92"/>
      <c r="G69" s="92"/>
    </row>
    <row r="70" spans="6:7" ht="12.75" hidden="1">
      <c r="F70" s="92"/>
      <c r="G70" s="92"/>
    </row>
    <row r="71" spans="6:7" ht="12.75" hidden="1">
      <c r="F71" s="92"/>
      <c r="G71" s="92"/>
    </row>
    <row r="72" spans="3:3" ht="12.75" hidden="1">
      <c r="C72" s="93"/>
    </row>
    <row r="80" spans="3:3" ht="12.75" hidden="1">
      <c r="C80" s="93"/>
    </row>
    <row r="81" spans="3:3" ht="12.75" hidden="1">
      <c r="C81" s="96"/>
    </row>
    <row r="82" spans="3:3" ht="12.75" hidden="1">
      <c r="C82" s="96"/>
    </row>
    <row r="83" spans="3:3" ht="12.75" hidden="1">
      <c r="C83" s="104"/>
    </row>
    <row r="84" spans="3:3" ht="12.75" hidden="1">
      <c r="C84" s="104"/>
    </row>
    <row r="98" spans="3:3" ht="12.75" hidden="1">
      <c r="C98" s="92"/>
    </row>
    <row r="99" spans="3:3" ht="12.75" hidden="1">
      <c r="C99" s="92"/>
    </row>
    <row r="100" spans="3:3" ht="12.75" hidden="1" thickBot="1">
      <c r="C100" s="92"/>
    </row>
  </sheetData>
  <sheetProtection algorithmName="SHA-512" hashValue="MnEVn+rvqKegtxHBpz8NmCjRBdQ+ZeMs8mkRN0hd27JCTy4Zd7ldTE27B2S4euaPoliu7FEBubZIgEFvzvWQ3A==" saltValue="JEvymWJurc3ofAkSrhgnjA==" spinCount="100000" sheet="1" objects="1" scenarios="1"/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ColWidth="8.85428571428571" defaultRowHeight="12.75"/>
  <sheetData>
    <row r="1" spans="1:14" ht="16.5" thickBot="1">
      <c r="A1" s="106" t="s">
        <v>173</v>
      </c>
      <c r="B1" s="107" t="s">
        <v>174</v>
      </c>
      <c r="C1" s="107" t="s">
        <v>175</v>
      </c>
      <c r="D1" s="108" t="s">
        <v>176</v>
      </c>
      <c r="E1" s="109" t="s">
        <v>177</v>
      </c>
      <c r="H1" s="596" t="s">
        <v>178</v>
      </c>
      <c r="I1" s="597"/>
      <c r="J1" s="598"/>
      <c r="K1" s="596" t="s">
        <v>179</v>
      </c>
      <c r="L1" s="598"/>
      <c r="M1" s="599" t="s">
        <v>180</v>
      </c>
      <c r="N1" s="600"/>
    </row>
    <row r="2" spans="1:14" ht="51.75" thickBot="1">
      <c r="A2" s="110">
        <v>1</v>
      </c>
      <c r="B2" s="111" t="s">
        <v>181</v>
      </c>
      <c r="C2" s="111">
        <v>13</v>
      </c>
      <c r="D2" s="111" t="s">
        <v>182</v>
      </c>
      <c r="E2" s="111">
        <v>77620021</v>
      </c>
      <c r="H2" s="112" t="s">
        <v>183</v>
      </c>
      <c r="I2" s="112" t="s">
        <v>184</v>
      </c>
      <c r="J2" s="112" t="s">
        <v>185</v>
      </c>
      <c r="K2" s="112" t="s">
        <v>186</v>
      </c>
      <c r="L2" s="112" t="s">
        <v>187</v>
      </c>
      <c r="M2" s="112" t="s">
        <v>186</v>
      </c>
      <c r="N2" s="112" t="s">
        <v>187</v>
      </c>
    </row>
    <row r="3" spans="1:17" ht="63.75">
      <c r="A3" s="113">
        <v>2</v>
      </c>
      <c r="B3" s="111" t="s">
        <v>188</v>
      </c>
      <c r="C3" s="111">
        <v>451</v>
      </c>
      <c r="D3" s="111" t="s">
        <v>182</v>
      </c>
      <c r="E3" s="111">
        <v>77628031</v>
      </c>
      <c r="G3" s="97"/>
      <c r="H3" s="114">
        <v>203</v>
      </c>
      <c r="I3" s="115" t="s">
        <v>99</v>
      </c>
      <c r="J3" s="116" t="s">
        <v>189</v>
      </c>
      <c r="K3" s="117" t="s">
        <v>190</v>
      </c>
      <c r="L3" s="117" t="s">
        <v>191</v>
      </c>
      <c r="M3" s="117" t="s">
        <v>192</v>
      </c>
      <c r="N3" s="118" t="s">
        <v>193</v>
      </c>
      <c r="P3" s="117" t="s">
        <v>190</v>
      </c>
      <c r="Q3" s="116" t="s">
        <v>99</v>
      </c>
    </row>
    <row r="4" spans="1:17" ht="51">
      <c r="A4" s="113">
        <v>3</v>
      </c>
      <c r="B4" s="111" t="s">
        <v>194</v>
      </c>
      <c r="C4" s="111">
        <v>452</v>
      </c>
      <c r="D4" s="111" t="s">
        <v>182</v>
      </c>
      <c r="E4" s="111">
        <v>77628111</v>
      </c>
      <c r="G4" s="97"/>
      <c r="H4" s="114">
        <v>4</v>
      </c>
      <c r="I4" s="115" t="s">
        <v>195</v>
      </c>
      <c r="J4" s="116" t="s">
        <v>196</v>
      </c>
      <c r="K4" s="118" t="s">
        <v>197</v>
      </c>
      <c r="L4" s="118" t="s">
        <v>198</v>
      </c>
      <c r="M4" s="117" t="s">
        <v>199</v>
      </c>
      <c r="N4" s="118" t="s">
        <v>200</v>
      </c>
      <c r="P4" s="118" t="s">
        <v>197</v>
      </c>
      <c r="Q4" s="116" t="s">
        <v>195</v>
      </c>
    </row>
    <row r="5" spans="1:17" ht="51">
      <c r="A5" s="113">
        <v>4</v>
      </c>
      <c r="B5" s="111" t="s">
        <v>201</v>
      </c>
      <c r="C5" s="111">
        <v>453</v>
      </c>
      <c r="D5" s="111" t="s">
        <v>202</v>
      </c>
      <c r="E5" s="111">
        <v>77627231</v>
      </c>
      <c r="G5" s="97"/>
      <c r="H5" s="114">
        <v>248</v>
      </c>
      <c r="I5" s="115" t="s">
        <v>203</v>
      </c>
      <c r="J5" s="116" t="s">
        <v>204</v>
      </c>
      <c r="K5" s="118" t="s">
        <v>205</v>
      </c>
      <c r="L5" s="118" t="s">
        <v>206</v>
      </c>
      <c r="M5" s="117" t="s">
        <v>207</v>
      </c>
      <c r="N5" s="118" t="s">
        <v>207</v>
      </c>
      <c r="P5" s="118" t="s">
        <v>205</v>
      </c>
      <c r="Q5" s="116" t="s">
        <v>203</v>
      </c>
    </row>
    <row r="6" spans="1:17" ht="51">
      <c r="A6" s="113">
        <v>5</v>
      </c>
      <c r="B6" s="111" t="s">
        <v>208</v>
      </c>
      <c r="C6" s="111">
        <v>454</v>
      </c>
      <c r="D6" s="111" t="s">
        <v>209</v>
      </c>
      <c r="E6" s="111">
        <v>77627311</v>
      </c>
      <c r="H6" s="114">
        <v>8</v>
      </c>
      <c r="I6" s="115" t="s">
        <v>210</v>
      </c>
      <c r="J6" s="116" t="s">
        <v>211</v>
      </c>
      <c r="K6" s="117" t="s">
        <v>212</v>
      </c>
      <c r="L6" s="118" t="s">
        <v>213</v>
      </c>
      <c r="M6" s="117" t="s">
        <v>214</v>
      </c>
      <c r="N6" s="118" t="s">
        <v>215</v>
      </c>
      <c r="P6" s="117" t="s">
        <v>212</v>
      </c>
      <c r="Q6" s="116" t="s">
        <v>210</v>
      </c>
    </row>
    <row r="7" spans="1:17" ht="51">
      <c r="A7" s="113">
        <v>6</v>
      </c>
      <c r="B7" s="111" t="s">
        <v>216</v>
      </c>
      <c r="C7" s="111">
        <v>455</v>
      </c>
      <c r="D7" s="111" t="s">
        <v>217</v>
      </c>
      <c r="E7" s="111">
        <v>77629341</v>
      </c>
      <c r="H7" s="114">
        <v>12</v>
      </c>
      <c r="I7" s="115" t="s">
        <v>218</v>
      </c>
      <c r="J7" s="116" t="s">
        <v>219</v>
      </c>
      <c r="K7" s="117" t="s">
        <v>220</v>
      </c>
      <c r="L7" s="118" t="s">
        <v>221</v>
      </c>
      <c r="M7" s="117" t="s">
        <v>222</v>
      </c>
      <c r="N7" s="118" t="s">
        <v>223</v>
      </c>
      <c r="P7" s="117" t="s">
        <v>220</v>
      </c>
      <c r="Q7" s="116" t="s">
        <v>218</v>
      </c>
    </row>
    <row r="8" spans="1:17" ht="51">
      <c r="A8" s="113">
        <v>7</v>
      </c>
      <c r="B8" s="111" t="s">
        <v>224</v>
      </c>
      <c r="C8" s="111">
        <v>456</v>
      </c>
      <c r="D8" s="111" t="s">
        <v>225</v>
      </c>
      <c r="E8" s="111">
        <v>77621411</v>
      </c>
      <c r="H8" s="114">
        <v>16</v>
      </c>
      <c r="I8" s="115" t="s">
        <v>226</v>
      </c>
      <c r="J8" s="116" t="s">
        <v>227</v>
      </c>
      <c r="K8" s="117" t="s">
        <v>228</v>
      </c>
      <c r="L8" s="118" t="s">
        <v>229</v>
      </c>
      <c r="M8" s="117" t="s">
        <v>230</v>
      </c>
      <c r="N8" s="118" t="s">
        <v>230</v>
      </c>
      <c r="P8" s="117" t="s">
        <v>228</v>
      </c>
      <c r="Q8" s="116" t="s">
        <v>226</v>
      </c>
    </row>
    <row r="9" spans="1:17" ht="51">
      <c r="A9" s="113">
        <v>8</v>
      </c>
      <c r="B9" s="111" t="s">
        <v>231</v>
      </c>
      <c r="C9" s="111">
        <v>457</v>
      </c>
      <c r="D9" s="111" t="s">
        <v>232</v>
      </c>
      <c r="E9" s="111">
        <v>77628461</v>
      </c>
      <c r="H9" s="114">
        <v>850</v>
      </c>
      <c r="I9" s="115" t="s">
        <v>233</v>
      </c>
      <c r="J9" s="116" t="s">
        <v>234</v>
      </c>
      <c r="K9" s="117" t="s">
        <v>235</v>
      </c>
      <c r="L9" s="118" t="s">
        <v>235</v>
      </c>
      <c r="M9" s="117" t="s">
        <v>236</v>
      </c>
      <c r="N9" s="118" t="s">
        <v>237</v>
      </c>
      <c r="P9" s="117" t="s">
        <v>235</v>
      </c>
      <c r="Q9" s="116" t="s">
        <v>233</v>
      </c>
    </row>
    <row r="10" spans="1:17" ht="63.75">
      <c r="A10" s="113">
        <v>9</v>
      </c>
      <c r="B10" s="111" t="s">
        <v>238</v>
      </c>
      <c r="C10" s="111">
        <v>458</v>
      </c>
      <c r="D10" s="111" t="s">
        <v>239</v>
      </c>
      <c r="E10" s="111">
        <v>77626511</v>
      </c>
      <c r="H10" s="114">
        <v>20</v>
      </c>
      <c r="I10" s="115" t="s">
        <v>240</v>
      </c>
      <c r="J10" s="116" t="s">
        <v>241</v>
      </c>
      <c r="K10" s="117" t="s">
        <v>242</v>
      </c>
      <c r="L10" s="118" t="s">
        <v>243</v>
      </c>
      <c r="M10" s="117" t="s">
        <v>244</v>
      </c>
      <c r="N10" s="118" t="s">
        <v>243</v>
      </c>
      <c r="P10" s="117" t="s">
        <v>242</v>
      </c>
      <c r="Q10" s="116" t="s">
        <v>240</v>
      </c>
    </row>
    <row r="11" spans="1:17" ht="51">
      <c r="A11" s="113">
        <v>10</v>
      </c>
      <c r="B11" s="111" t="s">
        <v>245</v>
      </c>
      <c r="C11" s="111">
        <v>459</v>
      </c>
      <c r="D11" s="111" t="s">
        <v>246</v>
      </c>
      <c r="E11" s="111">
        <v>77622561</v>
      </c>
      <c r="H11" s="114">
        <v>24</v>
      </c>
      <c r="I11" s="115" t="s">
        <v>247</v>
      </c>
      <c r="J11" s="116" t="s">
        <v>248</v>
      </c>
      <c r="K11" s="117" t="s">
        <v>249</v>
      </c>
      <c r="L11" s="118" t="s">
        <v>250</v>
      </c>
      <c r="M11" s="117" t="s">
        <v>251</v>
      </c>
      <c r="N11" s="118" t="s">
        <v>250</v>
      </c>
      <c r="P11" s="117" t="s">
        <v>249</v>
      </c>
      <c r="Q11" s="116" t="s">
        <v>247</v>
      </c>
    </row>
    <row r="12" spans="1:17" ht="51">
      <c r="A12" s="113">
        <v>11</v>
      </c>
      <c r="B12" s="111" t="s">
        <v>252</v>
      </c>
      <c r="C12" s="111">
        <v>460</v>
      </c>
      <c r="D12" s="111" t="s">
        <v>253</v>
      </c>
      <c r="E12" s="111">
        <v>67626681</v>
      </c>
      <c r="H12" s="114">
        <v>660</v>
      </c>
      <c r="I12" s="115" t="s">
        <v>254</v>
      </c>
      <c r="J12" s="116" t="s">
        <v>255</v>
      </c>
      <c r="K12" s="117" t="s">
        <v>256</v>
      </c>
      <c r="L12" s="118" t="s">
        <v>256</v>
      </c>
      <c r="M12" s="117" t="s">
        <v>256</v>
      </c>
      <c r="N12" s="118" t="s">
        <v>256</v>
      </c>
      <c r="P12" s="117" t="s">
        <v>256</v>
      </c>
      <c r="Q12" s="116" t="s">
        <v>254</v>
      </c>
    </row>
    <row r="13" spans="1:17" ht="51">
      <c r="A13" s="113">
        <v>12</v>
      </c>
      <c r="B13" s="111" t="s">
        <v>257</v>
      </c>
      <c r="C13" s="111">
        <v>461</v>
      </c>
      <c r="D13" s="111" t="s">
        <v>258</v>
      </c>
      <c r="E13" s="111">
        <v>77628621</v>
      </c>
      <c r="H13" s="114">
        <v>10</v>
      </c>
      <c r="I13" s="115" t="s">
        <v>259</v>
      </c>
      <c r="J13" s="116" t="s">
        <v>260</v>
      </c>
      <c r="K13" s="117" t="s">
        <v>261</v>
      </c>
      <c r="L13" s="118" t="s">
        <v>261</v>
      </c>
      <c r="M13" s="117" t="s">
        <v>262</v>
      </c>
      <c r="N13" s="118" t="s">
        <v>262</v>
      </c>
      <c r="P13" s="117" t="s">
        <v>261</v>
      </c>
      <c r="Q13" s="116" t="s">
        <v>259</v>
      </c>
    </row>
    <row r="14" spans="1:17" ht="51">
      <c r="A14" s="113">
        <v>13</v>
      </c>
      <c r="B14" s="111" t="s">
        <v>263</v>
      </c>
      <c r="C14" s="111">
        <v>462</v>
      </c>
      <c r="D14" s="111" t="s">
        <v>264</v>
      </c>
      <c r="E14" s="111">
        <v>47623811</v>
      </c>
      <c r="H14" s="114">
        <v>28</v>
      </c>
      <c r="I14" s="115" t="s">
        <v>265</v>
      </c>
      <c r="J14" s="116" t="s">
        <v>266</v>
      </c>
      <c r="K14" s="117" t="s">
        <v>267</v>
      </c>
      <c r="L14" s="118" t="s">
        <v>267</v>
      </c>
      <c r="M14" s="117" t="s">
        <v>268</v>
      </c>
      <c r="N14" s="118" t="s">
        <v>268</v>
      </c>
      <c r="P14" s="117" t="s">
        <v>267</v>
      </c>
      <c r="Q14" s="116" t="s">
        <v>265</v>
      </c>
    </row>
    <row r="15" spans="1:17" ht="63.75">
      <c r="A15" s="113">
        <v>14</v>
      </c>
      <c r="B15" s="111" t="s">
        <v>269</v>
      </c>
      <c r="C15" s="111">
        <v>463</v>
      </c>
      <c r="D15" s="111" t="s">
        <v>270</v>
      </c>
      <c r="E15" s="111">
        <v>77621761</v>
      </c>
      <c r="H15" s="114">
        <v>32</v>
      </c>
      <c r="I15" s="115" t="s">
        <v>271</v>
      </c>
      <c r="J15" s="116" t="s">
        <v>272</v>
      </c>
      <c r="K15" s="117" t="s">
        <v>273</v>
      </c>
      <c r="L15" s="118" t="s">
        <v>274</v>
      </c>
      <c r="M15" s="117" t="s">
        <v>275</v>
      </c>
      <c r="N15" s="118" t="s">
        <v>274</v>
      </c>
      <c r="P15" s="117" t="s">
        <v>273</v>
      </c>
      <c r="Q15" s="116" t="s">
        <v>271</v>
      </c>
    </row>
    <row r="16" spans="1:17" ht="51.75" thickBot="1">
      <c r="A16" s="119">
        <v>15</v>
      </c>
      <c r="B16" s="111" t="s">
        <v>276</v>
      </c>
      <c r="C16" s="111">
        <v>464</v>
      </c>
      <c r="D16" s="111" t="s">
        <v>277</v>
      </c>
      <c r="E16" s="111">
        <v>47620661</v>
      </c>
      <c r="H16" s="114">
        <v>51</v>
      </c>
      <c r="I16" s="115" t="s">
        <v>278</v>
      </c>
      <c r="J16" s="116" t="s">
        <v>279</v>
      </c>
      <c r="K16" s="117" t="s">
        <v>280</v>
      </c>
      <c r="L16" s="118" t="s">
        <v>281</v>
      </c>
      <c r="M16" s="117" t="s">
        <v>282</v>
      </c>
      <c r="N16" s="118" t="s">
        <v>283</v>
      </c>
      <c r="P16" s="117" t="s">
        <v>280</v>
      </c>
      <c r="Q16" s="116" t="s">
        <v>278</v>
      </c>
    </row>
    <row r="17" spans="8:17" ht="12.75">
      <c r="H17" s="114">
        <v>533</v>
      </c>
      <c r="I17" s="115" t="s">
        <v>284</v>
      </c>
      <c r="J17" s="116" t="s">
        <v>285</v>
      </c>
      <c r="K17" s="117" t="s">
        <v>286</v>
      </c>
      <c r="L17" s="118" t="s">
        <v>286</v>
      </c>
      <c r="M17" s="117" t="s">
        <v>286</v>
      </c>
      <c r="N17" s="118" t="s">
        <v>286</v>
      </c>
      <c r="P17" s="117" t="s">
        <v>286</v>
      </c>
      <c r="Q17" s="116" t="s">
        <v>284</v>
      </c>
    </row>
    <row r="18" spans="8:17" ht="12.75">
      <c r="H18" s="114">
        <v>36</v>
      </c>
      <c r="I18" s="115" t="s">
        <v>287</v>
      </c>
      <c r="J18" s="116" t="s">
        <v>288</v>
      </c>
      <c r="K18" s="117" t="s">
        <v>289</v>
      </c>
      <c r="L18" s="118" t="s">
        <v>290</v>
      </c>
      <c r="M18" s="117" t="s">
        <v>291</v>
      </c>
      <c r="N18" s="118" t="s">
        <v>291</v>
      </c>
      <c r="P18" s="117" t="s">
        <v>289</v>
      </c>
      <c r="Q18" s="116" t="s">
        <v>287</v>
      </c>
    </row>
    <row r="19" spans="2:17" ht="13.5" thickBot="1">
      <c r="B19" s="120"/>
      <c r="C19" s="120"/>
      <c r="D19" s="120"/>
      <c r="H19" s="114">
        <v>31</v>
      </c>
      <c r="I19" s="115" t="s">
        <v>292</v>
      </c>
      <c r="J19" s="116" t="s">
        <v>293</v>
      </c>
      <c r="K19" s="117" t="s">
        <v>294</v>
      </c>
      <c r="L19" s="118" t="s">
        <v>295</v>
      </c>
      <c r="M19" s="117" t="s">
        <v>296</v>
      </c>
      <c r="N19" s="118" t="s">
        <v>297</v>
      </c>
      <c r="P19" s="117" t="s">
        <v>294</v>
      </c>
      <c r="Q19" s="116" t="s">
        <v>292</v>
      </c>
    </row>
    <row r="20" spans="2:17" ht="51">
      <c r="B20" s="121" t="s">
        <v>298</v>
      </c>
      <c r="C20" s="122">
        <v>451</v>
      </c>
      <c r="D20" s="123">
        <v>2001</v>
      </c>
      <c r="H20" s="114">
        <v>44</v>
      </c>
      <c r="I20" s="115" t="s">
        <v>299</v>
      </c>
      <c r="J20" s="116" t="s">
        <v>300</v>
      </c>
      <c r="K20" s="117" t="s">
        <v>301</v>
      </c>
      <c r="L20" s="118" t="s">
        <v>302</v>
      </c>
      <c r="M20" s="117" t="s">
        <v>303</v>
      </c>
      <c r="N20" s="118" t="s">
        <v>304</v>
      </c>
      <c r="P20" s="117" t="s">
        <v>301</v>
      </c>
      <c r="Q20" s="116" t="s">
        <v>299</v>
      </c>
    </row>
    <row r="21" spans="2:17" ht="51">
      <c r="B21" s="124" t="s">
        <v>305</v>
      </c>
      <c r="C21" s="125">
        <v>451</v>
      </c>
      <c r="D21" s="126">
        <v>2002</v>
      </c>
      <c r="H21" s="114">
        <v>48</v>
      </c>
      <c r="I21" s="115" t="s">
        <v>306</v>
      </c>
      <c r="J21" s="116" t="s">
        <v>307</v>
      </c>
      <c r="K21" s="117" t="s">
        <v>308</v>
      </c>
      <c r="L21" s="118" t="s">
        <v>309</v>
      </c>
      <c r="M21" s="117" t="s">
        <v>310</v>
      </c>
      <c r="N21" s="118" t="s">
        <v>311</v>
      </c>
      <c r="P21" s="117" t="s">
        <v>308</v>
      </c>
      <c r="Q21" s="116" t="s">
        <v>306</v>
      </c>
    </row>
    <row r="22" spans="2:17" ht="51">
      <c r="B22" s="124" t="s">
        <v>312</v>
      </c>
      <c r="C22" s="125">
        <v>451</v>
      </c>
      <c r="D22" s="126">
        <v>2003</v>
      </c>
      <c r="H22" s="114">
        <v>50</v>
      </c>
      <c r="I22" s="115" t="s">
        <v>313</v>
      </c>
      <c r="J22" s="116" t="s">
        <v>314</v>
      </c>
      <c r="K22" s="117" t="s">
        <v>315</v>
      </c>
      <c r="L22" s="118" t="s">
        <v>316</v>
      </c>
      <c r="M22" s="117" t="s">
        <v>317</v>
      </c>
      <c r="N22" s="118" t="s">
        <v>318</v>
      </c>
      <c r="P22" s="117" t="s">
        <v>315</v>
      </c>
      <c r="Q22" s="116" t="s">
        <v>313</v>
      </c>
    </row>
    <row r="23" spans="2:17" ht="51">
      <c r="B23" s="124" t="s">
        <v>319</v>
      </c>
      <c r="C23" s="125">
        <v>451</v>
      </c>
      <c r="D23" s="126">
        <v>2004</v>
      </c>
      <c r="H23" s="114">
        <v>52</v>
      </c>
      <c r="I23" s="115" t="s">
        <v>320</v>
      </c>
      <c r="J23" s="116" t="s">
        <v>321</v>
      </c>
      <c r="K23" s="117" t="s">
        <v>322</v>
      </c>
      <c r="L23" s="118" t="s">
        <v>322</v>
      </c>
      <c r="M23" s="117" t="s">
        <v>322</v>
      </c>
      <c r="N23" s="118" t="s">
        <v>322</v>
      </c>
      <c r="P23" s="117" t="s">
        <v>322</v>
      </c>
      <c r="Q23" s="116" t="s">
        <v>320</v>
      </c>
    </row>
    <row r="24" spans="2:17" ht="51">
      <c r="B24" s="124" t="s">
        <v>323</v>
      </c>
      <c r="C24" s="125">
        <v>451</v>
      </c>
      <c r="D24" s="126">
        <v>2005</v>
      </c>
      <c r="H24" s="114">
        <v>56</v>
      </c>
      <c r="I24" s="115" t="s">
        <v>324</v>
      </c>
      <c r="J24" s="116" t="s">
        <v>325</v>
      </c>
      <c r="K24" s="117" t="s">
        <v>326</v>
      </c>
      <c r="L24" s="118" t="s">
        <v>327</v>
      </c>
      <c r="M24" s="117" t="s">
        <v>328</v>
      </c>
      <c r="N24" s="118" t="s">
        <v>329</v>
      </c>
      <c r="P24" s="117" t="s">
        <v>326</v>
      </c>
      <c r="Q24" s="116" t="s">
        <v>324</v>
      </c>
    </row>
    <row r="25" spans="2:17" ht="51">
      <c r="B25" s="124" t="s">
        <v>330</v>
      </c>
      <c r="C25" s="125">
        <v>451</v>
      </c>
      <c r="D25" s="126">
        <v>2006</v>
      </c>
      <c r="H25" s="114">
        <v>84</v>
      </c>
      <c r="I25" s="115" t="s">
        <v>331</v>
      </c>
      <c r="J25" s="116" t="s">
        <v>332</v>
      </c>
      <c r="K25" s="117" t="s">
        <v>333</v>
      </c>
      <c r="L25" s="118" t="s">
        <v>333</v>
      </c>
      <c r="M25" s="117" t="s">
        <v>333</v>
      </c>
      <c r="N25" s="118" t="s">
        <v>333</v>
      </c>
      <c r="P25" s="117" t="s">
        <v>333</v>
      </c>
      <c r="Q25" s="116" t="s">
        <v>331</v>
      </c>
    </row>
    <row r="26" spans="2:17" ht="51">
      <c r="B26" s="124" t="s">
        <v>334</v>
      </c>
      <c r="C26" s="125">
        <v>451</v>
      </c>
      <c r="D26" s="126">
        <v>2007</v>
      </c>
      <c r="H26" s="114">
        <v>112</v>
      </c>
      <c r="I26" s="115" t="s">
        <v>335</v>
      </c>
      <c r="J26" s="116" t="s">
        <v>336</v>
      </c>
      <c r="K26" s="117" t="s">
        <v>337</v>
      </c>
      <c r="L26" s="118" t="s">
        <v>338</v>
      </c>
      <c r="M26" s="117" t="s">
        <v>339</v>
      </c>
      <c r="N26" s="118" t="s">
        <v>340</v>
      </c>
      <c r="P26" s="117" t="s">
        <v>337</v>
      </c>
      <c r="Q26" s="116" t="s">
        <v>335</v>
      </c>
    </row>
    <row r="27" spans="2:17" ht="51">
      <c r="B27" s="124" t="s">
        <v>341</v>
      </c>
      <c r="C27" s="125">
        <v>451</v>
      </c>
      <c r="D27" s="126">
        <v>2008</v>
      </c>
      <c r="H27" s="114">
        <v>204</v>
      </c>
      <c r="I27" s="115" t="s">
        <v>342</v>
      </c>
      <c r="J27" s="116" t="s">
        <v>343</v>
      </c>
      <c r="K27" s="117" t="s">
        <v>344</v>
      </c>
      <c r="L27" s="118" t="s">
        <v>345</v>
      </c>
      <c r="M27" s="117" t="s">
        <v>346</v>
      </c>
      <c r="N27" s="118" t="s">
        <v>345</v>
      </c>
      <c r="P27" s="117" t="s">
        <v>344</v>
      </c>
      <c r="Q27" s="116" t="s">
        <v>342</v>
      </c>
    </row>
    <row r="28" spans="2:17" ht="51">
      <c r="B28" s="124" t="s">
        <v>347</v>
      </c>
      <c r="C28" s="125">
        <v>451</v>
      </c>
      <c r="D28" s="126">
        <v>2009</v>
      </c>
      <c r="H28" s="114">
        <v>60</v>
      </c>
      <c r="I28" s="115" t="s">
        <v>348</v>
      </c>
      <c r="J28" s="116" t="s">
        <v>349</v>
      </c>
      <c r="K28" s="117" t="s">
        <v>350</v>
      </c>
      <c r="L28" s="118" t="s">
        <v>350</v>
      </c>
      <c r="M28" s="117" t="s">
        <v>351</v>
      </c>
      <c r="N28" s="118" t="s">
        <v>351</v>
      </c>
      <c r="P28" s="117" t="s">
        <v>350</v>
      </c>
      <c r="Q28" s="116" t="s">
        <v>348</v>
      </c>
    </row>
    <row r="29" spans="2:17" ht="51">
      <c r="B29" s="124" t="s">
        <v>352</v>
      </c>
      <c r="C29" s="125">
        <v>451</v>
      </c>
      <c r="D29" s="126">
        <v>2010</v>
      </c>
      <c r="H29" s="114">
        <v>64</v>
      </c>
      <c r="I29" s="115" t="s">
        <v>353</v>
      </c>
      <c r="J29" s="116" t="s">
        <v>354</v>
      </c>
      <c r="K29" s="117" t="s">
        <v>355</v>
      </c>
      <c r="L29" s="118" t="s">
        <v>356</v>
      </c>
      <c r="M29" s="117" t="s">
        <v>357</v>
      </c>
      <c r="N29" s="118" t="s">
        <v>358</v>
      </c>
      <c r="P29" s="117" t="s">
        <v>355</v>
      </c>
      <c r="Q29" s="116" t="s">
        <v>353</v>
      </c>
    </row>
    <row r="30" spans="2:17" ht="76.5">
      <c r="B30" s="124" t="s">
        <v>359</v>
      </c>
      <c r="C30" s="125">
        <v>451</v>
      </c>
      <c r="D30" s="126">
        <v>2011</v>
      </c>
      <c r="H30" s="114">
        <v>68</v>
      </c>
      <c r="I30" s="115" t="s">
        <v>360</v>
      </c>
      <c r="J30" s="116" t="s">
        <v>361</v>
      </c>
      <c r="K30" s="117" t="s">
        <v>362</v>
      </c>
      <c r="L30" s="118" t="s">
        <v>363</v>
      </c>
      <c r="M30" s="117" t="s">
        <v>364</v>
      </c>
      <c r="N30" s="118" t="s">
        <v>365</v>
      </c>
      <c r="P30" s="117" t="s">
        <v>362</v>
      </c>
      <c r="Q30" s="116" t="s">
        <v>360</v>
      </c>
    </row>
    <row r="31" spans="2:17" ht="76.5">
      <c r="B31" s="124" t="s">
        <v>366</v>
      </c>
      <c r="C31" s="125">
        <v>451</v>
      </c>
      <c r="D31" s="126">
        <v>2012</v>
      </c>
      <c r="H31" s="114">
        <v>535</v>
      </c>
      <c r="I31" s="115" t="s">
        <v>367</v>
      </c>
      <c r="J31" s="116" t="s">
        <v>368</v>
      </c>
      <c r="K31" s="117" t="s">
        <v>369</v>
      </c>
      <c r="L31" s="117" t="s">
        <v>369</v>
      </c>
      <c r="M31" s="117" t="s">
        <v>370</v>
      </c>
      <c r="N31" s="117" t="s">
        <v>370</v>
      </c>
      <c r="P31" s="117" t="s">
        <v>369</v>
      </c>
      <c r="Q31" s="116" t="s">
        <v>367</v>
      </c>
    </row>
    <row r="32" spans="2:17" ht="51">
      <c r="B32" s="124" t="s">
        <v>371</v>
      </c>
      <c r="C32" s="125">
        <v>452</v>
      </c>
      <c r="D32" s="126">
        <v>2101</v>
      </c>
      <c r="H32" s="114">
        <v>70</v>
      </c>
      <c r="I32" s="115" t="s">
        <v>372</v>
      </c>
      <c r="J32" s="116" t="s">
        <v>373</v>
      </c>
      <c r="K32" s="117" t="s">
        <v>374</v>
      </c>
      <c r="L32" s="118" t="s">
        <v>374</v>
      </c>
      <c r="M32" s="117" t="s">
        <v>375</v>
      </c>
      <c r="N32" s="118" t="s">
        <v>375</v>
      </c>
      <c r="P32" s="117" t="s">
        <v>374</v>
      </c>
      <c r="Q32" s="116" t="s">
        <v>372</v>
      </c>
    </row>
    <row r="33" spans="2:17" ht="51">
      <c r="B33" s="124" t="s">
        <v>376</v>
      </c>
      <c r="C33" s="125">
        <v>452</v>
      </c>
      <c r="D33" s="126">
        <v>2102</v>
      </c>
      <c r="H33" s="114">
        <v>72</v>
      </c>
      <c r="I33" s="115" t="s">
        <v>377</v>
      </c>
      <c r="J33" s="116" t="s">
        <v>378</v>
      </c>
      <c r="K33" s="117" t="s">
        <v>379</v>
      </c>
      <c r="L33" s="118" t="s">
        <v>380</v>
      </c>
      <c r="M33" s="117" t="s">
        <v>381</v>
      </c>
      <c r="N33" s="118" t="s">
        <v>380</v>
      </c>
      <c r="P33" s="117" t="s">
        <v>379</v>
      </c>
      <c r="Q33" s="116" t="s">
        <v>377</v>
      </c>
    </row>
    <row r="34" spans="2:17" ht="63.75">
      <c r="B34" s="124" t="s">
        <v>382</v>
      </c>
      <c r="C34" s="125">
        <v>452</v>
      </c>
      <c r="D34" s="126">
        <v>2103</v>
      </c>
      <c r="H34" s="114">
        <v>74</v>
      </c>
      <c r="I34" s="115" t="s">
        <v>383</v>
      </c>
      <c r="J34" s="116" t="s">
        <v>384</v>
      </c>
      <c r="K34" s="117" t="s">
        <v>385</v>
      </c>
      <c r="L34" s="118" t="s">
        <v>385</v>
      </c>
      <c r="M34" s="117" t="s">
        <v>386</v>
      </c>
      <c r="N34" s="118" t="s">
        <v>386</v>
      </c>
      <c r="P34" s="117" t="s">
        <v>385</v>
      </c>
      <c r="Q34" s="116" t="s">
        <v>383</v>
      </c>
    </row>
    <row r="35" spans="2:17" ht="12.75">
      <c r="B35" s="127" t="s">
        <v>387</v>
      </c>
      <c r="C35" s="125">
        <v>452</v>
      </c>
      <c r="D35" s="126">
        <v>2104</v>
      </c>
      <c r="H35" s="114">
        <v>76</v>
      </c>
      <c r="I35" s="115" t="s">
        <v>388</v>
      </c>
      <c r="J35" s="116" t="s">
        <v>389</v>
      </c>
      <c r="K35" s="117" t="s">
        <v>390</v>
      </c>
      <c r="L35" s="118" t="s">
        <v>391</v>
      </c>
      <c r="M35" s="117" t="s">
        <v>392</v>
      </c>
      <c r="N35" s="118" t="s">
        <v>393</v>
      </c>
      <c r="P35" s="117" t="s">
        <v>390</v>
      </c>
      <c r="Q35" s="116" t="s">
        <v>388</v>
      </c>
    </row>
    <row r="36" spans="2:17" ht="12.75">
      <c r="B36" s="127" t="s">
        <v>394</v>
      </c>
      <c r="C36" s="125">
        <v>452</v>
      </c>
      <c r="D36" s="126">
        <v>2105</v>
      </c>
      <c r="H36" s="114">
        <v>86</v>
      </c>
      <c r="I36" s="115" t="s">
        <v>395</v>
      </c>
      <c r="J36" s="116" t="s">
        <v>396</v>
      </c>
      <c r="K36" s="117" t="s">
        <v>397</v>
      </c>
      <c r="L36" s="118" t="s">
        <v>398</v>
      </c>
      <c r="M36" s="118" t="s">
        <v>399</v>
      </c>
      <c r="N36" s="118" t="s">
        <v>399</v>
      </c>
      <c r="P36" s="117" t="s">
        <v>397</v>
      </c>
      <c r="Q36" s="116" t="s">
        <v>395</v>
      </c>
    </row>
    <row r="37" spans="2:17" ht="12.75">
      <c r="B37" s="127" t="s">
        <v>400</v>
      </c>
      <c r="C37" s="125">
        <v>452</v>
      </c>
      <c r="D37" s="126">
        <v>2106</v>
      </c>
      <c r="H37" s="114">
        <v>92</v>
      </c>
      <c r="I37" s="115" t="s">
        <v>401</v>
      </c>
      <c r="J37" s="116" t="s">
        <v>402</v>
      </c>
      <c r="K37" s="117" t="s">
        <v>403</v>
      </c>
      <c r="L37" s="118" t="s">
        <v>403</v>
      </c>
      <c r="M37" s="117" t="s">
        <v>404</v>
      </c>
      <c r="N37" s="118" t="s">
        <v>405</v>
      </c>
      <c r="P37" s="117" t="s">
        <v>403</v>
      </c>
      <c r="Q37" s="116" t="s">
        <v>401</v>
      </c>
    </row>
    <row r="38" spans="2:17" ht="12.75">
      <c r="B38" s="127" t="s">
        <v>406</v>
      </c>
      <c r="C38" s="125">
        <v>452</v>
      </c>
      <c r="D38" s="126">
        <v>2107</v>
      </c>
      <c r="H38" s="114">
        <v>96</v>
      </c>
      <c r="I38" s="115" t="s">
        <v>407</v>
      </c>
      <c r="J38" s="116" t="s">
        <v>408</v>
      </c>
      <c r="K38" s="117" t="s">
        <v>409</v>
      </c>
      <c r="L38" s="118" t="s">
        <v>410</v>
      </c>
      <c r="M38" s="117" t="s">
        <v>411</v>
      </c>
      <c r="N38" s="118" t="s">
        <v>411</v>
      </c>
      <c r="P38" s="117" t="s">
        <v>409</v>
      </c>
      <c r="Q38" s="116" t="s">
        <v>407</v>
      </c>
    </row>
    <row r="39" spans="2:17" ht="12.75">
      <c r="B39" s="127" t="s">
        <v>412</v>
      </c>
      <c r="C39" s="125">
        <v>452</v>
      </c>
      <c r="D39" s="126">
        <v>2108</v>
      </c>
      <c r="H39" s="114">
        <v>100</v>
      </c>
      <c r="I39" s="115" t="s">
        <v>413</v>
      </c>
      <c r="J39" s="116" t="s">
        <v>414</v>
      </c>
      <c r="K39" s="117" t="s">
        <v>415</v>
      </c>
      <c r="L39" s="118" t="s">
        <v>416</v>
      </c>
      <c r="M39" s="117" t="s">
        <v>417</v>
      </c>
      <c r="N39" s="118" t="s">
        <v>418</v>
      </c>
      <c r="P39" s="117" t="s">
        <v>415</v>
      </c>
      <c r="Q39" s="116" t="s">
        <v>413</v>
      </c>
    </row>
    <row r="40" spans="2:17" ht="12.75">
      <c r="B40" s="127" t="s">
        <v>419</v>
      </c>
      <c r="C40" s="125">
        <v>452</v>
      </c>
      <c r="D40" s="126">
        <v>2109</v>
      </c>
      <c r="H40" s="114">
        <v>854</v>
      </c>
      <c r="I40" s="115" t="s">
        <v>420</v>
      </c>
      <c r="J40" s="116" t="s">
        <v>421</v>
      </c>
      <c r="K40" s="117" t="s">
        <v>422</v>
      </c>
      <c r="L40" s="118" t="s">
        <v>422</v>
      </c>
      <c r="M40" s="117" t="s">
        <v>422</v>
      </c>
      <c r="N40" s="118" t="s">
        <v>422</v>
      </c>
      <c r="P40" s="117" t="s">
        <v>422</v>
      </c>
      <c r="Q40" s="116" t="s">
        <v>420</v>
      </c>
    </row>
    <row r="41" spans="2:17" ht="12.75">
      <c r="B41" s="127" t="s">
        <v>423</v>
      </c>
      <c r="C41" s="125">
        <v>452</v>
      </c>
      <c r="D41" s="126">
        <v>2110</v>
      </c>
      <c r="H41" s="114">
        <v>108</v>
      </c>
      <c r="I41" s="115" t="s">
        <v>424</v>
      </c>
      <c r="J41" s="116" t="s">
        <v>425</v>
      </c>
      <c r="K41" s="117" t="s">
        <v>426</v>
      </c>
      <c r="L41" s="118" t="s">
        <v>427</v>
      </c>
      <c r="M41" s="117" t="s">
        <v>428</v>
      </c>
      <c r="N41" s="118" t="s">
        <v>427</v>
      </c>
      <c r="P41" s="117" t="s">
        <v>426</v>
      </c>
      <c r="Q41" s="116" t="s">
        <v>424</v>
      </c>
    </row>
    <row r="42" spans="2:17" ht="12.75">
      <c r="B42" s="127" t="s">
        <v>429</v>
      </c>
      <c r="C42" s="125">
        <v>452</v>
      </c>
      <c r="D42" s="126">
        <v>2111</v>
      </c>
      <c r="H42" s="114">
        <v>184</v>
      </c>
      <c r="I42" s="115" t="s">
        <v>430</v>
      </c>
      <c r="J42" s="116" t="s">
        <v>431</v>
      </c>
      <c r="K42" s="117" t="s">
        <v>432</v>
      </c>
      <c r="L42" s="118" t="s">
        <v>432</v>
      </c>
      <c r="M42" s="118" t="s">
        <v>433</v>
      </c>
      <c r="N42" s="118" t="s">
        <v>433</v>
      </c>
      <c r="P42" s="117" t="s">
        <v>432</v>
      </c>
      <c r="Q42" s="116" t="s">
        <v>430</v>
      </c>
    </row>
    <row r="43" spans="2:17" ht="12.75">
      <c r="B43" s="127" t="s">
        <v>434</v>
      </c>
      <c r="C43" s="125">
        <v>452</v>
      </c>
      <c r="D43" s="126">
        <v>2112</v>
      </c>
      <c r="H43" s="114">
        <v>531</v>
      </c>
      <c r="I43" s="115" t="s">
        <v>435</v>
      </c>
      <c r="J43" s="116" t="s">
        <v>436</v>
      </c>
      <c r="K43" s="117" t="s">
        <v>437</v>
      </c>
      <c r="L43" s="117" t="s">
        <v>437</v>
      </c>
      <c r="M43" s="117" t="s">
        <v>437</v>
      </c>
      <c r="N43" s="117" t="s">
        <v>437</v>
      </c>
      <c r="P43" s="117" t="s">
        <v>437</v>
      </c>
      <c r="Q43" s="116" t="s">
        <v>435</v>
      </c>
    </row>
    <row r="44" spans="2:17" ht="12.75">
      <c r="B44" s="127" t="s">
        <v>438</v>
      </c>
      <c r="C44" s="125">
        <v>452</v>
      </c>
      <c r="D44" s="126">
        <v>2113</v>
      </c>
      <c r="H44" s="114">
        <v>148</v>
      </c>
      <c r="I44" s="115" t="s">
        <v>439</v>
      </c>
      <c r="J44" s="116" t="s">
        <v>440</v>
      </c>
      <c r="K44" s="117" t="s">
        <v>441</v>
      </c>
      <c r="L44" s="118" t="s">
        <v>442</v>
      </c>
      <c r="M44" s="117" t="s">
        <v>443</v>
      </c>
      <c r="N44" s="118" t="s">
        <v>444</v>
      </c>
      <c r="P44" s="117" t="s">
        <v>441</v>
      </c>
      <c r="Q44" s="116" t="s">
        <v>439</v>
      </c>
    </row>
    <row r="45" spans="2:17" ht="12.75">
      <c r="B45" s="127" t="s">
        <v>445</v>
      </c>
      <c r="C45" s="125">
        <v>452</v>
      </c>
      <c r="D45" s="126">
        <v>2114</v>
      </c>
      <c r="H45" s="114">
        <v>499</v>
      </c>
      <c r="I45" s="115" t="s">
        <v>446</v>
      </c>
      <c r="J45" s="116" t="s">
        <v>447</v>
      </c>
      <c r="K45" s="118" t="s">
        <v>448</v>
      </c>
      <c r="L45" s="118" t="s">
        <v>448</v>
      </c>
      <c r="M45" s="118" t="s">
        <v>449</v>
      </c>
      <c r="N45" s="118" t="s">
        <v>449</v>
      </c>
      <c r="P45" s="118" t="s">
        <v>448</v>
      </c>
      <c r="Q45" s="116" t="s">
        <v>446</v>
      </c>
    </row>
    <row r="46" spans="2:17" ht="12.75">
      <c r="B46" s="127" t="s">
        <v>450</v>
      </c>
      <c r="C46" s="125">
        <v>452</v>
      </c>
      <c r="D46" s="126">
        <v>2115</v>
      </c>
      <c r="H46" s="114">
        <v>203</v>
      </c>
      <c r="I46" s="115" t="s">
        <v>99</v>
      </c>
      <c r="J46" s="116" t="s">
        <v>189</v>
      </c>
      <c r="K46" s="117" t="s">
        <v>451</v>
      </c>
      <c r="L46" s="117" t="s">
        <v>191</v>
      </c>
      <c r="M46" s="117" t="s">
        <v>192</v>
      </c>
      <c r="N46" s="118" t="s">
        <v>193</v>
      </c>
      <c r="P46" s="117" t="s">
        <v>451</v>
      </c>
      <c r="Q46" s="116" t="s">
        <v>99</v>
      </c>
    </row>
    <row r="47" spans="2:17" ht="12.75">
      <c r="B47" s="127" t="s">
        <v>452</v>
      </c>
      <c r="C47" s="125">
        <v>452</v>
      </c>
      <c r="D47" s="126">
        <v>2116</v>
      </c>
      <c r="H47" s="114">
        <v>156</v>
      </c>
      <c r="I47" s="115" t="s">
        <v>453</v>
      </c>
      <c r="J47" s="116" t="s">
        <v>454</v>
      </c>
      <c r="K47" s="117" t="s">
        <v>455</v>
      </c>
      <c r="L47" s="118" t="s">
        <v>456</v>
      </c>
      <c r="M47" s="117" t="s">
        <v>457</v>
      </c>
      <c r="N47" s="118" t="s">
        <v>458</v>
      </c>
      <c r="P47" s="117" t="s">
        <v>455</v>
      </c>
      <c r="Q47" s="116" t="s">
        <v>453</v>
      </c>
    </row>
    <row r="48" spans="2:17" ht="12.75">
      <c r="B48" s="127" t="s">
        <v>459</v>
      </c>
      <c r="C48" s="125">
        <v>452</v>
      </c>
      <c r="D48" s="126">
        <v>2117</v>
      </c>
      <c r="H48" s="114">
        <v>208</v>
      </c>
      <c r="I48" s="115" t="s">
        <v>460</v>
      </c>
      <c r="J48" s="116" t="s">
        <v>461</v>
      </c>
      <c r="K48" s="117" t="s">
        <v>462</v>
      </c>
      <c r="L48" s="118" t="s">
        <v>463</v>
      </c>
      <c r="M48" s="117" t="s">
        <v>464</v>
      </c>
      <c r="N48" s="118" t="s">
        <v>465</v>
      </c>
      <c r="P48" s="117" t="s">
        <v>462</v>
      </c>
      <c r="Q48" s="116" t="s">
        <v>460</v>
      </c>
    </row>
    <row r="49" spans="2:17" ht="12.75">
      <c r="B49" s="127" t="s">
        <v>466</v>
      </c>
      <c r="C49" s="125">
        <v>452</v>
      </c>
      <c r="D49" s="126">
        <v>2118</v>
      </c>
      <c r="H49" s="114">
        <v>180</v>
      </c>
      <c r="I49" s="115" t="s">
        <v>467</v>
      </c>
      <c r="J49" s="116" t="s">
        <v>468</v>
      </c>
      <c r="K49" s="117" t="s">
        <v>469</v>
      </c>
      <c r="L49" s="118" t="s">
        <v>469</v>
      </c>
      <c r="M49" s="117" t="s">
        <v>470</v>
      </c>
      <c r="N49" s="118" t="s">
        <v>471</v>
      </c>
      <c r="P49" s="117" t="s">
        <v>469</v>
      </c>
      <c r="Q49" s="116" t="s">
        <v>467</v>
      </c>
    </row>
    <row r="50" spans="2:17" ht="12.75">
      <c r="B50" s="127" t="s">
        <v>472</v>
      </c>
      <c r="C50" s="125">
        <v>452</v>
      </c>
      <c r="D50" s="126">
        <v>2119</v>
      </c>
      <c r="H50" s="114">
        <v>212</v>
      </c>
      <c r="I50" s="115" t="s">
        <v>473</v>
      </c>
      <c r="J50" s="116" t="s">
        <v>474</v>
      </c>
      <c r="K50" s="117" t="s">
        <v>475</v>
      </c>
      <c r="L50" s="118" t="s">
        <v>476</v>
      </c>
      <c r="M50" s="117" t="s">
        <v>477</v>
      </c>
      <c r="N50" s="118" t="s">
        <v>478</v>
      </c>
      <c r="P50" s="117" t="s">
        <v>475</v>
      </c>
      <c r="Q50" s="116" t="s">
        <v>473</v>
      </c>
    </row>
    <row r="51" spans="2:17" ht="12.75">
      <c r="B51" s="127" t="s">
        <v>479</v>
      </c>
      <c r="C51" s="125">
        <v>452</v>
      </c>
      <c r="D51" s="126">
        <v>2120</v>
      </c>
      <c r="H51" s="114">
        <v>214</v>
      </c>
      <c r="I51" s="115" t="s">
        <v>480</v>
      </c>
      <c r="J51" s="116" t="s">
        <v>481</v>
      </c>
      <c r="K51" s="117" t="s">
        <v>482</v>
      </c>
      <c r="L51" s="118" t="s">
        <v>482</v>
      </c>
      <c r="M51" s="117" t="s">
        <v>483</v>
      </c>
      <c r="N51" s="118" t="s">
        <v>484</v>
      </c>
      <c r="P51" s="117" t="s">
        <v>482</v>
      </c>
      <c r="Q51" s="116" t="s">
        <v>480</v>
      </c>
    </row>
    <row r="52" spans="2:17" ht="12.75">
      <c r="B52" s="127" t="s">
        <v>485</v>
      </c>
      <c r="C52" s="125">
        <v>452</v>
      </c>
      <c r="D52" s="126">
        <v>2121</v>
      </c>
      <c r="H52" s="114">
        <v>262</v>
      </c>
      <c r="I52" s="115" t="s">
        <v>486</v>
      </c>
      <c r="J52" s="116" t="s">
        <v>487</v>
      </c>
      <c r="K52" s="117" t="s">
        <v>488</v>
      </c>
      <c r="L52" s="118" t="s">
        <v>489</v>
      </c>
      <c r="M52" s="117" t="s">
        <v>490</v>
      </c>
      <c r="N52" s="118" t="s">
        <v>491</v>
      </c>
      <c r="P52" s="117" t="s">
        <v>488</v>
      </c>
      <c r="Q52" s="116" t="s">
        <v>486</v>
      </c>
    </row>
    <row r="53" spans="2:17" ht="12.75">
      <c r="B53" s="127" t="s">
        <v>492</v>
      </c>
      <c r="C53" s="125">
        <v>452</v>
      </c>
      <c r="D53" s="126">
        <v>2122</v>
      </c>
      <c r="H53" s="114">
        <v>818</v>
      </c>
      <c r="I53" s="115" t="s">
        <v>493</v>
      </c>
      <c r="J53" s="116" t="s">
        <v>494</v>
      </c>
      <c r="K53" s="117" t="s">
        <v>495</v>
      </c>
      <c r="L53" s="118" t="s">
        <v>496</v>
      </c>
      <c r="M53" s="117" t="s">
        <v>497</v>
      </c>
      <c r="N53" s="118" t="s">
        <v>496</v>
      </c>
      <c r="P53" s="117" t="s">
        <v>495</v>
      </c>
      <c r="Q53" s="116" t="s">
        <v>493</v>
      </c>
    </row>
    <row r="54" spans="2:17" ht="12.75">
      <c r="B54" s="127" t="s">
        <v>498</v>
      </c>
      <c r="C54" s="125">
        <v>452</v>
      </c>
      <c r="D54" s="126">
        <v>2123</v>
      </c>
      <c r="H54" s="114">
        <v>218</v>
      </c>
      <c r="I54" s="115" t="s">
        <v>499</v>
      </c>
      <c r="J54" s="116" t="s">
        <v>500</v>
      </c>
      <c r="K54" s="117" t="s">
        <v>501</v>
      </c>
      <c r="L54" s="118" t="s">
        <v>502</v>
      </c>
      <c r="M54" s="117" t="s">
        <v>503</v>
      </c>
      <c r="N54" s="118" t="s">
        <v>504</v>
      </c>
      <c r="P54" s="117" t="s">
        <v>501</v>
      </c>
      <c r="Q54" s="116" t="s">
        <v>499</v>
      </c>
    </row>
    <row r="55" spans="2:17" ht="12.75">
      <c r="B55" s="127" t="s">
        <v>505</v>
      </c>
      <c r="C55" s="125">
        <v>452</v>
      </c>
      <c r="D55" s="126">
        <v>2124</v>
      </c>
      <c r="H55" s="114">
        <v>232</v>
      </c>
      <c r="I55" s="115" t="s">
        <v>506</v>
      </c>
      <c r="J55" s="116" t="s">
        <v>507</v>
      </c>
      <c r="K55" s="117" t="s">
        <v>508</v>
      </c>
      <c r="L55" s="118" t="s">
        <v>509</v>
      </c>
      <c r="M55" s="117" t="s">
        <v>510</v>
      </c>
      <c r="N55" s="118" t="s">
        <v>509</v>
      </c>
      <c r="P55" s="117" t="s">
        <v>508</v>
      </c>
      <c r="Q55" s="116" t="s">
        <v>506</v>
      </c>
    </row>
    <row r="56" spans="2:17" ht="12.75">
      <c r="B56" s="127" t="s">
        <v>511</v>
      </c>
      <c r="C56" s="125">
        <v>452</v>
      </c>
      <c r="D56" s="126">
        <v>2125</v>
      </c>
      <c r="H56" s="114">
        <v>233</v>
      </c>
      <c r="I56" s="115" t="s">
        <v>512</v>
      </c>
      <c r="J56" s="116" t="s">
        <v>513</v>
      </c>
      <c r="K56" s="117" t="s">
        <v>514</v>
      </c>
      <c r="L56" s="118" t="s">
        <v>515</v>
      </c>
      <c r="M56" s="117" t="s">
        <v>516</v>
      </c>
      <c r="N56" s="118" t="s">
        <v>517</v>
      </c>
      <c r="P56" s="117" t="s">
        <v>514</v>
      </c>
      <c r="Q56" s="116" t="s">
        <v>512</v>
      </c>
    </row>
    <row r="57" spans="2:17" ht="12.75">
      <c r="B57" s="127" t="s">
        <v>518</v>
      </c>
      <c r="C57" s="125">
        <v>452</v>
      </c>
      <c r="D57" s="126">
        <v>2126</v>
      </c>
      <c r="H57" s="114">
        <v>231</v>
      </c>
      <c r="I57" s="115" t="s">
        <v>519</v>
      </c>
      <c r="J57" s="116" t="s">
        <v>520</v>
      </c>
      <c r="K57" s="117" t="s">
        <v>521</v>
      </c>
      <c r="L57" s="118" t="s">
        <v>522</v>
      </c>
      <c r="M57" s="117" t="s">
        <v>523</v>
      </c>
      <c r="N57" s="118" t="s">
        <v>524</v>
      </c>
      <c r="P57" s="117" t="s">
        <v>521</v>
      </c>
      <c r="Q57" s="116" t="s">
        <v>519</v>
      </c>
    </row>
    <row r="58" spans="2:17" ht="12.75">
      <c r="B58" s="127" t="s">
        <v>525</v>
      </c>
      <c r="C58" s="128">
        <v>453</v>
      </c>
      <c r="D58" s="129">
        <v>2201</v>
      </c>
      <c r="H58" s="114">
        <v>234</v>
      </c>
      <c r="I58" s="115" t="s">
        <v>526</v>
      </c>
      <c r="J58" s="116" t="s">
        <v>527</v>
      </c>
      <c r="K58" s="117" t="s">
        <v>528</v>
      </c>
      <c r="L58" s="118" t="s">
        <v>528</v>
      </c>
      <c r="M58" s="117" t="s">
        <v>529</v>
      </c>
      <c r="N58" s="117" t="s">
        <v>529</v>
      </c>
      <c r="P58" s="117" t="s">
        <v>528</v>
      </c>
      <c r="Q58" s="116" t="s">
        <v>526</v>
      </c>
    </row>
    <row r="59" spans="2:17" ht="12.75">
      <c r="B59" s="127" t="s">
        <v>530</v>
      </c>
      <c r="C59" s="128">
        <v>453</v>
      </c>
      <c r="D59" s="129">
        <v>2202</v>
      </c>
      <c r="H59" s="114">
        <v>238</v>
      </c>
      <c r="I59" s="115" t="s">
        <v>531</v>
      </c>
      <c r="J59" s="116" t="s">
        <v>532</v>
      </c>
      <c r="K59" s="118" t="s">
        <v>533</v>
      </c>
      <c r="L59" s="118" t="s">
        <v>534</v>
      </c>
      <c r="M59" s="117" t="s">
        <v>535</v>
      </c>
      <c r="N59" s="117" t="s">
        <v>535</v>
      </c>
      <c r="P59" s="118" t="s">
        <v>533</v>
      </c>
      <c r="Q59" s="116" t="s">
        <v>531</v>
      </c>
    </row>
    <row r="60" spans="2:17" ht="12.75">
      <c r="B60" s="127" t="s">
        <v>536</v>
      </c>
      <c r="C60" s="128">
        <v>453</v>
      </c>
      <c r="D60" s="129">
        <v>2203</v>
      </c>
      <c r="H60" s="114">
        <v>242</v>
      </c>
      <c r="I60" s="115" t="s">
        <v>537</v>
      </c>
      <c r="J60" s="116" t="s">
        <v>538</v>
      </c>
      <c r="K60" s="117" t="s">
        <v>539</v>
      </c>
      <c r="L60" s="118" t="s">
        <v>540</v>
      </c>
      <c r="M60" s="117" t="s">
        <v>541</v>
      </c>
      <c r="N60" s="118" t="s">
        <v>542</v>
      </c>
      <c r="P60" s="117" t="s">
        <v>539</v>
      </c>
      <c r="Q60" s="116" t="s">
        <v>537</v>
      </c>
    </row>
    <row r="61" spans="2:17" ht="12.75">
      <c r="B61" s="127" t="s">
        <v>543</v>
      </c>
      <c r="C61" s="128">
        <v>453</v>
      </c>
      <c r="D61" s="129">
        <v>2204</v>
      </c>
      <c r="H61" s="114">
        <v>608</v>
      </c>
      <c r="I61" s="115" t="s">
        <v>544</v>
      </c>
      <c r="J61" s="116" t="s">
        <v>545</v>
      </c>
      <c r="K61" s="117" t="s">
        <v>546</v>
      </c>
      <c r="L61" s="118" t="s">
        <v>547</v>
      </c>
      <c r="M61" s="117" t="s">
        <v>548</v>
      </c>
      <c r="N61" s="118" t="s">
        <v>549</v>
      </c>
      <c r="P61" s="117" t="s">
        <v>546</v>
      </c>
      <c r="Q61" s="116" t="s">
        <v>544</v>
      </c>
    </row>
    <row r="62" spans="2:17" ht="12.75">
      <c r="B62" s="127" t="s">
        <v>550</v>
      </c>
      <c r="C62" s="128">
        <v>453</v>
      </c>
      <c r="D62" s="129">
        <v>2205</v>
      </c>
      <c r="H62" s="114">
        <v>246</v>
      </c>
      <c r="I62" s="115" t="s">
        <v>551</v>
      </c>
      <c r="J62" s="116" t="s">
        <v>552</v>
      </c>
      <c r="K62" s="117" t="s">
        <v>553</v>
      </c>
      <c r="L62" s="118" t="s">
        <v>554</v>
      </c>
      <c r="M62" s="117" t="s">
        <v>555</v>
      </c>
      <c r="N62" s="118" t="s">
        <v>556</v>
      </c>
      <c r="P62" s="117" t="s">
        <v>553</v>
      </c>
      <c r="Q62" s="116" t="s">
        <v>551</v>
      </c>
    </row>
    <row r="63" spans="2:17" ht="12.75">
      <c r="B63" s="127" t="s">
        <v>557</v>
      </c>
      <c r="C63" s="128">
        <v>453</v>
      </c>
      <c r="D63" s="129">
        <v>2206</v>
      </c>
      <c r="H63" s="114">
        <v>250</v>
      </c>
      <c r="I63" s="115" t="s">
        <v>558</v>
      </c>
      <c r="J63" s="116" t="s">
        <v>559</v>
      </c>
      <c r="K63" s="117" t="s">
        <v>560</v>
      </c>
      <c r="L63" s="118" t="s">
        <v>561</v>
      </c>
      <c r="M63" s="117" t="s">
        <v>562</v>
      </c>
      <c r="N63" s="118" t="s">
        <v>563</v>
      </c>
      <c r="P63" s="117" t="s">
        <v>560</v>
      </c>
      <c r="Q63" s="116" t="s">
        <v>558</v>
      </c>
    </row>
    <row r="64" spans="2:17" ht="12.75">
      <c r="B64" s="127" t="s">
        <v>564</v>
      </c>
      <c r="C64" s="128">
        <v>453</v>
      </c>
      <c r="D64" s="129">
        <v>2207</v>
      </c>
      <c r="H64" s="114">
        <v>254</v>
      </c>
      <c r="I64" s="115" t="s">
        <v>565</v>
      </c>
      <c r="J64" s="116" t="s">
        <v>566</v>
      </c>
      <c r="K64" s="117" t="s">
        <v>567</v>
      </c>
      <c r="L64" s="118" t="s">
        <v>568</v>
      </c>
      <c r="M64" s="117" t="s">
        <v>569</v>
      </c>
      <c r="N64" s="118" t="s">
        <v>569</v>
      </c>
      <c r="P64" s="117" t="s">
        <v>567</v>
      </c>
      <c r="Q64" s="116" t="s">
        <v>565</v>
      </c>
    </row>
    <row r="65" spans="2:17" ht="12.75">
      <c r="B65" s="127" t="s">
        <v>570</v>
      </c>
      <c r="C65" s="128">
        <v>453</v>
      </c>
      <c r="D65" s="129">
        <v>2208</v>
      </c>
      <c r="H65" s="114">
        <v>260</v>
      </c>
      <c r="I65" s="115" t="s">
        <v>571</v>
      </c>
      <c r="J65" s="116" t="s">
        <v>572</v>
      </c>
      <c r="K65" s="117" t="s">
        <v>573</v>
      </c>
      <c r="L65" s="118" t="s">
        <v>574</v>
      </c>
      <c r="M65" s="118" t="s">
        <v>575</v>
      </c>
      <c r="N65" s="118" t="s">
        <v>575</v>
      </c>
      <c r="P65" s="117" t="s">
        <v>573</v>
      </c>
      <c r="Q65" s="116" t="s">
        <v>571</v>
      </c>
    </row>
    <row r="66" spans="2:17" ht="12.75">
      <c r="B66" s="127" t="s">
        <v>576</v>
      </c>
      <c r="C66" s="128">
        <v>453</v>
      </c>
      <c r="D66" s="129">
        <v>2209</v>
      </c>
      <c r="H66" s="114">
        <v>258</v>
      </c>
      <c r="I66" s="115" t="s">
        <v>577</v>
      </c>
      <c r="J66" s="116" t="s">
        <v>578</v>
      </c>
      <c r="K66" s="117" t="s">
        <v>579</v>
      </c>
      <c r="L66" s="118" t="s">
        <v>579</v>
      </c>
      <c r="M66" s="117" t="s">
        <v>580</v>
      </c>
      <c r="N66" s="118" t="s">
        <v>580</v>
      </c>
      <c r="P66" s="117" t="s">
        <v>579</v>
      </c>
      <c r="Q66" s="116" t="s">
        <v>577</v>
      </c>
    </row>
    <row r="67" spans="2:17" ht="12.75">
      <c r="B67" s="127" t="s">
        <v>581</v>
      </c>
      <c r="C67" s="128">
        <v>453</v>
      </c>
      <c r="D67" s="129">
        <v>2210</v>
      </c>
      <c r="H67" s="114">
        <v>266</v>
      </c>
      <c r="I67" s="115" t="s">
        <v>582</v>
      </c>
      <c r="J67" s="116" t="s">
        <v>583</v>
      </c>
      <c r="K67" s="117" t="s">
        <v>584</v>
      </c>
      <c r="L67" s="118" t="s">
        <v>585</v>
      </c>
      <c r="M67" s="117" t="s">
        <v>586</v>
      </c>
      <c r="N67" s="118" t="s">
        <v>585</v>
      </c>
      <c r="P67" s="117" t="s">
        <v>584</v>
      </c>
      <c r="Q67" s="116" t="s">
        <v>582</v>
      </c>
    </row>
    <row r="68" spans="2:17" ht="12.75">
      <c r="B68" s="127" t="s">
        <v>587</v>
      </c>
      <c r="C68" s="128">
        <v>453</v>
      </c>
      <c r="D68" s="129">
        <v>2211</v>
      </c>
      <c r="H68" s="114">
        <v>270</v>
      </c>
      <c r="I68" s="115" t="s">
        <v>588</v>
      </c>
      <c r="J68" s="116" t="s">
        <v>589</v>
      </c>
      <c r="K68" s="117" t="s">
        <v>590</v>
      </c>
      <c r="L68" s="118" t="s">
        <v>591</v>
      </c>
      <c r="M68" s="117" t="s">
        <v>592</v>
      </c>
      <c r="N68" s="118" t="s">
        <v>593</v>
      </c>
      <c r="P68" s="117" t="s">
        <v>590</v>
      </c>
      <c r="Q68" s="116" t="s">
        <v>588</v>
      </c>
    </row>
    <row r="69" spans="2:17" ht="12.75">
      <c r="B69" s="127" t="s">
        <v>594</v>
      </c>
      <c r="C69" s="128">
        <v>453</v>
      </c>
      <c r="D69" s="129">
        <v>2212</v>
      </c>
      <c r="H69" s="114">
        <v>288</v>
      </c>
      <c r="I69" s="115" t="s">
        <v>595</v>
      </c>
      <c r="J69" s="116" t="s">
        <v>596</v>
      </c>
      <c r="K69" s="117" t="s">
        <v>597</v>
      </c>
      <c r="L69" s="118" t="s">
        <v>598</v>
      </c>
      <c r="M69" s="117" t="s">
        <v>599</v>
      </c>
      <c r="N69" s="118" t="s">
        <v>598</v>
      </c>
      <c r="P69" s="117" t="s">
        <v>597</v>
      </c>
      <c r="Q69" s="116" t="s">
        <v>595</v>
      </c>
    </row>
    <row r="70" spans="2:17" ht="12.75">
      <c r="B70" s="127" t="s">
        <v>600</v>
      </c>
      <c r="C70" s="128">
        <v>453</v>
      </c>
      <c r="D70" s="129">
        <v>2213</v>
      </c>
      <c r="H70" s="114">
        <v>292</v>
      </c>
      <c r="I70" s="115" t="s">
        <v>601</v>
      </c>
      <c r="J70" s="116" t="s">
        <v>602</v>
      </c>
      <c r="K70" s="117" t="s">
        <v>603</v>
      </c>
      <c r="L70" s="118" t="s">
        <v>603</v>
      </c>
      <c r="M70" s="117" t="s">
        <v>603</v>
      </c>
      <c r="N70" s="118" t="s">
        <v>603</v>
      </c>
      <c r="P70" s="117" t="s">
        <v>603</v>
      </c>
      <c r="Q70" s="116" t="s">
        <v>601</v>
      </c>
    </row>
    <row r="71" spans="2:17" ht="12.75">
      <c r="B71" s="127" t="s">
        <v>604</v>
      </c>
      <c r="C71" s="128">
        <v>453</v>
      </c>
      <c r="D71" s="129">
        <v>2214</v>
      </c>
      <c r="H71" s="114">
        <v>308</v>
      </c>
      <c r="I71" s="115" t="s">
        <v>605</v>
      </c>
      <c r="J71" s="116" t="s">
        <v>606</v>
      </c>
      <c r="K71" s="117" t="s">
        <v>607</v>
      </c>
      <c r="L71" s="118" t="s">
        <v>608</v>
      </c>
      <c r="M71" s="117" t="s">
        <v>608</v>
      </c>
      <c r="N71" s="118" t="s">
        <v>608</v>
      </c>
      <c r="P71" s="117" t="s">
        <v>607</v>
      </c>
      <c r="Q71" s="116" t="s">
        <v>605</v>
      </c>
    </row>
    <row r="72" spans="2:17" ht="12.75">
      <c r="B72" s="127" t="s">
        <v>609</v>
      </c>
      <c r="C72" s="128">
        <v>453</v>
      </c>
      <c r="D72" s="129">
        <v>2215</v>
      </c>
      <c r="H72" s="114">
        <v>304</v>
      </c>
      <c r="I72" s="115" t="s">
        <v>610</v>
      </c>
      <c r="J72" s="116" t="s">
        <v>611</v>
      </c>
      <c r="K72" s="117" t="s">
        <v>612</v>
      </c>
      <c r="L72" s="118" t="s">
        <v>612</v>
      </c>
      <c r="M72" s="117" t="s">
        <v>613</v>
      </c>
      <c r="N72" s="118" t="s">
        <v>613</v>
      </c>
      <c r="P72" s="117" t="s">
        <v>612</v>
      </c>
      <c r="Q72" s="116" t="s">
        <v>610</v>
      </c>
    </row>
    <row r="73" spans="2:17" ht="12.75">
      <c r="B73" s="127" t="s">
        <v>614</v>
      </c>
      <c r="C73" s="128">
        <v>453</v>
      </c>
      <c r="D73" s="129">
        <v>2216</v>
      </c>
      <c r="H73" s="114">
        <v>268</v>
      </c>
      <c r="I73" s="115" t="s">
        <v>615</v>
      </c>
      <c r="J73" s="116" t="s">
        <v>616</v>
      </c>
      <c r="K73" s="117" t="s">
        <v>617</v>
      </c>
      <c r="L73" s="118" t="s">
        <v>617</v>
      </c>
      <c r="M73" s="117" t="s">
        <v>618</v>
      </c>
      <c r="N73" s="118" t="s">
        <v>618</v>
      </c>
      <c r="P73" s="117" t="s">
        <v>617</v>
      </c>
      <c r="Q73" s="116" t="s">
        <v>615</v>
      </c>
    </row>
    <row r="74" spans="2:17" ht="12.75">
      <c r="B74" s="127" t="s">
        <v>619</v>
      </c>
      <c r="C74" s="128">
        <v>453</v>
      </c>
      <c r="D74" s="129">
        <v>2217</v>
      </c>
      <c r="H74" s="114">
        <v>312</v>
      </c>
      <c r="I74" s="115" t="s">
        <v>620</v>
      </c>
      <c r="J74" s="116" t="s">
        <v>621</v>
      </c>
      <c r="K74" s="117" t="s">
        <v>622</v>
      </c>
      <c r="L74" s="118" t="s">
        <v>623</v>
      </c>
      <c r="M74" s="117" t="s">
        <v>623</v>
      </c>
      <c r="N74" s="118" t="s">
        <v>623</v>
      </c>
      <c r="P74" s="117" t="s">
        <v>622</v>
      </c>
      <c r="Q74" s="116" t="s">
        <v>620</v>
      </c>
    </row>
    <row r="75" spans="2:17" ht="12.75">
      <c r="B75" s="127" t="s">
        <v>624</v>
      </c>
      <c r="C75" s="130">
        <v>454</v>
      </c>
      <c r="D75" s="131">
        <v>2301</v>
      </c>
      <c r="H75" s="114">
        <v>316</v>
      </c>
      <c r="I75" s="115" t="s">
        <v>625</v>
      </c>
      <c r="J75" s="116" t="s">
        <v>626</v>
      </c>
      <c r="K75" s="117" t="s">
        <v>627</v>
      </c>
      <c r="L75" s="118" t="s">
        <v>628</v>
      </c>
      <c r="M75" s="117" t="s">
        <v>628</v>
      </c>
      <c r="N75" s="118" t="s">
        <v>628</v>
      </c>
      <c r="P75" s="117" t="s">
        <v>627</v>
      </c>
      <c r="Q75" s="116" t="s">
        <v>625</v>
      </c>
    </row>
    <row r="76" spans="2:17" ht="12.75">
      <c r="B76" s="127" t="s">
        <v>629</v>
      </c>
      <c r="C76" s="130">
        <v>454</v>
      </c>
      <c r="D76" s="131">
        <v>2302</v>
      </c>
      <c r="H76" s="114">
        <v>320</v>
      </c>
      <c r="I76" s="115" t="s">
        <v>630</v>
      </c>
      <c r="J76" s="116" t="s">
        <v>631</v>
      </c>
      <c r="K76" s="117" t="s">
        <v>632</v>
      </c>
      <c r="L76" s="118" t="s">
        <v>633</v>
      </c>
      <c r="M76" s="117" t="s">
        <v>634</v>
      </c>
      <c r="N76" s="118" t="s">
        <v>633</v>
      </c>
      <c r="P76" s="117" t="s">
        <v>632</v>
      </c>
      <c r="Q76" s="116" t="s">
        <v>630</v>
      </c>
    </row>
    <row r="77" spans="2:17" ht="12.75">
      <c r="B77" s="127" t="s">
        <v>635</v>
      </c>
      <c r="C77" s="130">
        <v>454</v>
      </c>
      <c r="D77" s="131">
        <v>2303</v>
      </c>
      <c r="H77" s="114">
        <v>831</v>
      </c>
      <c r="I77" s="115" t="s">
        <v>636</v>
      </c>
      <c r="J77" s="116" t="s">
        <v>637</v>
      </c>
      <c r="K77" s="117" t="s">
        <v>638</v>
      </c>
      <c r="L77" s="118" t="s">
        <v>639</v>
      </c>
      <c r="M77" s="117" t="s">
        <v>639</v>
      </c>
      <c r="N77" s="118" t="s">
        <v>639</v>
      </c>
      <c r="P77" s="117" t="s">
        <v>638</v>
      </c>
      <c r="Q77" s="116" t="s">
        <v>636</v>
      </c>
    </row>
    <row r="78" spans="2:17" ht="12.75">
      <c r="B78" s="127" t="s">
        <v>640</v>
      </c>
      <c r="C78" s="130">
        <v>454</v>
      </c>
      <c r="D78" s="131">
        <v>2304</v>
      </c>
      <c r="H78" s="114">
        <v>324</v>
      </c>
      <c r="I78" s="115" t="s">
        <v>641</v>
      </c>
      <c r="J78" s="116" t="s">
        <v>642</v>
      </c>
      <c r="K78" s="117" t="s">
        <v>643</v>
      </c>
      <c r="L78" s="118" t="s">
        <v>644</v>
      </c>
      <c r="M78" s="117" t="s">
        <v>645</v>
      </c>
      <c r="N78" s="118" t="s">
        <v>644</v>
      </c>
      <c r="P78" s="117" t="s">
        <v>643</v>
      </c>
      <c r="Q78" s="116" t="s">
        <v>641</v>
      </c>
    </row>
    <row r="79" spans="2:17" ht="12.75">
      <c r="B79" s="127" t="s">
        <v>646</v>
      </c>
      <c r="C79" s="130">
        <v>454</v>
      </c>
      <c r="D79" s="131">
        <v>2305</v>
      </c>
      <c r="H79" s="114">
        <v>624</v>
      </c>
      <c r="I79" s="115" t="s">
        <v>647</v>
      </c>
      <c r="J79" s="116" t="s">
        <v>648</v>
      </c>
      <c r="K79" s="117" t="s">
        <v>649</v>
      </c>
      <c r="L79" s="118" t="s">
        <v>650</v>
      </c>
      <c r="M79" s="117" t="s">
        <v>651</v>
      </c>
      <c r="N79" s="118" t="s">
        <v>650</v>
      </c>
      <c r="P79" s="117" t="s">
        <v>649</v>
      </c>
      <c r="Q79" s="116" t="s">
        <v>647</v>
      </c>
    </row>
    <row r="80" spans="2:17" ht="12.75">
      <c r="B80" s="127" t="s">
        <v>652</v>
      </c>
      <c r="C80" s="130">
        <v>454</v>
      </c>
      <c r="D80" s="131">
        <v>2306</v>
      </c>
      <c r="H80" s="114">
        <v>328</v>
      </c>
      <c r="I80" s="115" t="s">
        <v>653</v>
      </c>
      <c r="J80" s="116" t="s">
        <v>654</v>
      </c>
      <c r="K80" s="117" t="s">
        <v>655</v>
      </c>
      <c r="L80" s="118" t="s">
        <v>656</v>
      </c>
      <c r="M80" s="117" t="s">
        <v>657</v>
      </c>
      <c r="N80" s="118" t="s">
        <v>656</v>
      </c>
      <c r="P80" s="117" t="s">
        <v>655</v>
      </c>
      <c r="Q80" s="116" t="s">
        <v>653</v>
      </c>
    </row>
    <row r="81" spans="2:17" ht="12.75">
      <c r="B81" s="127" t="s">
        <v>658</v>
      </c>
      <c r="C81" s="130">
        <v>454</v>
      </c>
      <c r="D81" s="131">
        <v>2307</v>
      </c>
      <c r="H81" s="114">
        <v>332</v>
      </c>
      <c r="I81" s="115" t="s">
        <v>659</v>
      </c>
      <c r="J81" s="116" t="s">
        <v>660</v>
      </c>
      <c r="K81" s="117" t="s">
        <v>661</v>
      </c>
      <c r="L81" s="118" t="s">
        <v>662</v>
      </c>
      <c r="M81" s="117" t="s">
        <v>663</v>
      </c>
      <c r="N81" s="118" t="s">
        <v>662</v>
      </c>
      <c r="P81" s="117" t="s">
        <v>661</v>
      </c>
      <c r="Q81" s="116" t="s">
        <v>659</v>
      </c>
    </row>
    <row r="82" spans="2:17" ht="12.75">
      <c r="B82" s="127" t="s">
        <v>664</v>
      </c>
      <c r="C82" s="130">
        <v>454</v>
      </c>
      <c r="D82" s="131">
        <v>2308</v>
      </c>
      <c r="H82" s="114">
        <v>334</v>
      </c>
      <c r="I82" s="115" t="s">
        <v>665</v>
      </c>
      <c r="J82" s="116" t="s">
        <v>666</v>
      </c>
      <c r="K82" s="117" t="s">
        <v>667</v>
      </c>
      <c r="L82" s="118" t="s">
        <v>667</v>
      </c>
      <c r="M82" s="117" t="s">
        <v>668</v>
      </c>
      <c r="N82" s="118" t="s">
        <v>668</v>
      </c>
      <c r="P82" s="117" t="s">
        <v>667</v>
      </c>
      <c r="Q82" s="116" t="s">
        <v>665</v>
      </c>
    </row>
    <row r="83" spans="2:17" ht="12.75">
      <c r="B83" s="127" t="s">
        <v>669</v>
      </c>
      <c r="C83" s="130">
        <v>454</v>
      </c>
      <c r="D83" s="131">
        <v>2309</v>
      </c>
      <c r="H83" s="114">
        <v>340</v>
      </c>
      <c r="I83" s="115" t="s">
        <v>670</v>
      </c>
      <c r="J83" s="116" t="s">
        <v>671</v>
      </c>
      <c r="K83" s="117" t="s">
        <v>672</v>
      </c>
      <c r="L83" s="118" t="s">
        <v>673</v>
      </c>
      <c r="M83" s="117" t="s">
        <v>674</v>
      </c>
      <c r="N83" s="118" t="s">
        <v>673</v>
      </c>
      <c r="P83" s="117" t="s">
        <v>672</v>
      </c>
      <c r="Q83" s="116" t="s">
        <v>670</v>
      </c>
    </row>
    <row r="84" spans="2:17" ht="114.75">
      <c r="B84" s="127" t="s">
        <v>675</v>
      </c>
      <c r="C84" s="130">
        <v>454</v>
      </c>
      <c r="D84" s="131">
        <v>2310</v>
      </c>
      <c r="H84" s="132">
        <v>344</v>
      </c>
      <c r="I84" s="133" t="s">
        <v>676</v>
      </c>
      <c r="J84" s="134" t="s">
        <v>677</v>
      </c>
      <c r="K84" s="135" t="s">
        <v>678</v>
      </c>
      <c r="L84" s="136" t="s">
        <v>679</v>
      </c>
      <c r="M84" s="137" t="s">
        <v>680</v>
      </c>
      <c r="N84" s="136" t="s">
        <v>681</v>
      </c>
      <c r="P84" s="135" t="s">
        <v>678</v>
      </c>
      <c r="Q84" s="134" t="s">
        <v>676</v>
      </c>
    </row>
    <row r="85" spans="2:17" ht="12.75">
      <c r="B85" s="127" t="s">
        <v>682</v>
      </c>
      <c r="C85" s="130">
        <v>454</v>
      </c>
      <c r="D85" s="131">
        <v>2311</v>
      </c>
      <c r="H85" s="114">
        <v>152</v>
      </c>
      <c r="I85" s="115" t="s">
        <v>683</v>
      </c>
      <c r="J85" s="116" t="s">
        <v>684</v>
      </c>
      <c r="K85" s="117" t="s">
        <v>685</v>
      </c>
      <c r="L85" s="118" t="s">
        <v>686</v>
      </c>
      <c r="M85" s="117" t="s">
        <v>687</v>
      </c>
      <c r="N85" s="118" t="s">
        <v>686</v>
      </c>
      <c r="P85" s="117" t="s">
        <v>685</v>
      </c>
      <c r="Q85" s="116" t="s">
        <v>683</v>
      </c>
    </row>
    <row r="86" spans="2:17" ht="12.75">
      <c r="B86" s="127" t="s">
        <v>688</v>
      </c>
      <c r="C86" s="130">
        <v>454</v>
      </c>
      <c r="D86" s="131">
        <v>2312</v>
      </c>
      <c r="H86" s="114">
        <v>191</v>
      </c>
      <c r="I86" s="115" t="s">
        <v>689</v>
      </c>
      <c r="J86" s="116" t="s">
        <v>690</v>
      </c>
      <c r="K86" s="117" t="s">
        <v>691</v>
      </c>
      <c r="L86" s="118" t="s">
        <v>692</v>
      </c>
      <c r="M86" s="117" t="s">
        <v>693</v>
      </c>
      <c r="N86" s="118" t="s">
        <v>694</v>
      </c>
      <c r="P86" s="117" t="s">
        <v>691</v>
      </c>
      <c r="Q86" s="116" t="s">
        <v>689</v>
      </c>
    </row>
    <row r="87" spans="2:17" ht="12.75">
      <c r="B87" s="127" t="s">
        <v>695</v>
      </c>
      <c r="C87" s="130">
        <v>454</v>
      </c>
      <c r="D87" s="131">
        <v>2313</v>
      </c>
      <c r="H87" s="114">
        <v>356</v>
      </c>
      <c r="I87" s="115" t="s">
        <v>696</v>
      </c>
      <c r="J87" s="116" t="s">
        <v>697</v>
      </c>
      <c r="K87" s="117" t="s">
        <v>698</v>
      </c>
      <c r="L87" s="118" t="s">
        <v>699</v>
      </c>
      <c r="M87" s="117" t="s">
        <v>700</v>
      </c>
      <c r="N87" s="118" t="s">
        <v>701</v>
      </c>
      <c r="P87" s="117" t="s">
        <v>698</v>
      </c>
      <c r="Q87" s="116" t="s">
        <v>696</v>
      </c>
    </row>
    <row r="88" spans="2:17" ht="12.75">
      <c r="B88" s="127" t="s">
        <v>702</v>
      </c>
      <c r="C88" s="130">
        <v>454</v>
      </c>
      <c r="D88" s="131">
        <v>2314</v>
      </c>
      <c r="H88" s="114">
        <v>360</v>
      </c>
      <c r="I88" s="115" t="s">
        <v>703</v>
      </c>
      <c r="J88" s="116" t="s">
        <v>704</v>
      </c>
      <c r="K88" s="117" t="s">
        <v>705</v>
      </c>
      <c r="L88" s="118" t="s">
        <v>706</v>
      </c>
      <c r="M88" s="117" t="s">
        <v>707</v>
      </c>
      <c r="N88" s="118" t="s">
        <v>708</v>
      </c>
      <c r="P88" s="117" t="s">
        <v>705</v>
      </c>
      <c r="Q88" s="116" t="s">
        <v>703</v>
      </c>
    </row>
    <row r="89" spans="2:17" ht="12.75">
      <c r="B89" s="127" t="s">
        <v>709</v>
      </c>
      <c r="C89" s="130">
        <v>454</v>
      </c>
      <c r="D89" s="131">
        <v>2315</v>
      </c>
      <c r="H89" s="114">
        <v>368</v>
      </c>
      <c r="I89" s="115" t="s">
        <v>710</v>
      </c>
      <c r="J89" s="116" t="s">
        <v>711</v>
      </c>
      <c r="K89" s="117" t="s">
        <v>712</v>
      </c>
      <c r="L89" s="118" t="s">
        <v>713</v>
      </c>
      <c r="M89" s="117" t="s">
        <v>714</v>
      </c>
      <c r="N89" s="118" t="s">
        <v>715</v>
      </c>
      <c r="P89" s="117" t="s">
        <v>712</v>
      </c>
      <c r="Q89" s="116" t="s">
        <v>710</v>
      </c>
    </row>
    <row r="90" spans="2:17" ht="12.75">
      <c r="B90" s="127" t="s">
        <v>716</v>
      </c>
      <c r="C90" s="130">
        <v>455</v>
      </c>
      <c r="D90" s="138">
        <v>2401</v>
      </c>
      <c r="H90" s="114">
        <v>364</v>
      </c>
      <c r="I90" s="115" t="s">
        <v>717</v>
      </c>
      <c r="J90" s="116" t="s">
        <v>718</v>
      </c>
      <c r="K90" s="117" t="s">
        <v>719</v>
      </c>
      <c r="L90" s="118" t="s">
        <v>720</v>
      </c>
      <c r="M90" s="117" t="s">
        <v>721</v>
      </c>
      <c r="N90" s="118" t="s">
        <v>722</v>
      </c>
      <c r="P90" s="117" t="s">
        <v>719</v>
      </c>
      <c r="Q90" s="116" t="s">
        <v>717</v>
      </c>
    </row>
    <row r="91" spans="2:17" ht="12.75">
      <c r="B91" s="127" t="s">
        <v>723</v>
      </c>
      <c r="C91" s="130">
        <v>455</v>
      </c>
      <c r="D91" s="138">
        <v>2402</v>
      </c>
      <c r="H91" s="114">
        <v>372</v>
      </c>
      <c r="I91" s="115" t="s">
        <v>724</v>
      </c>
      <c r="J91" s="116" t="s">
        <v>725</v>
      </c>
      <c r="K91" s="117" t="s">
        <v>726</v>
      </c>
      <c r="L91" s="118" t="s">
        <v>726</v>
      </c>
      <c r="M91" s="117" t="s">
        <v>727</v>
      </c>
      <c r="N91" s="118" t="s">
        <v>727</v>
      </c>
      <c r="P91" s="117" t="s">
        <v>726</v>
      </c>
      <c r="Q91" s="116" t="s">
        <v>724</v>
      </c>
    </row>
    <row r="92" spans="2:17" ht="12.75">
      <c r="B92" s="127" t="s">
        <v>728</v>
      </c>
      <c r="C92" s="130">
        <v>455</v>
      </c>
      <c r="D92" s="138">
        <v>2403</v>
      </c>
      <c r="H92" s="114">
        <v>352</v>
      </c>
      <c r="I92" s="115" t="s">
        <v>729</v>
      </c>
      <c r="J92" s="116" t="s">
        <v>730</v>
      </c>
      <c r="K92" s="117" t="s">
        <v>731</v>
      </c>
      <c r="L92" s="118" t="s">
        <v>732</v>
      </c>
      <c r="M92" s="117" t="s">
        <v>733</v>
      </c>
      <c r="N92" s="118" t="s">
        <v>734</v>
      </c>
      <c r="P92" s="117" t="s">
        <v>731</v>
      </c>
      <c r="Q92" s="116" t="s">
        <v>729</v>
      </c>
    </row>
    <row r="93" spans="2:17" ht="12.75">
      <c r="B93" s="127" t="s">
        <v>735</v>
      </c>
      <c r="C93" s="130">
        <v>455</v>
      </c>
      <c r="D93" s="138">
        <v>2404</v>
      </c>
      <c r="H93" s="114">
        <v>380</v>
      </c>
      <c r="I93" s="115" t="s">
        <v>736</v>
      </c>
      <c r="J93" s="116" t="s">
        <v>737</v>
      </c>
      <c r="K93" s="117" t="s">
        <v>738</v>
      </c>
      <c r="L93" s="118" t="s">
        <v>739</v>
      </c>
      <c r="M93" s="117" t="s">
        <v>740</v>
      </c>
      <c r="N93" s="118" t="s">
        <v>741</v>
      </c>
      <c r="P93" s="117" t="s">
        <v>738</v>
      </c>
      <c r="Q93" s="116" t="s">
        <v>736</v>
      </c>
    </row>
    <row r="94" spans="2:17" ht="12.75">
      <c r="B94" s="127" t="s">
        <v>742</v>
      </c>
      <c r="C94" s="130">
        <v>455</v>
      </c>
      <c r="D94" s="138">
        <v>2405</v>
      </c>
      <c r="H94" s="114">
        <v>376</v>
      </c>
      <c r="I94" s="115" t="s">
        <v>743</v>
      </c>
      <c r="J94" s="116" t="s">
        <v>744</v>
      </c>
      <c r="K94" s="117" t="s">
        <v>745</v>
      </c>
      <c r="L94" s="118" t="s">
        <v>746</v>
      </c>
      <c r="M94" s="117" t="s">
        <v>747</v>
      </c>
      <c r="N94" s="118" t="s">
        <v>748</v>
      </c>
      <c r="P94" s="117" t="s">
        <v>745</v>
      </c>
      <c r="Q94" s="116" t="s">
        <v>743</v>
      </c>
    </row>
    <row r="95" spans="2:17" ht="12.75">
      <c r="B95" s="127" t="s">
        <v>749</v>
      </c>
      <c r="C95" s="130">
        <v>455</v>
      </c>
      <c r="D95" s="138">
        <v>2406</v>
      </c>
      <c r="H95" s="114">
        <v>388</v>
      </c>
      <c r="I95" s="115" t="s">
        <v>750</v>
      </c>
      <c r="J95" s="116" t="s">
        <v>751</v>
      </c>
      <c r="K95" s="117" t="s">
        <v>752</v>
      </c>
      <c r="L95" s="118" t="s">
        <v>752</v>
      </c>
      <c r="M95" s="117" t="s">
        <v>753</v>
      </c>
      <c r="N95" s="118" t="s">
        <v>753</v>
      </c>
      <c r="P95" s="117" t="s">
        <v>752</v>
      </c>
      <c r="Q95" s="116" t="s">
        <v>750</v>
      </c>
    </row>
    <row r="96" spans="2:17" ht="12.75">
      <c r="B96" s="127" t="s">
        <v>754</v>
      </c>
      <c r="C96" s="130">
        <v>455</v>
      </c>
      <c r="D96" s="138">
        <v>2407</v>
      </c>
      <c r="H96" s="114">
        <v>392</v>
      </c>
      <c r="I96" s="115" t="s">
        <v>755</v>
      </c>
      <c r="J96" s="116" t="s">
        <v>756</v>
      </c>
      <c r="K96" s="117" t="s">
        <v>757</v>
      </c>
      <c r="L96" s="118" t="s">
        <v>757</v>
      </c>
      <c r="M96" s="117" t="s">
        <v>758</v>
      </c>
      <c r="N96" s="118" t="s">
        <v>758</v>
      </c>
      <c r="P96" s="117" t="s">
        <v>757</v>
      </c>
      <c r="Q96" s="116" t="s">
        <v>755</v>
      </c>
    </row>
    <row r="97" spans="2:17" ht="12.75">
      <c r="B97" s="127" t="s">
        <v>759</v>
      </c>
      <c r="C97" s="130">
        <v>456</v>
      </c>
      <c r="D97" s="131">
        <v>2501</v>
      </c>
      <c r="H97" s="114">
        <v>887</v>
      </c>
      <c r="I97" s="115" t="s">
        <v>760</v>
      </c>
      <c r="J97" s="116" t="s">
        <v>761</v>
      </c>
      <c r="K97" s="117" t="s">
        <v>762</v>
      </c>
      <c r="L97" s="118" t="s">
        <v>763</v>
      </c>
      <c r="M97" s="117" t="s">
        <v>764</v>
      </c>
      <c r="N97" s="118" t="s">
        <v>765</v>
      </c>
      <c r="P97" s="117" t="s">
        <v>762</v>
      </c>
      <c r="Q97" s="116" t="s">
        <v>760</v>
      </c>
    </row>
    <row r="98" spans="2:17" ht="12.75">
      <c r="B98" s="127" t="s">
        <v>766</v>
      </c>
      <c r="C98" s="130">
        <v>456</v>
      </c>
      <c r="D98" s="131">
        <v>2502</v>
      </c>
      <c r="H98" s="114">
        <v>832</v>
      </c>
      <c r="I98" s="115" t="s">
        <v>767</v>
      </c>
      <c r="J98" s="116" t="s">
        <v>768</v>
      </c>
      <c r="K98" s="117" t="s">
        <v>769</v>
      </c>
      <c r="L98" s="118" t="s">
        <v>770</v>
      </c>
      <c r="M98" s="117" t="s">
        <v>770</v>
      </c>
      <c r="N98" s="118" t="s">
        <v>770</v>
      </c>
      <c r="P98" s="117" t="s">
        <v>769</v>
      </c>
      <c r="Q98" s="116" t="s">
        <v>767</v>
      </c>
    </row>
    <row r="99" spans="2:17" ht="12.75">
      <c r="B99" s="127" t="s">
        <v>771</v>
      </c>
      <c r="C99" s="130">
        <v>456</v>
      </c>
      <c r="D99" s="131">
        <v>2503</v>
      </c>
      <c r="H99" s="114">
        <v>710</v>
      </c>
      <c r="I99" s="115" t="s">
        <v>772</v>
      </c>
      <c r="J99" s="116" t="s">
        <v>773</v>
      </c>
      <c r="K99" s="117" t="s">
        <v>774</v>
      </c>
      <c r="L99" s="118" t="s">
        <v>775</v>
      </c>
      <c r="M99" s="117" t="s">
        <v>776</v>
      </c>
      <c r="N99" s="118" t="s">
        <v>777</v>
      </c>
      <c r="P99" s="117" t="s">
        <v>774</v>
      </c>
      <c r="Q99" s="116" t="s">
        <v>772</v>
      </c>
    </row>
    <row r="100" spans="2:17" ht="12.75">
      <c r="B100" s="127" t="s">
        <v>778</v>
      </c>
      <c r="C100" s="130">
        <v>456</v>
      </c>
      <c r="D100" s="131">
        <v>2504</v>
      </c>
      <c r="H100" s="114">
        <v>239</v>
      </c>
      <c r="I100" s="115" t="s">
        <v>779</v>
      </c>
      <c r="J100" s="116" t="s">
        <v>780</v>
      </c>
      <c r="K100" s="117" t="s">
        <v>781</v>
      </c>
      <c r="L100" s="118" t="s">
        <v>781</v>
      </c>
      <c r="M100" s="117" t="s">
        <v>782</v>
      </c>
      <c r="N100" s="117" t="s">
        <v>782</v>
      </c>
      <c r="P100" s="117" t="s">
        <v>781</v>
      </c>
      <c r="Q100" s="116" t="s">
        <v>779</v>
      </c>
    </row>
    <row r="101" spans="2:17" ht="12.75">
      <c r="B101" s="127" t="s">
        <v>783</v>
      </c>
      <c r="C101" s="130">
        <v>456</v>
      </c>
      <c r="D101" s="131">
        <v>2505</v>
      </c>
      <c r="H101" s="114">
        <v>728</v>
      </c>
      <c r="I101" s="115" t="s">
        <v>784</v>
      </c>
      <c r="J101" s="116" t="s">
        <v>785</v>
      </c>
      <c r="K101" s="117" t="s">
        <v>786</v>
      </c>
      <c r="L101" s="118" t="s">
        <v>787</v>
      </c>
      <c r="M101" s="117" t="s">
        <v>788</v>
      </c>
      <c r="N101" s="118" t="s">
        <v>789</v>
      </c>
      <c r="P101" s="117" t="s">
        <v>786</v>
      </c>
      <c r="Q101" s="116" t="s">
        <v>784</v>
      </c>
    </row>
    <row r="102" spans="2:17" ht="12.75">
      <c r="B102" s="127" t="s">
        <v>790</v>
      </c>
      <c r="C102" s="130">
        <v>456</v>
      </c>
      <c r="D102" s="131">
        <v>2506</v>
      </c>
      <c r="H102" s="114">
        <v>400</v>
      </c>
      <c r="I102" s="115" t="s">
        <v>791</v>
      </c>
      <c r="J102" s="116" t="s">
        <v>792</v>
      </c>
      <c r="K102" s="117" t="s">
        <v>793</v>
      </c>
      <c r="L102" s="118" t="s">
        <v>794</v>
      </c>
      <c r="M102" s="117" t="s">
        <v>795</v>
      </c>
      <c r="N102" s="118" t="s">
        <v>796</v>
      </c>
      <c r="P102" s="117" t="s">
        <v>793</v>
      </c>
      <c r="Q102" s="116" t="s">
        <v>791</v>
      </c>
    </row>
    <row r="103" spans="2:17" ht="12.75">
      <c r="B103" s="127" t="s">
        <v>797</v>
      </c>
      <c r="C103" s="130">
        <v>456</v>
      </c>
      <c r="D103" s="131">
        <v>2507</v>
      </c>
      <c r="H103" s="114">
        <v>136</v>
      </c>
      <c r="I103" s="115" t="s">
        <v>798</v>
      </c>
      <c r="J103" s="116" t="s">
        <v>799</v>
      </c>
      <c r="K103" s="117" t="s">
        <v>800</v>
      </c>
      <c r="L103" s="118" t="s">
        <v>800</v>
      </c>
      <c r="M103" s="118" t="s">
        <v>801</v>
      </c>
      <c r="N103" s="118" t="s">
        <v>801</v>
      </c>
      <c r="P103" s="117" t="s">
        <v>800</v>
      </c>
      <c r="Q103" s="116" t="s">
        <v>798</v>
      </c>
    </row>
    <row r="104" spans="2:17" ht="12.75">
      <c r="B104" s="127" t="s">
        <v>802</v>
      </c>
      <c r="C104" s="130">
        <v>456</v>
      </c>
      <c r="D104" s="131">
        <v>2508</v>
      </c>
      <c r="H104" s="114">
        <v>116</v>
      </c>
      <c r="I104" s="115" t="s">
        <v>803</v>
      </c>
      <c r="J104" s="116" t="s">
        <v>804</v>
      </c>
      <c r="K104" s="117" t="s">
        <v>805</v>
      </c>
      <c r="L104" s="118" t="s">
        <v>806</v>
      </c>
      <c r="M104" s="117" t="s">
        <v>807</v>
      </c>
      <c r="N104" s="118" t="s">
        <v>808</v>
      </c>
      <c r="P104" s="117" t="s">
        <v>805</v>
      </c>
      <c r="Q104" s="116" t="s">
        <v>803</v>
      </c>
    </row>
    <row r="105" spans="2:17" ht="12.75">
      <c r="B105" s="127" t="s">
        <v>809</v>
      </c>
      <c r="C105" s="130">
        <v>456</v>
      </c>
      <c r="D105" s="131">
        <v>2509</v>
      </c>
      <c r="H105" s="114">
        <v>120</v>
      </c>
      <c r="I105" s="115" t="s">
        <v>810</v>
      </c>
      <c r="J105" s="116" t="s">
        <v>811</v>
      </c>
      <c r="K105" s="117" t="s">
        <v>812</v>
      </c>
      <c r="L105" s="118" t="s">
        <v>813</v>
      </c>
      <c r="M105" s="117" t="s">
        <v>814</v>
      </c>
      <c r="N105" s="118" t="s">
        <v>815</v>
      </c>
      <c r="P105" s="117" t="s">
        <v>812</v>
      </c>
      <c r="Q105" s="116" t="s">
        <v>810</v>
      </c>
    </row>
    <row r="106" spans="2:17" ht="12.75">
      <c r="B106" s="127" t="s">
        <v>816</v>
      </c>
      <c r="C106" s="130">
        <v>456</v>
      </c>
      <c r="D106" s="131">
        <v>2510</v>
      </c>
      <c r="H106" s="114">
        <v>124</v>
      </c>
      <c r="I106" s="115" t="s">
        <v>817</v>
      </c>
      <c r="J106" s="116" t="s">
        <v>818</v>
      </c>
      <c r="K106" s="117" t="s">
        <v>819</v>
      </c>
      <c r="L106" s="118" t="s">
        <v>819</v>
      </c>
      <c r="M106" s="117" t="s">
        <v>820</v>
      </c>
      <c r="N106" s="118" t="s">
        <v>820</v>
      </c>
      <c r="P106" s="117" t="s">
        <v>819</v>
      </c>
      <c r="Q106" s="116" t="s">
        <v>817</v>
      </c>
    </row>
    <row r="107" spans="2:17" ht="12.75">
      <c r="B107" s="127" t="s">
        <v>821</v>
      </c>
      <c r="C107" s="130">
        <v>456</v>
      </c>
      <c r="D107" s="131">
        <v>2511</v>
      </c>
      <c r="H107" s="114">
        <v>132</v>
      </c>
      <c r="I107" s="115" t="s">
        <v>822</v>
      </c>
      <c r="J107" s="116" t="s">
        <v>823</v>
      </c>
      <c r="K107" s="117" t="s">
        <v>824</v>
      </c>
      <c r="L107" s="118" t="s">
        <v>825</v>
      </c>
      <c r="M107" s="117" t="s">
        <v>826</v>
      </c>
      <c r="N107" s="118" t="s">
        <v>827</v>
      </c>
      <c r="P107" s="117" t="s">
        <v>824</v>
      </c>
      <c r="Q107" s="116" t="s">
        <v>822</v>
      </c>
    </row>
    <row r="108" spans="2:17" ht="12.75">
      <c r="B108" s="127" t="s">
        <v>828</v>
      </c>
      <c r="C108" s="130">
        <v>456</v>
      </c>
      <c r="D108" s="131">
        <v>2512</v>
      </c>
      <c r="H108" s="114">
        <v>634</v>
      </c>
      <c r="I108" s="115" t="s">
        <v>829</v>
      </c>
      <c r="J108" s="116" t="s">
        <v>830</v>
      </c>
      <c r="K108" s="117" t="s">
        <v>831</v>
      </c>
      <c r="L108" s="118" t="s">
        <v>832</v>
      </c>
      <c r="M108" s="117" t="s">
        <v>833</v>
      </c>
      <c r="N108" s="118" t="s">
        <v>834</v>
      </c>
      <c r="P108" s="117" t="s">
        <v>831</v>
      </c>
      <c r="Q108" s="116" t="s">
        <v>829</v>
      </c>
    </row>
    <row r="109" spans="2:17" ht="12.75">
      <c r="B109" s="127" t="s">
        <v>835</v>
      </c>
      <c r="C109" s="130">
        <v>456</v>
      </c>
      <c r="D109" s="131">
        <v>2513</v>
      </c>
      <c r="H109" s="114">
        <v>398</v>
      </c>
      <c r="I109" s="115" t="s">
        <v>836</v>
      </c>
      <c r="J109" s="116" t="s">
        <v>837</v>
      </c>
      <c r="K109" s="117" t="s">
        <v>838</v>
      </c>
      <c r="L109" s="118" t="s">
        <v>839</v>
      </c>
      <c r="M109" s="117" t="s">
        <v>840</v>
      </c>
      <c r="N109" s="118" t="s">
        <v>841</v>
      </c>
      <c r="P109" s="117" t="s">
        <v>838</v>
      </c>
      <c r="Q109" s="116" t="s">
        <v>836</v>
      </c>
    </row>
    <row r="110" spans="2:17" ht="12.75">
      <c r="B110" s="127" t="s">
        <v>842</v>
      </c>
      <c r="C110" s="130">
        <v>456</v>
      </c>
      <c r="D110" s="131">
        <v>2514</v>
      </c>
      <c r="H110" s="114">
        <v>404</v>
      </c>
      <c r="I110" s="115" t="s">
        <v>843</v>
      </c>
      <c r="J110" s="116" t="s">
        <v>844</v>
      </c>
      <c r="K110" s="117" t="s">
        <v>845</v>
      </c>
      <c r="L110" s="118" t="s">
        <v>846</v>
      </c>
      <c r="M110" s="117" t="s">
        <v>847</v>
      </c>
      <c r="N110" s="118" t="s">
        <v>848</v>
      </c>
      <c r="P110" s="117" t="s">
        <v>845</v>
      </c>
      <c r="Q110" s="116" t="s">
        <v>843</v>
      </c>
    </row>
    <row r="111" spans="2:17" ht="12.75">
      <c r="B111" s="127" t="s">
        <v>849</v>
      </c>
      <c r="C111" s="130">
        <v>456</v>
      </c>
      <c r="D111" s="131">
        <v>2515</v>
      </c>
      <c r="H111" s="114">
        <v>296</v>
      </c>
      <c r="I111" s="115" t="s">
        <v>850</v>
      </c>
      <c r="J111" s="116" t="s">
        <v>851</v>
      </c>
      <c r="K111" s="117" t="s">
        <v>852</v>
      </c>
      <c r="L111" s="118" t="s">
        <v>853</v>
      </c>
      <c r="M111" s="117" t="s">
        <v>854</v>
      </c>
      <c r="N111" s="118" t="s">
        <v>853</v>
      </c>
      <c r="P111" s="117" t="s">
        <v>852</v>
      </c>
      <c r="Q111" s="116" t="s">
        <v>850</v>
      </c>
    </row>
    <row r="112" spans="2:17" ht="12.75">
      <c r="B112" s="113" t="s">
        <v>855</v>
      </c>
      <c r="C112" s="130">
        <v>457</v>
      </c>
      <c r="D112" s="131">
        <v>2601</v>
      </c>
      <c r="H112" s="114">
        <v>166</v>
      </c>
      <c r="I112" s="115" t="s">
        <v>856</v>
      </c>
      <c r="J112" s="116" t="s">
        <v>857</v>
      </c>
      <c r="K112" s="117" t="s">
        <v>858</v>
      </c>
      <c r="L112" s="117" t="s">
        <v>859</v>
      </c>
      <c r="M112" s="118" t="s">
        <v>860</v>
      </c>
      <c r="N112" s="118" t="s">
        <v>860</v>
      </c>
      <c r="P112" s="117" t="s">
        <v>858</v>
      </c>
      <c r="Q112" s="116" t="s">
        <v>856</v>
      </c>
    </row>
    <row r="113" spans="2:17" ht="12.75">
      <c r="B113" s="127" t="s">
        <v>861</v>
      </c>
      <c r="C113" s="130">
        <v>457</v>
      </c>
      <c r="D113" s="139">
        <v>2602</v>
      </c>
      <c r="H113" s="114">
        <v>170</v>
      </c>
      <c r="I113" s="115" t="s">
        <v>862</v>
      </c>
      <c r="J113" s="116" t="s">
        <v>863</v>
      </c>
      <c r="K113" s="117" t="s">
        <v>864</v>
      </c>
      <c r="L113" s="118" t="s">
        <v>865</v>
      </c>
      <c r="M113" s="117" t="s">
        <v>866</v>
      </c>
      <c r="N113" s="118" t="s">
        <v>867</v>
      </c>
      <c r="P113" s="117" t="s">
        <v>864</v>
      </c>
      <c r="Q113" s="116" t="s">
        <v>862</v>
      </c>
    </row>
    <row r="114" spans="2:17" ht="12.75">
      <c r="B114" s="127" t="s">
        <v>868</v>
      </c>
      <c r="C114" s="130">
        <v>457</v>
      </c>
      <c r="D114" s="131">
        <v>2603</v>
      </c>
      <c r="H114" s="114">
        <v>174</v>
      </c>
      <c r="I114" s="115" t="s">
        <v>869</v>
      </c>
      <c r="J114" s="116" t="s">
        <v>870</v>
      </c>
      <c r="K114" s="117" t="s">
        <v>871</v>
      </c>
      <c r="L114" s="118" t="s">
        <v>872</v>
      </c>
      <c r="M114" s="117" t="s">
        <v>873</v>
      </c>
      <c r="N114" s="118" t="s">
        <v>874</v>
      </c>
      <c r="P114" s="117" t="s">
        <v>871</v>
      </c>
      <c r="Q114" s="116" t="s">
        <v>869</v>
      </c>
    </row>
    <row r="115" spans="2:17" ht="12.75">
      <c r="B115" s="127" t="s">
        <v>875</v>
      </c>
      <c r="C115" s="130">
        <v>457</v>
      </c>
      <c r="D115" s="139">
        <v>2604</v>
      </c>
      <c r="H115" s="114">
        <v>178</v>
      </c>
      <c r="I115" s="115" t="s">
        <v>876</v>
      </c>
      <c r="J115" s="116" t="s">
        <v>877</v>
      </c>
      <c r="K115" s="117" t="s">
        <v>878</v>
      </c>
      <c r="L115" s="117" t="s">
        <v>878</v>
      </c>
      <c r="M115" s="117" t="s">
        <v>879</v>
      </c>
      <c r="N115" s="118" t="s">
        <v>880</v>
      </c>
      <c r="P115" s="117" t="s">
        <v>878</v>
      </c>
      <c r="Q115" s="116" t="s">
        <v>876</v>
      </c>
    </row>
    <row r="116" spans="2:17" ht="12.75">
      <c r="B116" s="127" t="s">
        <v>881</v>
      </c>
      <c r="C116" s="130">
        <v>457</v>
      </c>
      <c r="D116" s="131">
        <v>2605</v>
      </c>
      <c r="H116" s="114">
        <v>408</v>
      </c>
      <c r="I116" s="115" t="s">
        <v>882</v>
      </c>
      <c r="J116" s="116" t="s">
        <v>883</v>
      </c>
      <c r="K116" s="117" t="s">
        <v>884</v>
      </c>
      <c r="L116" s="117" t="s">
        <v>884</v>
      </c>
      <c r="M116" s="117" t="s">
        <v>885</v>
      </c>
      <c r="N116" s="118" t="s">
        <v>886</v>
      </c>
      <c r="P116" s="117" t="s">
        <v>884</v>
      </c>
      <c r="Q116" s="116" t="s">
        <v>882</v>
      </c>
    </row>
    <row r="117" spans="2:17" ht="12.75">
      <c r="B117" s="127" t="s">
        <v>887</v>
      </c>
      <c r="C117" s="130">
        <v>457</v>
      </c>
      <c r="D117" s="139">
        <v>2606</v>
      </c>
      <c r="H117" s="114">
        <v>410</v>
      </c>
      <c r="I117" s="115" t="s">
        <v>888</v>
      </c>
      <c r="J117" s="116" t="s">
        <v>889</v>
      </c>
      <c r="K117" s="117" t="s">
        <v>890</v>
      </c>
      <c r="L117" s="117" t="s">
        <v>890</v>
      </c>
      <c r="M117" s="117" t="s">
        <v>891</v>
      </c>
      <c r="N117" s="118" t="s">
        <v>892</v>
      </c>
      <c r="P117" s="117" t="s">
        <v>890</v>
      </c>
      <c r="Q117" s="116" t="s">
        <v>888</v>
      </c>
    </row>
    <row r="118" spans="2:17" ht="12.75">
      <c r="B118" s="127" t="s">
        <v>893</v>
      </c>
      <c r="C118" s="130">
        <v>457</v>
      </c>
      <c r="D118" s="131">
        <v>2607</v>
      </c>
      <c r="H118" s="114">
        <v>95</v>
      </c>
      <c r="I118" s="115" t="s">
        <v>894</v>
      </c>
      <c r="J118" s="116" t="s">
        <v>895</v>
      </c>
      <c r="K118" s="117" t="s">
        <v>896</v>
      </c>
      <c r="L118" s="117" t="s">
        <v>897</v>
      </c>
      <c r="M118" s="117"/>
      <c r="N118" s="118"/>
      <c r="P118" s="117" t="s">
        <v>896</v>
      </c>
      <c r="Q118" s="116" t="s">
        <v>894</v>
      </c>
    </row>
    <row r="119" spans="2:17" ht="12.75">
      <c r="B119" s="127" t="s">
        <v>898</v>
      </c>
      <c r="C119" s="130">
        <v>457</v>
      </c>
      <c r="D119" s="139">
        <v>2608</v>
      </c>
      <c r="H119" s="114">
        <v>188</v>
      </c>
      <c r="I119" s="115" t="s">
        <v>899</v>
      </c>
      <c r="J119" s="116" t="s">
        <v>900</v>
      </c>
      <c r="K119" s="117" t="s">
        <v>901</v>
      </c>
      <c r="L119" s="118" t="s">
        <v>902</v>
      </c>
      <c r="M119" s="117" t="s">
        <v>903</v>
      </c>
      <c r="N119" s="118" t="s">
        <v>904</v>
      </c>
      <c r="P119" s="117" t="s">
        <v>901</v>
      </c>
      <c r="Q119" s="116" t="s">
        <v>899</v>
      </c>
    </row>
    <row r="120" spans="2:17" ht="12.75">
      <c r="B120" s="127" t="s">
        <v>905</v>
      </c>
      <c r="C120" s="130">
        <v>457</v>
      </c>
      <c r="D120" s="131">
        <v>2609</v>
      </c>
      <c r="H120" s="114">
        <v>192</v>
      </c>
      <c r="I120" s="115" t="s">
        <v>906</v>
      </c>
      <c r="J120" s="116" t="s">
        <v>907</v>
      </c>
      <c r="K120" s="117" t="s">
        <v>908</v>
      </c>
      <c r="L120" s="118" t="s">
        <v>909</v>
      </c>
      <c r="M120" s="117" t="s">
        <v>910</v>
      </c>
      <c r="N120" s="118" t="s">
        <v>911</v>
      </c>
      <c r="P120" s="117" t="s">
        <v>908</v>
      </c>
      <c r="Q120" s="116" t="s">
        <v>906</v>
      </c>
    </row>
    <row r="121" spans="2:17" ht="12.75">
      <c r="B121" s="127" t="s">
        <v>912</v>
      </c>
      <c r="C121" s="130">
        <v>457</v>
      </c>
      <c r="D121" s="139">
        <v>2610</v>
      </c>
      <c r="H121" s="114">
        <v>414</v>
      </c>
      <c r="I121" s="115" t="s">
        <v>913</v>
      </c>
      <c r="J121" s="116" t="s">
        <v>914</v>
      </c>
      <c r="K121" s="117" t="s">
        <v>915</v>
      </c>
      <c r="L121" s="118" t="s">
        <v>916</v>
      </c>
      <c r="M121" s="117" t="s">
        <v>917</v>
      </c>
      <c r="N121" s="118" t="s">
        <v>918</v>
      </c>
      <c r="P121" s="117" t="s">
        <v>915</v>
      </c>
      <c r="Q121" s="116" t="s">
        <v>913</v>
      </c>
    </row>
    <row r="122" spans="2:17" ht="12.75">
      <c r="B122" s="127" t="s">
        <v>919</v>
      </c>
      <c r="C122" s="130">
        <v>458</v>
      </c>
      <c r="D122" s="131">
        <v>2701</v>
      </c>
      <c r="H122" s="114">
        <v>196</v>
      </c>
      <c r="I122" s="115" t="s">
        <v>920</v>
      </c>
      <c r="J122" s="116" t="s">
        <v>921</v>
      </c>
      <c r="K122" s="117" t="s">
        <v>922</v>
      </c>
      <c r="L122" s="118" t="s">
        <v>923</v>
      </c>
      <c r="M122" s="117" t="s">
        <v>924</v>
      </c>
      <c r="N122" s="118" t="s">
        <v>925</v>
      </c>
      <c r="P122" s="117" t="s">
        <v>922</v>
      </c>
      <c r="Q122" s="116" t="s">
        <v>920</v>
      </c>
    </row>
    <row r="123" spans="2:17" ht="12.75">
      <c r="B123" s="127" t="s">
        <v>926</v>
      </c>
      <c r="C123" s="130">
        <v>458</v>
      </c>
      <c r="D123" s="131">
        <v>2702</v>
      </c>
      <c r="H123" s="114">
        <v>417</v>
      </c>
      <c r="I123" s="115" t="s">
        <v>927</v>
      </c>
      <c r="J123" s="116" t="s">
        <v>928</v>
      </c>
      <c r="K123" s="117" t="s">
        <v>929</v>
      </c>
      <c r="L123" s="118" t="s">
        <v>930</v>
      </c>
      <c r="M123" s="117" t="s">
        <v>931</v>
      </c>
      <c r="N123" s="118" t="s">
        <v>932</v>
      </c>
      <c r="P123" s="117" t="s">
        <v>929</v>
      </c>
      <c r="Q123" s="116" t="s">
        <v>927</v>
      </c>
    </row>
    <row r="124" spans="2:17" ht="15">
      <c r="B124" s="127" t="s">
        <v>933</v>
      </c>
      <c r="C124" s="130">
        <v>458</v>
      </c>
      <c r="D124" s="131">
        <v>2703</v>
      </c>
      <c r="H124" s="140">
        <v>418</v>
      </c>
      <c r="I124" s="141" t="s">
        <v>934</v>
      </c>
      <c r="J124" s="142" t="s">
        <v>935</v>
      </c>
      <c r="K124" s="143" t="s">
        <v>936</v>
      </c>
      <c r="L124" s="143" t="s">
        <v>937</v>
      </c>
      <c r="M124" s="143" t="s">
        <v>938</v>
      </c>
      <c r="N124" s="144" t="s">
        <v>939</v>
      </c>
      <c r="P124" s="143" t="s">
        <v>936</v>
      </c>
      <c r="Q124" s="142" t="s">
        <v>934</v>
      </c>
    </row>
    <row r="125" spans="2:17" ht="12.75">
      <c r="B125" s="127" t="s">
        <v>940</v>
      </c>
      <c r="C125" s="130">
        <v>458</v>
      </c>
      <c r="D125" s="131">
        <v>2704</v>
      </c>
      <c r="H125" s="114">
        <v>426</v>
      </c>
      <c r="I125" s="115" t="s">
        <v>941</v>
      </c>
      <c r="J125" s="116" t="s">
        <v>942</v>
      </c>
      <c r="K125" s="117" t="s">
        <v>943</v>
      </c>
      <c r="L125" s="118" t="s">
        <v>944</v>
      </c>
      <c r="M125" s="117" t="s">
        <v>945</v>
      </c>
      <c r="N125" s="118" t="s">
        <v>944</v>
      </c>
      <c r="P125" s="117" t="s">
        <v>943</v>
      </c>
      <c r="Q125" s="116" t="s">
        <v>941</v>
      </c>
    </row>
    <row r="126" spans="2:17" ht="12.75">
      <c r="B126" s="127" t="s">
        <v>946</v>
      </c>
      <c r="C126" s="130">
        <v>458</v>
      </c>
      <c r="D126" s="131">
        <v>2705</v>
      </c>
      <c r="H126" s="114">
        <v>422</v>
      </c>
      <c r="I126" s="115" t="s">
        <v>947</v>
      </c>
      <c r="J126" s="116" t="s">
        <v>948</v>
      </c>
      <c r="K126" s="117" t="s">
        <v>949</v>
      </c>
      <c r="L126" s="118" t="s">
        <v>950</v>
      </c>
      <c r="M126" s="117" t="s">
        <v>951</v>
      </c>
      <c r="N126" s="118" t="s">
        <v>952</v>
      </c>
      <c r="P126" s="117" t="s">
        <v>949</v>
      </c>
      <c r="Q126" s="116" t="s">
        <v>947</v>
      </c>
    </row>
    <row r="127" spans="2:17" ht="12.75">
      <c r="B127" s="127" t="s">
        <v>953</v>
      </c>
      <c r="C127" s="130">
        <v>458</v>
      </c>
      <c r="D127" s="131">
        <v>2706</v>
      </c>
      <c r="H127" s="114">
        <v>430</v>
      </c>
      <c r="I127" s="115" t="s">
        <v>954</v>
      </c>
      <c r="J127" s="116" t="s">
        <v>955</v>
      </c>
      <c r="K127" s="117" t="s">
        <v>956</v>
      </c>
      <c r="L127" s="118" t="s">
        <v>957</v>
      </c>
      <c r="M127" s="117" t="s">
        <v>958</v>
      </c>
      <c r="N127" s="118" t="s">
        <v>959</v>
      </c>
      <c r="P127" s="117" t="s">
        <v>956</v>
      </c>
      <c r="Q127" s="116" t="s">
        <v>954</v>
      </c>
    </row>
    <row r="128" spans="2:17" ht="12.75">
      <c r="B128" s="127" t="s">
        <v>960</v>
      </c>
      <c r="C128" s="130">
        <v>458</v>
      </c>
      <c r="D128" s="131">
        <v>2707</v>
      </c>
      <c r="H128" s="114">
        <v>434</v>
      </c>
      <c r="I128" s="115" t="s">
        <v>961</v>
      </c>
      <c r="J128" s="116" t="s">
        <v>962</v>
      </c>
      <c r="K128" s="117" t="s">
        <v>963</v>
      </c>
      <c r="L128" s="117" t="s">
        <v>964</v>
      </c>
      <c r="M128" s="117" t="s">
        <v>965</v>
      </c>
      <c r="N128" s="117" t="s">
        <v>965</v>
      </c>
      <c r="P128" s="117" t="s">
        <v>963</v>
      </c>
      <c r="Q128" s="116" t="s">
        <v>961</v>
      </c>
    </row>
    <row r="129" spans="2:17" ht="12.75">
      <c r="B129" s="127" t="s">
        <v>966</v>
      </c>
      <c r="C129" s="130">
        <v>458</v>
      </c>
      <c r="D129" s="131">
        <v>2708</v>
      </c>
      <c r="H129" s="114">
        <v>438</v>
      </c>
      <c r="I129" s="115" t="s">
        <v>967</v>
      </c>
      <c r="J129" s="116" t="s">
        <v>968</v>
      </c>
      <c r="K129" s="117" t="s">
        <v>969</v>
      </c>
      <c r="L129" s="118" t="s">
        <v>970</v>
      </c>
      <c r="M129" s="117" t="s">
        <v>971</v>
      </c>
      <c r="N129" s="118" t="s">
        <v>972</v>
      </c>
      <c r="P129" s="117" t="s">
        <v>969</v>
      </c>
      <c r="Q129" s="116" t="s">
        <v>967</v>
      </c>
    </row>
    <row r="130" spans="2:17" ht="12.75">
      <c r="B130" s="127" t="s">
        <v>973</v>
      </c>
      <c r="C130" s="130">
        <v>458</v>
      </c>
      <c r="D130" s="131">
        <v>2709</v>
      </c>
      <c r="H130" s="114">
        <v>440</v>
      </c>
      <c r="I130" s="115" t="s">
        <v>974</v>
      </c>
      <c r="J130" s="116" t="s">
        <v>975</v>
      </c>
      <c r="K130" s="117" t="s">
        <v>976</v>
      </c>
      <c r="L130" s="118" t="s">
        <v>977</v>
      </c>
      <c r="M130" s="117" t="s">
        <v>978</v>
      </c>
      <c r="N130" s="118" t="s">
        <v>979</v>
      </c>
      <c r="P130" s="117" t="s">
        <v>976</v>
      </c>
      <c r="Q130" s="116" t="s">
        <v>974</v>
      </c>
    </row>
    <row r="131" spans="2:17" ht="12.75">
      <c r="B131" s="127" t="s">
        <v>980</v>
      </c>
      <c r="C131" s="130">
        <v>458</v>
      </c>
      <c r="D131" s="131">
        <v>2710</v>
      </c>
      <c r="H131" s="114">
        <v>428</v>
      </c>
      <c r="I131" s="115" t="s">
        <v>981</v>
      </c>
      <c r="J131" s="116" t="s">
        <v>982</v>
      </c>
      <c r="K131" s="117" t="s">
        <v>983</v>
      </c>
      <c r="L131" s="118" t="s">
        <v>984</v>
      </c>
      <c r="M131" s="117" t="s">
        <v>985</v>
      </c>
      <c r="N131" s="118" t="s">
        <v>986</v>
      </c>
      <c r="P131" s="117" t="s">
        <v>983</v>
      </c>
      <c r="Q131" s="116" t="s">
        <v>981</v>
      </c>
    </row>
    <row r="132" spans="2:17" ht="12.75">
      <c r="B132" s="127" t="s">
        <v>987</v>
      </c>
      <c r="C132" s="130">
        <v>458</v>
      </c>
      <c r="D132" s="131">
        <v>2711</v>
      </c>
      <c r="H132" s="114">
        <v>442</v>
      </c>
      <c r="I132" s="115" t="s">
        <v>988</v>
      </c>
      <c r="J132" s="116" t="s">
        <v>989</v>
      </c>
      <c r="K132" s="117" t="s">
        <v>990</v>
      </c>
      <c r="L132" s="118" t="s">
        <v>991</v>
      </c>
      <c r="M132" s="117" t="s">
        <v>992</v>
      </c>
      <c r="N132" s="118" t="s">
        <v>993</v>
      </c>
      <c r="P132" s="117" t="s">
        <v>990</v>
      </c>
      <c r="Q132" s="116" t="s">
        <v>988</v>
      </c>
    </row>
    <row r="133" spans="2:17" ht="102">
      <c r="B133" s="127" t="s">
        <v>994</v>
      </c>
      <c r="C133" s="130">
        <v>458</v>
      </c>
      <c r="D133" s="131">
        <v>2712</v>
      </c>
      <c r="H133" s="132">
        <v>446</v>
      </c>
      <c r="I133" s="133" t="s">
        <v>995</v>
      </c>
      <c r="J133" s="134" t="s">
        <v>996</v>
      </c>
      <c r="K133" s="135" t="s">
        <v>997</v>
      </c>
      <c r="L133" s="136" t="s">
        <v>998</v>
      </c>
      <c r="M133" s="137" t="s">
        <v>999</v>
      </c>
      <c r="N133" s="136" t="s">
        <v>998</v>
      </c>
      <c r="P133" s="135" t="s">
        <v>997</v>
      </c>
      <c r="Q133" s="134" t="s">
        <v>995</v>
      </c>
    </row>
    <row r="134" spans="2:17" ht="12.75">
      <c r="B134" s="127" t="s">
        <v>1000</v>
      </c>
      <c r="C134" s="130">
        <v>458</v>
      </c>
      <c r="D134" s="131">
        <v>2713</v>
      </c>
      <c r="H134" s="114">
        <v>450</v>
      </c>
      <c r="I134" s="115" t="s">
        <v>1001</v>
      </c>
      <c r="J134" s="116" t="s">
        <v>1002</v>
      </c>
      <c r="K134" s="117" t="s">
        <v>1003</v>
      </c>
      <c r="L134" s="118" t="s">
        <v>1004</v>
      </c>
      <c r="M134" s="117" t="s">
        <v>1005</v>
      </c>
      <c r="N134" s="118" t="s">
        <v>1006</v>
      </c>
      <c r="P134" s="117" t="s">
        <v>1003</v>
      </c>
      <c r="Q134" s="116" t="s">
        <v>1001</v>
      </c>
    </row>
    <row r="135" spans="2:17" ht="12.75">
      <c r="B135" s="127" t="s">
        <v>1007</v>
      </c>
      <c r="C135" s="130">
        <v>458</v>
      </c>
      <c r="D135" s="131">
        <v>2714</v>
      </c>
      <c r="H135" s="114">
        <v>348</v>
      </c>
      <c r="I135" s="115" t="s">
        <v>1008</v>
      </c>
      <c r="J135" s="116" t="s">
        <v>1009</v>
      </c>
      <c r="K135" s="118" t="s">
        <v>1010</v>
      </c>
      <c r="L135" s="118" t="s">
        <v>1010</v>
      </c>
      <c r="M135" s="118" t="s">
        <v>1011</v>
      </c>
      <c r="N135" s="118" t="s">
        <v>1011</v>
      </c>
      <c r="P135" s="118" t="s">
        <v>1010</v>
      </c>
      <c r="Q135" s="116" t="s">
        <v>1008</v>
      </c>
    </row>
    <row r="136" spans="2:17" ht="12.75">
      <c r="B136" s="127" t="s">
        <v>1012</v>
      </c>
      <c r="C136" s="130">
        <v>459</v>
      </c>
      <c r="D136" s="131">
        <v>2801</v>
      </c>
      <c r="H136" s="114">
        <v>807</v>
      </c>
      <c r="I136" s="115" t="s">
        <v>1013</v>
      </c>
      <c r="J136" s="116" t="s">
        <v>1014</v>
      </c>
      <c r="K136" s="117" t="s">
        <v>1015</v>
      </c>
      <c r="L136" s="117" t="s">
        <v>1016</v>
      </c>
      <c r="M136" s="117" t="s">
        <v>1017</v>
      </c>
      <c r="N136" s="118" t="s">
        <v>1018</v>
      </c>
      <c r="P136" s="117" t="s">
        <v>1015</v>
      </c>
      <c r="Q136" s="116" t="s">
        <v>1013</v>
      </c>
    </row>
    <row r="137" spans="2:17" ht="12.75">
      <c r="B137" s="127" t="s">
        <v>1019</v>
      </c>
      <c r="C137" s="130">
        <v>459</v>
      </c>
      <c r="D137" s="131">
        <v>2802</v>
      </c>
      <c r="H137" s="114">
        <v>458</v>
      </c>
      <c r="I137" s="115" t="s">
        <v>1020</v>
      </c>
      <c r="J137" s="116" t="s">
        <v>1021</v>
      </c>
      <c r="K137" s="117" t="s">
        <v>1022</v>
      </c>
      <c r="L137" s="118" t="s">
        <v>1022</v>
      </c>
      <c r="M137" s="117" t="s">
        <v>1023</v>
      </c>
      <c r="N137" s="118" t="s">
        <v>1023</v>
      </c>
      <c r="P137" s="117" t="s">
        <v>1022</v>
      </c>
      <c r="Q137" s="116" t="s">
        <v>1020</v>
      </c>
    </row>
    <row r="138" spans="2:17" ht="12.75">
      <c r="B138" s="127" t="s">
        <v>1024</v>
      </c>
      <c r="C138" s="130">
        <v>459</v>
      </c>
      <c r="D138" s="131">
        <v>2803</v>
      </c>
      <c r="H138" s="114">
        <v>454</v>
      </c>
      <c r="I138" s="115" t="s">
        <v>1025</v>
      </c>
      <c r="J138" s="116" t="s">
        <v>1026</v>
      </c>
      <c r="K138" s="117" t="s">
        <v>1027</v>
      </c>
      <c r="L138" s="118" t="s">
        <v>1028</v>
      </c>
      <c r="M138" s="117" t="s">
        <v>1029</v>
      </c>
      <c r="N138" s="118" t="s">
        <v>1028</v>
      </c>
      <c r="P138" s="117" t="s">
        <v>1027</v>
      </c>
      <c r="Q138" s="116" t="s">
        <v>1025</v>
      </c>
    </row>
    <row r="139" spans="2:17" ht="12.75">
      <c r="B139" s="127" t="s">
        <v>1030</v>
      </c>
      <c r="C139" s="130">
        <v>459</v>
      </c>
      <c r="D139" s="131">
        <v>2804</v>
      </c>
      <c r="H139" s="114">
        <v>462</v>
      </c>
      <c r="I139" s="115" t="s">
        <v>1031</v>
      </c>
      <c r="J139" s="116" t="s">
        <v>1032</v>
      </c>
      <c r="K139" s="117" t="s">
        <v>1033</v>
      </c>
      <c r="L139" s="118" t="s">
        <v>1034</v>
      </c>
      <c r="M139" s="117" t="s">
        <v>1035</v>
      </c>
      <c r="N139" s="118" t="s">
        <v>1036</v>
      </c>
      <c r="P139" s="117" t="s">
        <v>1033</v>
      </c>
      <c r="Q139" s="116" t="s">
        <v>1031</v>
      </c>
    </row>
    <row r="140" spans="2:17" ht="12.75">
      <c r="B140" s="127" t="s">
        <v>1037</v>
      </c>
      <c r="C140" s="130">
        <v>459</v>
      </c>
      <c r="D140" s="131">
        <v>2805</v>
      </c>
      <c r="H140" s="114">
        <v>466</v>
      </c>
      <c r="I140" s="115" t="s">
        <v>1038</v>
      </c>
      <c r="J140" s="116" t="s">
        <v>1039</v>
      </c>
      <c r="K140" s="117" t="s">
        <v>1040</v>
      </c>
      <c r="L140" s="118" t="s">
        <v>1041</v>
      </c>
      <c r="M140" s="117" t="s">
        <v>1042</v>
      </c>
      <c r="N140" s="118" t="s">
        <v>1041</v>
      </c>
      <c r="P140" s="117" t="s">
        <v>1040</v>
      </c>
      <c r="Q140" s="116" t="s">
        <v>1038</v>
      </c>
    </row>
    <row r="141" spans="2:17" ht="12.75">
      <c r="B141" s="127" t="s">
        <v>1043</v>
      </c>
      <c r="C141" s="130">
        <v>459</v>
      </c>
      <c r="D141" s="131">
        <v>2806</v>
      </c>
      <c r="H141" s="114">
        <v>470</v>
      </c>
      <c r="I141" s="115" t="s">
        <v>1044</v>
      </c>
      <c r="J141" s="116" t="s">
        <v>1045</v>
      </c>
      <c r="K141" s="117" t="s">
        <v>1046</v>
      </c>
      <c r="L141" s="118" t="s">
        <v>1047</v>
      </c>
      <c r="M141" s="117" t="s">
        <v>1048</v>
      </c>
      <c r="N141" s="118" t="s">
        <v>1047</v>
      </c>
      <c r="P141" s="117" t="s">
        <v>1046</v>
      </c>
      <c r="Q141" s="116" t="s">
        <v>1044</v>
      </c>
    </row>
    <row r="142" spans="2:17" ht="12.75">
      <c r="B142" s="127" t="s">
        <v>1049</v>
      </c>
      <c r="C142" s="130">
        <v>459</v>
      </c>
      <c r="D142" s="131">
        <v>2807</v>
      </c>
      <c r="H142" s="114">
        <v>833</v>
      </c>
      <c r="I142" s="115" t="s">
        <v>1050</v>
      </c>
      <c r="J142" s="116" t="s">
        <v>1051</v>
      </c>
      <c r="K142" s="117" t="s">
        <v>1052</v>
      </c>
      <c r="L142" s="117" t="s">
        <v>1053</v>
      </c>
      <c r="M142" s="117" t="s">
        <v>1054</v>
      </c>
      <c r="N142" s="117" t="s">
        <v>1054</v>
      </c>
      <c r="P142" s="117" t="s">
        <v>1052</v>
      </c>
      <c r="Q142" s="116" t="s">
        <v>1050</v>
      </c>
    </row>
    <row r="143" spans="2:17" ht="12.75">
      <c r="B143" s="127" t="s">
        <v>1055</v>
      </c>
      <c r="C143" s="130">
        <v>459</v>
      </c>
      <c r="D143" s="131">
        <v>2808</v>
      </c>
      <c r="H143" s="114">
        <v>504</v>
      </c>
      <c r="I143" s="115" t="s">
        <v>1056</v>
      </c>
      <c r="J143" s="116" t="s">
        <v>1057</v>
      </c>
      <c r="K143" s="117" t="s">
        <v>1058</v>
      </c>
      <c r="L143" s="118" t="s">
        <v>1059</v>
      </c>
      <c r="M143" s="117" t="s">
        <v>1060</v>
      </c>
      <c r="N143" s="118" t="s">
        <v>1061</v>
      </c>
      <c r="P143" s="117" t="s">
        <v>1058</v>
      </c>
      <c r="Q143" s="116" t="s">
        <v>1056</v>
      </c>
    </row>
    <row r="144" spans="2:17" ht="12.75">
      <c r="B144" s="127" t="s">
        <v>1062</v>
      </c>
      <c r="C144" s="130">
        <v>459</v>
      </c>
      <c r="D144" s="131">
        <v>2809</v>
      </c>
      <c r="H144" s="114">
        <v>584</v>
      </c>
      <c r="I144" s="115" t="s">
        <v>1063</v>
      </c>
      <c r="J144" s="116" t="s">
        <v>1064</v>
      </c>
      <c r="K144" s="117" t="s">
        <v>1065</v>
      </c>
      <c r="L144" s="118" t="s">
        <v>1066</v>
      </c>
      <c r="M144" s="117" t="s">
        <v>1067</v>
      </c>
      <c r="N144" s="118" t="s">
        <v>1068</v>
      </c>
      <c r="P144" s="117" t="s">
        <v>1065</v>
      </c>
      <c r="Q144" s="116" t="s">
        <v>1063</v>
      </c>
    </row>
    <row r="145" spans="2:17" ht="12.75">
      <c r="B145" s="127" t="s">
        <v>1069</v>
      </c>
      <c r="C145" s="130">
        <v>459</v>
      </c>
      <c r="D145" s="131">
        <v>2810</v>
      </c>
      <c r="H145" s="114">
        <v>474</v>
      </c>
      <c r="I145" s="115" t="s">
        <v>1070</v>
      </c>
      <c r="J145" s="116" t="s">
        <v>1071</v>
      </c>
      <c r="K145" s="117" t="s">
        <v>1072</v>
      </c>
      <c r="L145" s="118" t="s">
        <v>1073</v>
      </c>
      <c r="M145" s="117" t="s">
        <v>1074</v>
      </c>
      <c r="N145" s="118" t="s">
        <v>1074</v>
      </c>
      <c r="P145" s="117" t="s">
        <v>1072</v>
      </c>
      <c r="Q145" s="116" t="s">
        <v>1070</v>
      </c>
    </row>
    <row r="146" spans="2:17" ht="12.75">
      <c r="B146" s="127" t="s">
        <v>1075</v>
      </c>
      <c r="C146" s="130">
        <v>459</v>
      </c>
      <c r="D146" s="131">
        <v>2811</v>
      </c>
      <c r="H146" s="114">
        <v>480</v>
      </c>
      <c r="I146" s="115" t="s">
        <v>1076</v>
      </c>
      <c r="J146" s="116" t="s">
        <v>1077</v>
      </c>
      <c r="K146" s="117" t="s">
        <v>1078</v>
      </c>
      <c r="L146" s="118" t="s">
        <v>1079</v>
      </c>
      <c r="M146" s="117" t="s">
        <v>1080</v>
      </c>
      <c r="N146" s="118" t="s">
        <v>1081</v>
      </c>
      <c r="P146" s="117" t="s">
        <v>1078</v>
      </c>
      <c r="Q146" s="116" t="s">
        <v>1076</v>
      </c>
    </row>
    <row r="147" spans="2:17" ht="12.75">
      <c r="B147" s="127" t="s">
        <v>1082</v>
      </c>
      <c r="C147" s="130">
        <v>460</v>
      </c>
      <c r="D147" s="131">
        <v>2901</v>
      </c>
      <c r="H147" s="114">
        <v>478</v>
      </c>
      <c r="I147" s="115" t="s">
        <v>1083</v>
      </c>
      <c r="J147" s="116" t="s">
        <v>1084</v>
      </c>
      <c r="K147" s="117" t="s">
        <v>1085</v>
      </c>
      <c r="L147" s="118" t="s">
        <v>1086</v>
      </c>
      <c r="M147" s="117" t="s">
        <v>1087</v>
      </c>
      <c r="N147" s="118" t="s">
        <v>1088</v>
      </c>
      <c r="P147" s="117" t="s">
        <v>1085</v>
      </c>
      <c r="Q147" s="116" t="s">
        <v>1083</v>
      </c>
    </row>
    <row r="148" spans="2:17" ht="12.75">
      <c r="B148" s="127" t="s">
        <v>1089</v>
      </c>
      <c r="C148" s="130">
        <v>460</v>
      </c>
      <c r="D148" s="131">
        <v>2902</v>
      </c>
      <c r="H148" s="114">
        <v>175</v>
      </c>
      <c r="I148" s="115" t="s">
        <v>1090</v>
      </c>
      <c r="J148" s="116" t="s">
        <v>1091</v>
      </c>
      <c r="K148" s="117" t="s">
        <v>1092</v>
      </c>
      <c r="L148" s="118" t="s">
        <v>1093</v>
      </c>
      <c r="M148" s="117" t="s">
        <v>1093</v>
      </c>
      <c r="N148" s="118" t="s">
        <v>1093</v>
      </c>
      <c r="P148" s="117" t="s">
        <v>1092</v>
      </c>
      <c r="Q148" s="116" t="s">
        <v>1090</v>
      </c>
    </row>
    <row r="149" spans="2:17" ht="12.75">
      <c r="B149" s="127" t="s">
        <v>1094</v>
      </c>
      <c r="C149" s="130">
        <v>460</v>
      </c>
      <c r="D149" s="131">
        <v>2903</v>
      </c>
      <c r="H149" s="114">
        <v>581</v>
      </c>
      <c r="I149" s="115" t="s">
        <v>1095</v>
      </c>
      <c r="J149" s="116" t="s">
        <v>1096</v>
      </c>
      <c r="K149" s="117" t="s">
        <v>1097</v>
      </c>
      <c r="L149" s="118" t="s">
        <v>1097</v>
      </c>
      <c r="M149" s="118" t="s">
        <v>1098</v>
      </c>
      <c r="N149" s="118" t="s">
        <v>1098</v>
      </c>
      <c r="P149" s="117" t="s">
        <v>1097</v>
      </c>
      <c r="Q149" s="116" t="s">
        <v>1095</v>
      </c>
    </row>
    <row r="150" spans="2:17" ht="12.75">
      <c r="B150" s="127" t="s">
        <v>1099</v>
      </c>
      <c r="C150" s="130">
        <v>460</v>
      </c>
      <c r="D150" s="131">
        <v>2904</v>
      </c>
      <c r="H150" s="114">
        <v>484</v>
      </c>
      <c r="I150" s="115" t="s">
        <v>1100</v>
      </c>
      <c r="J150" s="116" t="s">
        <v>1101</v>
      </c>
      <c r="K150" s="117" t="s">
        <v>1102</v>
      </c>
      <c r="L150" s="118" t="s">
        <v>1103</v>
      </c>
      <c r="M150" s="117" t="s">
        <v>1104</v>
      </c>
      <c r="N150" s="118" t="s">
        <v>1105</v>
      </c>
      <c r="P150" s="117" t="s">
        <v>1102</v>
      </c>
      <c r="Q150" s="116" t="s">
        <v>1100</v>
      </c>
    </row>
    <row r="151" spans="2:17" ht="12.75">
      <c r="B151" s="127" t="s">
        <v>1106</v>
      </c>
      <c r="C151" s="130">
        <v>460</v>
      </c>
      <c r="D151" s="131">
        <v>2905</v>
      </c>
      <c r="H151" s="114">
        <v>583</v>
      </c>
      <c r="I151" s="115" t="s">
        <v>1107</v>
      </c>
      <c r="J151" s="116" t="s">
        <v>1108</v>
      </c>
      <c r="K151" s="117" t="s">
        <v>1109</v>
      </c>
      <c r="L151" s="118" t="s">
        <v>1110</v>
      </c>
      <c r="M151" s="117" t="s">
        <v>1111</v>
      </c>
      <c r="N151" s="118" t="s">
        <v>1112</v>
      </c>
      <c r="P151" s="117" t="s">
        <v>1109</v>
      </c>
      <c r="Q151" s="116" t="s">
        <v>1107</v>
      </c>
    </row>
    <row r="152" spans="2:17" ht="12.75">
      <c r="B152" s="127" t="s">
        <v>1113</v>
      </c>
      <c r="C152" s="130">
        <v>460</v>
      </c>
      <c r="D152" s="131">
        <v>2906</v>
      </c>
      <c r="H152" s="114">
        <v>498</v>
      </c>
      <c r="I152" s="115" t="s">
        <v>1114</v>
      </c>
      <c r="J152" s="116" t="s">
        <v>1115</v>
      </c>
      <c r="K152" s="117" t="s">
        <v>1116</v>
      </c>
      <c r="L152" s="117" t="s">
        <v>1117</v>
      </c>
      <c r="M152" s="117" t="s">
        <v>1118</v>
      </c>
      <c r="N152" s="118" t="s">
        <v>1119</v>
      </c>
      <c r="P152" s="117" t="s">
        <v>1116</v>
      </c>
      <c r="Q152" s="116" t="s">
        <v>1114</v>
      </c>
    </row>
    <row r="153" spans="2:17" ht="12.75">
      <c r="B153" s="127" t="s">
        <v>1120</v>
      </c>
      <c r="C153" s="130">
        <v>460</v>
      </c>
      <c r="D153" s="131">
        <v>2907</v>
      </c>
      <c r="H153" s="114">
        <v>492</v>
      </c>
      <c r="I153" s="115" t="s">
        <v>1121</v>
      </c>
      <c r="J153" s="116" t="s">
        <v>1122</v>
      </c>
      <c r="K153" s="117" t="s">
        <v>1123</v>
      </c>
      <c r="L153" s="118" t="s">
        <v>1124</v>
      </c>
      <c r="M153" s="117" t="s">
        <v>1125</v>
      </c>
      <c r="N153" s="118" t="s">
        <v>1126</v>
      </c>
      <c r="P153" s="117" t="s">
        <v>1123</v>
      </c>
      <c r="Q153" s="116" t="s">
        <v>1121</v>
      </c>
    </row>
    <row r="154" spans="2:17" ht="12.75">
      <c r="B154" s="127" t="s">
        <v>1127</v>
      </c>
      <c r="C154" s="130">
        <v>460</v>
      </c>
      <c r="D154" s="131">
        <v>2908</v>
      </c>
      <c r="H154" s="114">
        <v>496</v>
      </c>
      <c r="I154" s="115" t="s">
        <v>1128</v>
      </c>
      <c r="J154" s="116" t="s">
        <v>1129</v>
      </c>
      <c r="K154" s="117" t="s">
        <v>1130</v>
      </c>
      <c r="L154" s="118" t="s">
        <v>1130</v>
      </c>
      <c r="M154" s="117" t="s">
        <v>1131</v>
      </c>
      <c r="N154" s="118" t="s">
        <v>1131</v>
      </c>
      <c r="P154" s="117" t="s">
        <v>1130</v>
      </c>
      <c r="Q154" s="116" t="s">
        <v>1128</v>
      </c>
    </row>
    <row r="155" spans="2:17" ht="12.75">
      <c r="B155" s="127" t="s">
        <v>1132</v>
      </c>
      <c r="C155" s="130">
        <v>460</v>
      </c>
      <c r="D155" s="131">
        <v>2909</v>
      </c>
      <c r="H155" s="114">
        <v>500</v>
      </c>
      <c r="I155" s="115" t="s">
        <v>1133</v>
      </c>
      <c r="J155" s="116" t="s">
        <v>1134</v>
      </c>
      <c r="K155" s="117" t="s">
        <v>1135</v>
      </c>
      <c r="L155" s="118" t="s">
        <v>1135</v>
      </c>
      <c r="M155" s="117" t="s">
        <v>1135</v>
      </c>
      <c r="N155" s="118" t="s">
        <v>1135</v>
      </c>
      <c r="P155" s="117" t="s">
        <v>1135</v>
      </c>
      <c r="Q155" s="116" t="s">
        <v>1133</v>
      </c>
    </row>
    <row r="156" spans="2:17" ht="12.75">
      <c r="B156" s="127" t="s">
        <v>1136</v>
      </c>
      <c r="C156" s="130">
        <v>460</v>
      </c>
      <c r="D156" s="131">
        <v>2910</v>
      </c>
      <c r="H156" s="114">
        <v>508</v>
      </c>
      <c r="I156" s="115" t="s">
        <v>1137</v>
      </c>
      <c r="J156" s="116" t="s">
        <v>1138</v>
      </c>
      <c r="K156" s="117" t="s">
        <v>1139</v>
      </c>
      <c r="L156" s="118" t="s">
        <v>1140</v>
      </c>
      <c r="M156" s="117" t="s">
        <v>1141</v>
      </c>
      <c r="N156" s="118" t="s">
        <v>1142</v>
      </c>
      <c r="P156" s="117" t="s">
        <v>1139</v>
      </c>
      <c r="Q156" s="116" t="s">
        <v>1137</v>
      </c>
    </row>
    <row r="157" spans="2:17" ht="12.75">
      <c r="B157" s="127" t="s">
        <v>1143</v>
      </c>
      <c r="C157" s="130">
        <v>460</v>
      </c>
      <c r="D157" s="131">
        <v>2911</v>
      </c>
      <c r="H157" s="114">
        <v>104</v>
      </c>
      <c r="I157" s="115" t="s">
        <v>1144</v>
      </c>
      <c r="J157" s="116" t="s">
        <v>1145</v>
      </c>
      <c r="K157" s="117" t="s">
        <v>1146</v>
      </c>
      <c r="L157" s="118" t="s">
        <v>1147</v>
      </c>
      <c r="M157" s="117" t="s">
        <v>1148</v>
      </c>
      <c r="N157" s="118" t="s">
        <v>1147</v>
      </c>
      <c r="P157" s="117" t="s">
        <v>1146</v>
      </c>
      <c r="Q157" s="116" t="s">
        <v>1144</v>
      </c>
    </row>
    <row r="158" spans="2:17" ht="12.75">
      <c r="B158" s="127" t="s">
        <v>1149</v>
      </c>
      <c r="C158" s="130">
        <v>460</v>
      </c>
      <c r="D158" s="131">
        <v>2912</v>
      </c>
      <c r="H158" s="114">
        <v>516</v>
      </c>
      <c r="I158" s="115" t="s">
        <v>1150</v>
      </c>
      <c r="J158" s="116" t="s">
        <v>1151</v>
      </c>
      <c r="K158" s="117" t="s">
        <v>1152</v>
      </c>
      <c r="L158" s="118" t="s">
        <v>1153</v>
      </c>
      <c r="M158" s="117" t="s">
        <v>1154</v>
      </c>
      <c r="N158" s="118" t="s">
        <v>1155</v>
      </c>
      <c r="P158" s="117" t="s">
        <v>1152</v>
      </c>
      <c r="Q158" s="116" t="s">
        <v>1150</v>
      </c>
    </row>
    <row r="159" spans="2:17" ht="12.75">
      <c r="B159" s="127" t="s">
        <v>1156</v>
      </c>
      <c r="C159" s="130">
        <v>460</v>
      </c>
      <c r="D159" s="131">
        <v>2913</v>
      </c>
      <c r="H159" s="114">
        <v>520</v>
      </c>
      <c r="I159" s="115" t="s">
        <v>1157</v>
      </c>
      <c r="J159" s="116" t="s">
        <v>1158</v>
      </c>
      <c r="K159" s="117" t="s">
        <v>1159</v>
      </c>
      <c r="L159" s="118" t="s">
        <v>1160</v>
      </c>
      <c r="M159" s="117" t="s">
        <v>1161</v>
      </c>
      <c r="N159" s="118" t="s">
        <v>1160</v>
      </c>
      <c r="P159" s="117" t="s">
        <v>1159</v>
      </c>
      <c r="Q159" s="116" t="s">
        <v>1157</v>
      </c>
    </row>
    <row r="160" spans="2:17" ht="12.75">
      <c r="B160" s="127" t="s">
        <v>1162</v>
      </c>
      <c r="C160" s="130">
        <v>460</v>
      </c>
      <c r="D160" s="131">
        <v>2914</v>
      </c>
      <c r="H160" s="114">
        <v>276</v>
      </c>
      <c r="I160" s="115" t="s">
        <v>1163</v>
      </c>
      <c r="J160" s="116" t="s">
        <v>1164</v>
      </c>
      <c r="K160" s="117" t="s">
        <v>1165</v>
      </c>
      <c r="L160" s="118" t="s">
        <v>1166</v>
      </c>
      <c r="M160" s="117" t="s">
        <v>1167</v>
      </c>
      <c r="N160" s="118" t="s">
        <v>1168</v>
      </c>
      <c r="P160" s="117" t="s">
        <v>1165</v>
      </c>
      <c r="Q160" s="116" t="s">
        <v>1163</v>
      </c>
    </row>
    <row r="161" spans="2:17" ht="12.75">
      <c r="B161" s="127" t="s">
        <v>1169</v>
      </c>
      <c r="C161" s="130">
        <v>461</v>
      </c>
      <c r="D161" s="131">
        <v>3001</v>
      </c>
      <c r="H161" s="114">
        <v>524</v>
      </c>
      <c r="I161" s="115" t="s">
        <v>1170</v>
      </c>
      <c r="J161" s="116" t="s">
        <v>1171</v>
      </c>
      <c r="K161" s="118" t="s">
        <v>1172</v>
      </c>
      <c r="L161" s="118" t="s">
        <v>1173</v>
      </c>
      <c r="M161" s="117" t="s">
        <v>1174</v>
      </c>
      <c r="N161" s="118" t="s">
        <v>1175</v>
      </c>
      <c r="P161" s="118" t="s">
        <v>1172</v>
      </c>
      <c r="Q161" s="116" t="s">
        <v>1170</v>
      </c>
    </row>
    <row r="162" spans="2:17" ht="12.75">
      <c r="B162" s="127" t="s">
        <v>1176</v>
      </c>
      <c r="C162" s="130">
        <v>461</v>
      </c>
      <c r="D162" s="131">
        <v>3002</v>
      </c>
      <c r="H162" s="114">
        <v>562</v>
      </c>
      <c r="I162" s="115" t="s">
        <v>1177</v>
      </c>
      <c r="J162" s="116" t="s">
        <v>1178</v>
      </c>
      <c r="K162" s="117" t="s">
        <v>1179</v>
      </c>
      <c r="L162" s="118" t="s">
        <v>1180</v>
      </c>
      <c r="M162" s="117" t="s">
        <v>1181</v>
      </c>
      <c r="N162" s="118" t="s">
        <v>1182</v>
      </c>
      <c r="P162" s="117" t="s">
        <v>1179</v>
      </c>
      <c r="Q162" s="116" t="s">
        <v>1177</v>
      </c>
    </row>
    <row r="163" spans="2:17" ht="12.75">
      <c r="B163" s="127" t="s">
        <v>1183</v>
      </c>
      <c r="C163" s="130">
        <v>461</v>
      </c>
      <c r="D163" s="131">
        <v>3003</v>
      </c>
      <c r="H163" s="114">
        <v>566</v>
      </c>
      <c r="I163" s="115" t="s">
        <v>1184</v>
      </c>
      <c r="J163" s="116" t="s">
        <v>1185</v>
      </c>
      <c r="K163" s="117" t="s">
        <v>1186</v>
      </c>
      <c r="L163" s="118" t="s">
        <v>1187</v>
      </c>
      <c r="M163" s="117" t="s">
        <v>1188</v>
      </c>
      <c r="N163" s="118" t="s">
        <v>1189</v>
      </c>
      <c r="P163" s="117" t="s">
        <v>1186</v>
      </c>
      <c r="Q163" s="116" t="s">
        <v>1184</v>
      </c>
    </row>
    <row r="164" spans="2:17" ht="12.75">
      <c r="B164" s="127" t="s">
        <v>1190</v>
      </c>
      <c r="C164" s="130">
        <v>461</v>
      </c>
      <c r="D164" s="131">
        <v>3004</v>
      </c>
      <c r="H164" s="114">
        <v>558</v>
      </c>
      <c r="I164" s="115" t="s">
        <v>1191</v>
      </c>
      <c r="J164" s="116" t="s">
        <v>1192</v>
      </c>
      <c r="K164" s="117" t="s">
        <v>1193</v>
      </c>
      <c r="L164" s="118" t="s">
        <v>1194</v>
      </c>
      <c r="M164" s="117" t="s">
        <v>1195</v>
      </c>
      <c r="N164" s="118" t="s">
        <v>1196</v>
      </c>
      <c r="P164" s="117" t="s">
        <v>1193</v>
      </c>
      <c r="Q164" s="116" t="s">
        <v>1191</v>
      </c>
    </row>
    <row r="165" spans="2:17" ht="12.75">
      <c r="B165" s="127" t="s">
        <v>1197</v>
      </c>
      <c r="C165" s="130">
        <v>461</v>
      </c>
      <c r="D165" s="131">
        <v>3005</v>
      </c>
      <c r="H165" s="114">
        <v>570</v>
      </c>
      <c r="I165" s="115" t="s">
        <v>1198</v>
      </c>
      <c r="J165" s="116" t="s">
        <v>1199</v>
      </c>
      <c r="K165" s="118" t="s">
        <v>1200</v>
      </c>
      <c r="L165" s="118" t="s">
        <v>1200</v>
      </c>
      <c r="M165" s="117" t="s">
        <v>1200</v>
      </c>
      <c r="N165" s="118" t="s">
        <v>1200</v>
      </c>
      <c r="P165" s="118" t="s">
        <v>1200</v>
      </c>
      <c r="Q165" s="116" t="s">
        <v>1198</v>
      </c>
    </row>
    <row r="166" spans="2:17" ht="12.75">
      <c r="B166" s="127" t="s">
        <v>1201</v>
      </c>
      <c r="C166" s="130">
        <v>461</v>
      </c>
      <c r="D166" s="131">
        <v>3006</v>
      </c>
      <c r="H166" s="114">
        <v>528</v>
      </c>
      <c r="I166" s="115" t="s">
        <v>1202</v>
      </c>
      <c r="J166" s="116" t="s">
        <v>1203</v>
      </c>
      <c r="K166" s="117" t="s">
        <v>1204</v>
      </c>
      <c r="L166" s="118" t="s">
        <v>1204</v>
      </c>
      <c r="M166" s="117" t="s">
        <v>1205</v>
      </c>
      <c r="N166" s="118" t="s">
        <v>1206</v>
      </c>
      <c r="P166" s="117" t="s">
        <v>1204</v>
      </c>
      <c r="Q166" s="116" t="s">
        <v>1202</v>
      </c>
    </row>
    <row r="167" spans="2:17" ht="12.75">
      <c r="B167" s="127" t="s">
        <v>1207</v>
      </c>
      <c r="C167" s="130">
        <v>461</v>
      </c>
      <c r="D167" s="131">
        <v>3007</v>
      </c>
      <c r="H167" s="114">
        <v>574</v>
      </c>
      <c r="I167" s="115" t="s">
        <v>1208</v>
      </c>
      <c r="J167" s="116" t="s">
        <v>1209</v>
      </c>
      <c r="K167" s="117" t="s">
        <v>1210</v>
      </c>
      <c r="L167" s="117" t="s">
        <v>1211</v>
      </c>
      <c r="M167" s="117" t="s">
        <v>1212</v>
      </c>
      <c r="N167" s="118" t="s">
        <v>1212</v>
      </c>
      <c r="P167" s="117" t="s">
        <v>1210</v>
      </c>
      <c r="Q167" s="116" t="s">
        <v>1208</v>
      </c>
    </row>
    <row r="168" spans="2:17" ht="12.75">
      <c r="B168" s="127" t="s">
        <v>1213</v>
      </c>
      <c r="C168" s="130">
        <v>461</v>
      </c>
      <c r="D168" s="131">
        <v>3008</v>
      </c>
      <c r="H168" s="114">
        <v>578</v>
      </c>
      <c r="I168" s="115" t="s">
        <v>1214</v>
      </c>
      <c r="J168" s="116" t="s">
        <v>1215</v>
      </c>
      <c r="K168" s="117" t="s">
        <v>1216</v>
      </c>
      <c r="L168" s="118" t="s">
        <v>1217</v>
      </c>
      <c r="M168" s="117" t="s">
        <v>1218</v>
      </c>
      <c r="N168" s="118" t="s">
        <v>1219</v>
      </c>
      <c r="P168" s="117" t="s">
        <v>1216</v>
      </c>
      <c r="Q168" s="116" t="s">
        <v>1214</v>
      </c>
    </row>
    <row r="169" spans="2:17" ht="12.75">
      <c r="B169" s="127" t="s">
        <v>1220</v>
      </c>
      <c r="C169" s="130">
        <v>461</v>
      </c>
      <c r="D169" s="131">
        <v>3009</v>
      </c>
      <c r="H169" s="114">
        <v>540</v>
      </c>
      <c r="I169" s="115" t="s">
        <v>1221</v>
      </c>
      <c r="J169" s="116" t="s">
        <v>1222</v>
      </c>
      <c r="K169" s="117" t="s">
        <v>1223</v>
      </c>
      <c r="L169" s="118" t="s">
        <v>1223</v>
      </c>
      <c r="M169" s="117" t="s">
        <v>1224</v>
      </c>
      <c r="N169" s="118" t="s">
        <v>1224</v>
      </c>
      <c r="P169" s="117" t="s">
        <v>1223</v>
      </c>
      <c r="Q169" s="116" t="s">
        <v>1221</v>
      </c>
    </row>
    <row r="170" spans="2:17" ht="12.75">
      <c r="B170" s="127" t="s">
        <v>1225</v>
      </c>
      <c r="C170" s="130">
        <v>461</v>
      </c>
      <c r="D170" s="131">
        <v>3010</v>
      </c>
      <c r="H170" s="114">
        <v>554</v>
      </c>
      <c r="I170" s="115" t="s">
        <v>1226</v>
      </c>
      <c r="J170" s="116" t="s">
        <v>1227</v>
      </c>
      <c r="K170" s="117" t="s">
        <v>1228</v>
      </c>
      <c r="L170" s="118" t="s">
        <v>1228</v>
      </c>
      <c r="M170" s="117" t="s">
        <v>1229</v>
      </c>
      <c r="N170" s="118" t="s">
        <v>1229</v>
      </c>
      <c r="P170" s="117" t="s">
        <v>1228</v>
      </c>
      <c r="Q170" s="116" t="s">
        <v>1226</v>
      </c>
    </row>
    <row r="171" spans="2:17" ht="12.75">
      <c r="B171" s="127" t="s">
        <v>1230</v>
      </c>
      <c r="C171" s="130">
        <v>461</v>
      </c>
      <c r="D171" s="131">
        <v>3011</v>
      </c>
      <c r="H171" s="114">
        <v>512</v>
      </c>
      <c r="I171" s="115" t="s">
        <v>1231</v>
      </c>
      <c r="J171" s="116" t="s">
        <v>1232</v>
      </c>
      <c r="K171" s="117" t="s">
        <v>1233</v>
      </c>
      <c r="L171" s="118" t="s">
        <v>1234</v>
      </c>
      <c r="M171" s="117" t="s">
        <v>1235</v>
      </c>
      <c r="N171" s="118" t="s">
        <v>1236</v>
      </c>
      <c r="P171" s="117" t="s">
        <v>1233</v>
      </c>
      <c r="Q171" s="116" t="s">
        <v>1231</v>
      </c>
    </row>
    <row r="172" spans="2:17" ht="12.75">
      <c r="B172" s="127" t="s">
        <v>1237</v>
      </c>
      <c r="C172" s="130">
        <v>461</v>
      </c>
      <c r="D172" s="131">
        <v>3012</v>
      </c>
      <c r="H172" s="114">
        <v>586</v>
      </c>
      <c r="I172" s="115" t="s">
        <v>1238</v>
      </c>
      <c r="J172" s="116" t="s">
        <v>1239</v>
      </c>
      <c r="K172" s="117" t="s">
        <v>1240</v>
      </c>
      <c r="L172" s="118" t="s">
        <v>1241</v>
      </c>
      <c r="M172" s="117" t="s">
        <v>1242</v>
      </c>
      <c r="N172" s="118" t="s">
        <v>1243</v>
      </c>
      <c r="P172" s="117" t="s">
        <v>1240</v>
      </c>
      <c r="Q172" s="116" t="s">
        <v>1238</v>
      </c>
    </row>
    <row r="173" spans="2:17" ht="12.75">
      <c r="B173" s="127" t="s">
        <v>1244</v>
      </c>
      <c r="C173" s="130">
        <v>461</v>
      </c>
      <c r="D173" s="131">
        <v>3013</v>
      </c>
      <c r="H173" s="114">
        <v>585</v>
      </c>
      <c r="I173" s="115" t="s">
        <v>1245</v>
      </c>
      <c r="J173" s="116" t="s">
        <v>1246</v>
      </c>
      <c r="K173" s="117" t="s">
        <v>1247</v>
      </c>
      <c r="L173" s="118" t="s">
        <v>1248</v>
      </c>
      <c r="M173" s="117" t="s">
        <v>1249</v>
      </c>
      <c r="N173" s="118" t="s">
        <v>1248</v>
      </c>
      <c r="P173" s="117" t="s">
        <v>1247</v>
      </c>
      <c r="Q173" s="116" t="s">
        <v>1245</v>
      </c>
    </row>
    <row r="174" spans="2:17" ht="12.75">
      <c r="B174" s="127" t="s">
        <v>1250</v>
      </c>
      <c r="C174" s="130">
        <v>461</v>
      </c>
      <c r="D174" s="131">
        <v>3014</v>
      </c>
      <c r="H174" s="114">
        <v>275</v>
      </c>
      <c r="I174" s="115" t="s">
        <v>1251</v>
      </c>
      <c r="J174" s="116" t="s">
        <v>1252</v>
      </c>
      <c r="K174" s="117" t="s">
        <v>1253</v>
      </c>
      <c r="L174" s="117" t="s">
        <v>1254</v>
      </c>
      <c r="M174" s="117" t="s">
        <v>1255</v>
      </c>
      <c r="N174" s="118" t="s">
        <v>1256</v>
      </c>
      <c r="P174" s="117" t="s">
        <v>1253</v>
      </c>
      <c r="Q174" s="116" t="s">
        <v>1251</v>
      </c>
    </row>
    <row r="175" spans="2:17" ht="12.75">
      <c r="B175" s="127" t="s">
        <v>1257</v>
      </c>
      <c r="C175" s="130">
        <v>461</v>
      </c>
      <c r="D175" s="131">
        <v>3015</v>
      </c>
      <c r="H175" s="114">
        <v>591</v>
      </c>
      <c r="I175" s="115" t="s">
        <v>1258</v>
      </c>
      <c r="J175" s="116" t="s">
        <v>1259</v>
      </c>
      <c r="K175" s="117" t="s">
        <v>1260</v>
      </c>
      <c r="L175" s="118" t="s">
        <v>1261</v>
      </c>
      <c r="M175" s="117" t="s">
        <v>1262</v>
      </c>
      <c r="N175" s="118" t="s">
        <v>1261</v>
      </c>
      <c r="P175" s="117" t="s">
        <v>1260</v>
      </c>
      <c r="Q175" s="116" t="s">
        <v>1258</v>
      </c>
    </row>
    <row r="176" spans="2:17" ht="12.75">
      <c r="B176" s="127" t="s">
        <v>1263</v>
      </c>
      <c r="C176" s="130">
        <v>461</v>
      </c>
      <c r="D176" s="131">
        <v>3016</v>
      </c>
      <c r="H176" s="114">
        <v>598</v>
      </c>
      <c r="I176" s="115" t="s">
        <v>1264</v>
      </c>
      <c r="J176" s="116" t="s">
        <v>1265</v>
      </c>
      <c r="K176" s="117" t="s">
        <v>1266</v>
      </c>
      <c r="L176" s="118" t="s">
        <v>1267</v>
      </c>
      <c r="M176" s="117" t="s">
        <v>1268</v>
      </c>
      <c r="N176" s="118" t="s">
        <v>1269</v>
      </c>
      <c r="P176" s="117" t="s">
        <v>1266</v>
      </c>
      <c r="Q176" s="116" t="s">
        <v>1264</v>
      </c>
    </row>
    <row r="177" spans="2:17" ht="12.75">
      <c r="B177" s="127" t="s">
        <v>1270</v>
      </c>
      <c r="C177" s="130">
        <v>461</v>
      </c>
      <c r="D177" s="131">
        <v>3017</v>
      </c>
      <c r="H177" s="114">
        <v>600</v>
      </c>
      <c r="I177" s="115" t="s">
        <v>1271</v>
      </c>
      <c r="J177" s="116" t="s">
        <v>1272</v>
      </c>
      <c r="K177" s="117" t="s">
        <v>1273</v>
      </c>
      <c r="L177" s="118" t="s">
        <v>1274</v>
      </c>
      <c r="M177" s="117" t="s">
        <v>1275</v>
      </c>
      <c r="N177" s="118" t="s">
        <v>1274</v>
      </c>
      <c r="P177" s="117" t="s">
        <v>1273</v>
      </c>
      <c r="Q177" s="116" t="s">
        <v>1271</v>
      </c>
    </row>
    <row r="178" spans="2:17" ht="12.75">
      <c r="B178" s="127" t="s">
        <v>1276</v>
      </c>
      <c r="C178" s="130">
        <v>461</v>
      </c>
      <c r="D178" s="131">
        <v>3018</v>
      </c>
      <c r="H178" s="114">
        <v>604</v>
      </c>
      <c r="I178" s="115" t="s">
        <v>1277</v>
      </c>
      <c r="J178" s="116" t="s">
        <v>1278</v>
      </c>
      <c r="K178" s="117" t="s">
        <v>1279</v>
      </c>
      <c r="L178" s="118" t="s">
        <v>1280</v>
      </c>
      <c r="M178" s="117" t="s">
        <v>1281</v>
      </c>
      <c r="N178" s="118" t="s">
        <v>1280</v>
      </c>
      <c r="P178" s="117" t="s">
        <v>1279</v>
      </c>
      <c r="Q178" s="116" t="s">
        <v>1277</v>
      </c>
    </row>
    <row r="179" spans="2:17" ht="12.75">
      <c r="B179" s="127" t="s">
        <v>1282</v>
      </c>
      <c r="C179" s="130">
        <v>461</v>
      </c>
      <c r="D179" s="131">
        <v>3019</v>
      </c>
      <c r="H179" s="114">
        <v>612</v>
      </c>
      <c r="I179" s="115" t="s">
        <v>1283</v>
      </c>
      <c r="J179" s="116" t="s">
        <v>1284</v>
      </c>
      <c r="K179" s="117" t="s">
        <v>1285</v>
      </c>
      <c r="L179" s="118" t="s">
        <v>1286</v>
      </c>
      <c r="M179" s="117" t="s">
        <v>1286</v>
      </c>
      <c r="N179" s="118" t="s">
        <v>1286</v>
      </c>
      <c r="P179" s="117" t="s">
        <v>1285</v>
      </c>
      <c r="Q179" s="116" t="s">
        <v>1283</v>
      </c>
    </row>
    <row r="180" spans="2:17" ht="12.75">
      <c r="B180" s="127" t="s">
        <v>1287</v>
      </c>
      <c r="C180" s="130">
        <v>461</v>
      </c>
      <c r="D180" s="131">
        <v>3020</v>
      </c>
      <c r="H180" s="114">
        <v>384</v>
      </c>
      <c r="I180" s="115" t="s">
        <v>1288</v>
      </c>
      <c r="J180" s="116" t="s">
        <v>1289</v>
      </c>
      <c r="K180" s="117" t="s">
        <v>1290</v>
      </c>
      <c r="L180" s="118" t="s">
        <v>1291</v>
      </c>
      <c r="M180" s="117" t="s">
        <v>1292</v>
      </c>
      <c r="N180" s="118" t="s">
        <v>1293</v>
      </c>
      <c r="P180" s="117" t="s">
        <v>1290</v>
      </c>
      <c r="Q180" s="116" t="s">
        <v>1288</v>
      </c>
    </row>
    <row r="181" spans="2:17" ht="12.75">
      <c r="B181" s="127" t="s">
        <v>1294</v>
      </c>
      <c r="C181" s="130">
        <v>462</v>
      </c>
      <c r="D181" s="131">
        <v>3101</v>
      </c>
      <c r="H181" s="114">
        <v>616</v>
      </c>
      <c r="I181" s="115" t="s">
        <v>1295</v>
      </c>
      <c r="J181" s="116" t="s">
        <v>1296</v>
      </c>
      <c r="K181" s="117" t="s">
        <v>1297</v>
      </c>
      <c r="L181" s="118" t="s">
        <v>1298</v>
      </c>
      <c r="M181" s="117" t="s">
        <v>1299</v>
      </c>
      <c r="N181" s="118" t="s">
        <v>1300</v>
      </c>
      <c r="P181" s="117" t="s">
        <v>1297</v>
      </c>
      <c r="Q181" s="116" t="s">
        <v>1295</v>
      </c>
    </row>
    <row r="182" spans="2:17" ht="12.75">
      <c r="B182" s="127" t="s">
        <v>1301</v>
      </c>
      <c r="C182" s="130">
        <v>462</v>
      </c>
      <c r="D182" s="131">
        <v>3102</v>
      </c>
      <c r="H182" s="114">
        <v>630</v>
      </c>
      <c r="I182" s="115" t="s">
        <v>1302</v>
      </c>
      <c r="J182" s="116" t="s">
        <v>1303</v>
      </c>
      <c r="K182" s="117" t="s">
        <v>1304</v>
      </c>
      <c r="L182" s="118" t="s">
        <v>1305</v>
      </c>
      <c r="M182" s="117" t="s">
        <v>1306</v>
      </c>
      <c r="N182" s="118" t="s">
        <v>1306</v>
      </c>
      <c r="P182" s="117" t="s">
        <v>1304</v>
      </c>
      <c r="Q182" s="116" t="s">
        <v>1302</v>
      </c>
    </row>
    <row r="183" spans="2:17" ht="12.75">
      <c r="B183" s="127" t="s">
        <v>1307</v>
      </c>
      <c r="C183" s="130">
        <v>462</v>
      </c>
      <c r="D183" s="131">
        <v>3103</v>
      </c>
      <c r="H183" s="114">
        <v>620</v>
      </c>
      <c r="I183" s="115" t="s">
        <v>1308</v>
      </c>
      <c r="J183" s="116" t="s">
        <v>1309</v>
      </c>
      <c r="K183" s="117" t="s">
        <v>1310</v>
      </c>
      <c r="L183" s="118" t="s">
        <v>1311</v>
      </c>
      <c r="M183" s="117" t="s">
        <v>1312</v>
      </c>
      <c r="N183" s="118" t="s">
        <v>1313</v>
      </c>
      <c r="P183" s="117" t="s">
        <v>1310</v>
      </c>
      <c r="Q183" s="116" t="s">
        <v>1308</v>
      </c>
    </row>
    <row r="184" spans="2:17" ht="12.75">
      <c r="B184" s="127" t="s">
        <v>1314</v>
      </c>
      <c r="C184" s="130">
        <v>462</v>
      </c>
      <c r="D184" s="131">
        <v>3104</v>
      </c>
      <c r="H184" s="114">
        <v>40</v>
      </c>
      <c r="I184" s="115" t="s">
        <v>1315</v>
      </c>
      <c r="J184" s="116" t="s">
        <v>1316</v>
      </c>
      <c r="K184" s="117" t="s">
        <v>1317</v>
      </c>
      <c r="L184" s="118" t="s">
        <v>1318</v>
      </c>
      <c r="M184" s="117" t="s">
        <v>1319</v>
      </c>
      <c r="N184" s="118" t="s">
        <v>1320</v>
      </c>
      <c r="P184" s="117" t="s">
        <v>1317</v>
      </c>
      <c r="Q184" s="116" t="s">
        <v>1315</v>
      </c>
    </row>
    <row r="185" spans="2:17" ht="12.75">
      <c r="B185" s="127" t="s">
        <v>1321</v>
      </c>
      <c r="C185" s="130">
        <v>462</v>
      </c>
      <c r="D185" s="131">
        <v>3105</v>
      </c>
      <c r="H185" s="114">
        <v>638</v>
      </c>
      <c r="I185" s="115" t="s">
        <v>1322</v>
      </c>
      <c r="J185" s="116" t="s">
        <v>1323</v>
      </c>
      <c r="K185" s="117" t="s">
        <v>1324</v>
      </c>
      <c r="L185" s="118" t="s">
        <v>1325</v>
      </c>
      <c r="M185" s="117" t="s">
        <v>1325</v>
      </c>
      <c r="N185" s="118" t="s">
        <v>1325</v>
      </c>
      <c r="P185" s="117" t="s">
        <v>1324</v>
      </c>
      <c r="Q185" s="116" t="s">
        <v>1322</v>
      </c>
    </row>
    <row r="186" spans="2:17" ht="12.75">
      <c r="B186" s="127" t="s">
        <v>1326</v>
      </c>
      <c r="C186" s="130">
        <v>462</v>
      </c>
      <c r="D186" s="131">
        <v>3106</v>
      </c>
      <c r="H186" s="114">
        <v>226</v>
      </c>
      <c r="I186" s="115" t="s">
        <v>1327</v>
      </c>
      <c r="J186" s="116" t="s">
        <v>1328</v>
      </c>
      <c r="K186" s="117" t="s">
        <v>1329</v>
      </c>
      <c r="L186" s="118" t="s">
        <v>1330</v>
      </c>
      <c r="M186" s="117" t="s">
        <v>1331</v>
      </c>
      <c r="N186" s="118" t="s">
        <v>1332</v>
      </c>
      <c r="P186" s="117" t="s">
        <v>1329</v>
      </c>
      <c r="Q186" s="116" t="s">
        <v>1327</v>
      </c>
    </row>
    <row r="187" spans="2:17" ht="12.75">
      <c r="B187" s="127" t="s">
        <v>1333</v>
      </c>
      <c r="C187" s="130">
        <v>462</v>
      </c>
      <c r="D187" s="131">
        <v>3107</v>
      </c>
      <c r="H187" s="114">
        <v>642</v>
      </c>
      <c r="I187" s="115" t="s">
        <v>1334</v>
      </c>
      <c r="J187" s="116" t="s">
        <v>1335</v>
      </c>
      <c r="K187" s="117" t="s">
        <v>1336</v>
      </c>
      <c r="L187" s="118" t="s">
        <v>1336</v>
      </c>
      <c r="M187" s="117" t="s">
        <v>1337</v>
      </c>
      <c r="N187" s="118" t="s">
        <v>1337</v>
      </c>
      <c r="P187" s="117" t="s">
        <v>1336</v>
      </c>
      <c r="Q187" s="116" t="s">
        <v>1334</v>
      </c>
    </row>
    <row r="188" spans="2:17" ht="12.75">
      <c r="B188" s="127" t="s">
        <v>1338</v>
      </c>
      <c r="C188" s="130">
        <v>462</v>
      </c>
      <c r="D188" s="131">
        <v>3108</v>
      </c>
      <c r="H188" s="114">
        <v>643</v>
      </c>
      <c r="I188" s="115" t="s">
        <v>1339</v>
      </c>
      <c r="J188" s="116" t="s">
        <v>1340</v>
      </c>
      <c r="K188" s="117" t="s">
        <v>1341</v>
      </c>
      <c r="L188" s="117" t="s">
        <v>1342</v>
      </c>
      <c r="M188" s="117" t="s">
        <v>1343</v>
      </c>
      <c r="N188" s="118" t="s">
        <v>1344</v>
      </c>
      <c r="P188" s="117" t="s">
        <v>1341</v>
      </c>
      <c r="Q188" s="116" t="s">
        <v>1339</v>
      </c>
    </row>
    <row r="189" spans="2:17" ht="12.75">
      <c r="B189" s="127" t="s">
        <v>1345</v>
      </c>
      <c r="C189" s="130">
        <v>462</v>
      </c>
      <c r="D189" s="131">
        <v>3109</v>
      </c>
      <c r="H189" s="114">
        <v>646</v>
      </c>
      <c r="I189" s="115" t="s">
        <v>1346</v>
      </c>
      <c r="J189" s="116" t="s">
        <v>1347</v>
      </c>
      <c r="K189" s="117" t="s">
        <v>1348</v>
      </c>
      <c r="L189" s="118" t="s">
        <v>1349</v>
      </c>
      <c r="M189" s="117" t="s">
        <v>1350</v>
      </c>
      <c r="N189" s="118" t="s">
        <v>1349</v>
      </c>
      <c r="P189" s="117" t="s">
        <v>1348</v>
      </c>
      <c r="Q189" s="116" t="s">
        <v>1346</v>
      </c>
    </row>
    <row r="190" spans="2:17" ht="12.75">
      <c r="B190" s="127" t="s">
        <v>1351</v>
      </c>
      <c r="C190" s="130">
        <v>462</v>
      </c>
      <c r="D190" s="131">
        <v>3110</v>
      </c>
      <c r="H190" s="114">
        <v>300</v>
      </c>
      <c r="I190" s="115" t="s">
        <v>1352</v>
      </c>
      <c r="J190" s="116" t="s">
        <v>1353</v>
      </c>
      <c r="K190" s="117" t="s">
        <v>1354</v>
      </c>
      <c r="L190" s="118" t="s">
        <v>1355</v>
      </c>
      <c r="M190" s="117" t="s">
        <v>1356</v>
      </c>
      <c r="N190" s="118" t="s">
        <v>1357</v>
      </c>
      <c r="P190" s="117" t="s">
        <v>1354</v>
      </c>
      <c r="Q190" s="116" t="s">
        <v>1352</v>
      </c>
    </row>
    <row r="191" spans="2:17" ht="12.75">
      <c r="B191" s="127" t="s">
        <v>1358</v>
      </c>
      <c r="C191" s="130">
        <v>463</v>
      </c>
      <c r="D191" s="131">
        <v>3201</v>
      </c>
      <c r="H191" s="114">
        <v>666</v>
      </c>
      <c r="I191" s="115" t="s">
        <v>1359</v>
      </c>
      <c r="J191" s="116" t="s">
        <v>1360</v>
      </c>
      <c r="K191" s="117" t="s">
        <v>1361</v>
      </c>
      <c r="L191" s="118" t="s">
        <v>1362</v>
      </c>
      <c r="M191" s="117" t="s">
        <v>1363</v>
      </c>
      <c r="N191" s="118" t="s">
        <v>1363</v>
      </c>
      <c r="P191" s="117" t="s">
        <v>1361</v>
      </c>
      <c r="Q191" s="116" t="s">
        <v>1359</v>
      </c>
    </row>
    <row r="192" spans="2:17" ht="12.75">
      <c r="B192" s="127" t="s">
        <v>1364</v>
      </c>
      <c r="C192" s="130">
        <v>463</v>
      </c>
      <c r="D192" s="131">
        <v>3202</v>
      </c>
      <c r="H192" s="114">
        <v>222</v>
      </c>
      <c r="I192" s="115" t="s">
        <v>1365</v>
      </c>
      <c r="J192" s="116" t="s">
        <v>1366</v>
      </c>
      <c r="K192" s="117" t="s">
        <v>1367</v>
      </c>
      <c r="L192" s="118" t="s">
        <v>1368</v>
      </c>
      <c r="M192" s="117" t="s">
        <v>1369</v>
      </c>
      <c r="N192" s="118" t="s">
        <v>1370</v>
      </c>
      <c r="P192" s="117" t="s">
        <v>1367</v>
      </c>
      <c r="Q192" s="116" t="s">
        <v>1365</v>
      </c>
    </row>
    <row r="193" spans="2:17" ht="12.75">
      <c r="B193" s="127" t="s">
        <v>1371</v>
      </c>
      <c r="C193" s="130">
        <v>463</v>
      </c>
      <c r="D193" s="131">
        <v>3203</v>
      </c>
      <c r="H193" s="114">
        <v>882</v>
      </c>
      <c r="I193" s="115" t="s">
        <v>1372</v>
      </c>
      <c r="J193" s="116" t="s">
        <v>1373</v>
      </c>
      <c r="K193" s="117" t="s">
        <v>1374</v>
      </c>
      <c r="L193" s="118" t="s">
        <v>1375</v>
      </c>
      <c r="M193" s="117" t="s">
        <v>1376</v>
      </c>
      <c r="N193" s="118" t="s">
        <v>1375</v>
      </c>
      <c r="P193" s="117" t="s">
        <v>1374</v>
      </c>
      <c r="Q193" s="116" t="s">
        <v>1372</v>
      </c>
    </row>
    <row r="194" spans="2:17" ht="12.75">
      <c r="B194" s="127" t="s">
        <v>1377</v>
      </c>
      <c r="C194" s="130">
        <v>463</v>
      </c>
      <c r="D194" s="131">
        <v>3204</v>
      </c>
      <c r="H194" s="114">
        <v>674</v>
      </c>
      <c r="I194" s="115" t="s">
        <v>1378</v>
      </c>
      <c r="J194" s="116" t="s">
        <v>1379</v>
      </c>
      <c r="K194" s="117" t="s">
        <v>1380</v>
      </c>
      <c r="L194" s="118" t="s">
        <v>1381</v>
      </c>
      <c r="M194" s="117" t="s">
        <v>1382</v>
      </c>
      <c r="N194" s="118" t="s">
        <v>1381</v>
      </c>
      <c r="P194" s="117" t="s">
        <v>1380</v>
      </c>
      <c r="Q194" s="116" t="s">
        <v>1378</v>
      </c>
    </row>
    <row r="195" spans="2:17" ht="12.75">
      <c r="B195" s="127" t="s">
        <v>1383</v>
      </c>
      <c r="C195" s="130">
        <v>463</v>
      </c>
      <c r="D195" s="131">
        <v>3205</v>
      </c>
      <c r="H195" s="114">
        <v>682</v>
      </c>
      <c r="I195" s="115" t="s">
        <v>1384</v>
      </c>
      <c r="J195" s="116" t="s">
        <v>1385</v>
      </c>
      <c r="K195" s="117" t="s">
        <v>1386</v>
      </c>
      <c r="L195" s="118" t="s">
        <v>1387</v>
      </c>
      <c r="M195" s="117" t="s">
        <v>1388</v>
      </c>
      <c r="N195" s="118" t="s">
        <v>1389</v>
      </c>
      <c r="P195" s="117" t="s">
        <v>1386</v>
      </c>
      <c r="Q195" s="116" t="s">
        <v>1384</v>
      </c>
    </row>
    <row r="196" spans="2:17" ht="12.75">
      <c r="B196" s="127" t="s">
        <v>1390</v>
      </c>
      <c r="C196" s="130">
        <v>463</v>
      </c>
      <c r="D196" s="131">
        <v>3206</v>
      </c>
      <c r="H196" s="114">
        <v>686</v>
      </c>
      <c r="I196" s="115" t="s">
        <v>1391</v>
      </c>
      <c r="J196" s="116" t="s">
        <v>1392</v>
      </c>
      <c r="K196" s="117" t="s">
        <v>1393</v>
      </c>
      <c r="L196" s="118" t="s">
        <v>1394</v>
      </c>
      <c r="M196" s="117" t="s">
        <v>1395</v>
      </c>
      <c r="N196" s="118" t="s">
        <v>1394</v>
      </c>
      <c r="P196" s="117" t="s">
        <v>1393</v>
      </c>
      <c r="Q196" s="116" t="s">
        <v>1391</v>
      </c>
    </row>
    <row r="197" spans="2:17" ht="12.75">
      <c r="B197" s="127" t="s">
        <v>1396</v>
      </c>
      <c r="C197" s="130">
        <v>463</v>
      </c>
      <c r="D197" s="131">
        <v>3207</v>
      </c>
      <c r="H197" s="114">
        <v>580</v>
      </c>
      <c r="I197" s="115" t="s">
        <v>1397</v>
      </c>
      <c r="J197" s="116" t="s">
        <v>1398</v>
      </c>
      <c r="K197" s="117" t="s">
        <v>1399</v>
      </c>
      <c r="L197" s="118" t="s">
        <v>1400</v>
      </c>
      <c r="M197" s="117" t="s">
        <v>1401</v>
      </c>
      <c r="N197" s="118" t="s">
        <v>1402</v>
      </c>
      <c r="P197" s="117" t="s">
        <v>1399</v>
      </c>
      <c r="Q197" s="116" t="s">
        <v>1397</v>
      </c>
    </row>
    <row r="198" spans="2:17" ht="12.75">
      <c r="B198" s="127" t="s">
        <v>1403</v>
      </c>
      <c r="C198" s="130">
        <v>463</v>
      </c>
      <c r="D198" s="131">
        <v>3208</v>
      </c>
      <c r="H198" s="114">
        <v>690</v>
      </c>
      <c r="I198" s="115" t="s">
        <v>1404</v>
      </c>
      <c r="J198" s="116" t="s">
        <v>1405</v>
      </c>
      <c r="K198" s="117" t="s">
        <v>1406</v>
      </c>
      <c r="L198" s="118" t="s">
        <v>1407</v>
      </c>
      <c r="M198" s="117" t="s">
        <v>1408</v>
      </c>
      <c r="N198" s="118" t="s">
        <v>1409</v>
      </c>
      <c r="P198" s="117" t="s">
        <v>1406</v>
      </c>
      <c r="Q198" s="116" t="s">
        <v>1404</v>
      </c>
    </row>
    <row r="199" spans="2:17" ht="12.75">
      <c r="B199" s="127" t="s">
        <v>1410</v>
      </c>
      <c r="C199" s="130">
        <v>463</v>
      </c>
      <c r="D199" s="131">
        <v>3209</v>
      </c>
      <c r="H199" s="114">
        <v>694</v>
      </c>
      <c r="I199" s="115" t="s">
        <v>1411</v>
      </c>
      <c r="J199" s="116" t="s">
        <v>1412</v>
      </c>
      <c r="K199" s="117" t="s">
        <v>1413</v>
      </c>
      <c r="L199" s="118" t="s">
        <v>1414</v>
      </c>
      <c r="M199" s="117" t="s">
        <v>1415</v>
      </c>
      <c r="N199" s="118" t="s">
        <v>1414</v>
      </c>
      <c r="P199" s="117" t="s">
        <v>1413</v>
      </c>
      <c r="Q199" s="116" t="s">
        <v>1411</v>
      </c>
    </row>
    <row r="200" spans="2:17" ht="12.75">
      <c r="B200" s="127" t="s">
        <v>1416</v>
      </c>
      <c r="C200" s="130">
        <v>463</v>
      </c>
      <c r="D200" s="131">
        <v>3210</v>
      </c>
      <c r="H200" s="114">
        <v>702</v>
      </c>
      <c r="I200" s="115" t="s">
        <v>1417</v>
      </c>
      <c r="J200" s="116" t="s">
        <v>1418</v>
      </c>
      <c r="K200" s="117" t="s">
        <v>1419</v>
      </c>
      <c r="L200" s="118" t="s">
        <v>1420</v>
      </c>
      <c r="M200" s="117" t="s">
        <v>1421</v>
      </c>
      <c r="N200" s="118" t="s">
        <v>1422</v>
      </c>
      <c r="P200" s="117" t="s">
        <v>1419</v>
      </c>
      <c r="Q200" s="116" t="s">
        <v>1417</v>
      </c>
    </row>
    <row r="201" spans="2:17" ht="12.75">
      <c r="B201" s="127" t="s">
        <v>1423</v>
      </c>
      <c r="C201" s="130">
        <v>463</v>
      </c>
      <c r="D201" s="131">
        <v>3211</v>
      </c>
      <c r="H201" s="114">
        <v>703</v>
      </c>
      <c r="I201" s="115" t="s">
        <v>1424</v>
      </c>
      <c r="J201" s="116" t="s">
        <v>1425</v>
      </c>
      <c r="K201" s="117" t="s">
        <v>1426</v>
      </c>
      <c r="L201" s="118" t="s">
        <v>1427</v>
      </c>
      <c r="M201" s="117" t="s">
        <v>1428</v>
      </c>
      <c r="N201" s="118" t="s">
        <v>1429</v>
      </c>
      <c r="P201" s="117" t="s">
        <v>1426</v>
      </c>
      <c r="Q201" s="116" t="s">
        <v>1424</v>
      </c>
    </row>
    <row r="202" spans="2:17" ht="12.75">
      <c r="B202" s="127" t="s">
        <v>1430</v>
      </c>
      <c r="C202" s="130">
        <v>463</v>
      </c>
      <c r="D202" s="131">
        <v>3212</v>
      </c>
      <c r="H202" s="114">
        <v>705</v>
      </c>
      <c r="I202" s="115" t="s">
        <v>1431</v>
      </c>
      <c r="J202" s="116" t="s">
        <v>1432</v>
      </c>
      <c r="K202" s="117" t="s">
        <v>1433</v>
      </c>
      <c r="L202" s="118" t="s">
        <v>1434</v>
      </c>
      <c r="M202" s="117" t="s">
        <v>1435</v>
      </c>
      <c r="N202" s="118" t="s">
        <v>1436</v>
      </c>
      <c r="P202" s="117" t="s">
        <v>1433</v>
      </c>
      <c r="Q202" s="116" t="s">
        <v>1431</v>
      </c>
    </row>
    <row r="203" spans="2:17" ht="12.75">
      <c r="B203" s="127" t="s">
        <v>1437</v>
      </c>
      <c r="C203" s="130">
        <v>463</v>
      </c>
      <c r="D203" s="131">
        <v>3213</v>
      </c>
      <c r="H203" s="114">
        <v>706</v>
      </c>
      <c r="I203" s="115" t="s">
        <v>1438</v>
      </c>
      <c r="J203" s="116" t="s">
        <v>1439</v>
      </c>
      <c r="K203" s="117" t="s">
        <v>1440</v>
      </c>
      <c r="L203" s="118" t="s">
        <v>1441</v>
      </c>
      <c r="M203" s="117" t="s">
        <v>1442</v>
      </c>
      <c r="N203" s="118" t="s">
        <v>1443</v>
      </c>
      <c r="P203" s="117" t="s">
        <v>1440</v>
      </c>
      <c r="Q203" s="116" t="s">
        <v>1438</v>
      </c>
    </row>
    <row r="204" spans="2:17" ht="12.75">
      <c r="B204" s="127" t="s">
        <v>1444</v>
      </c>
      <c r="C204" s="130">
        <v>463</v>
      </c>
      <c r="D204" s="131">
        <v>3214</v>
      </c>
      <c r="H204" s="114">
        <v>784</v>
      </c>
      <c r="I204" s="115" t="s">
        <v>1445</v>
      </c>
      <c r="J204" s="116" t="s">
        <v>1446</v>
      </c>
      <c r="K204" s="117" t="s">
        <v>1447</v>
      </c>
      <c r="L204" s="118" t="s">
        <v>1448</v>
      </c>
      <c r="M204" s="117" t="s">
        <v>1449</v>
      </c>
      <c r="N204" s="118" t="s">
        <v>1450</v>
      </c>
      <c r="P204" s="117" t="s">
        <v>1447</v>
      </c>
      <c r="Q204" s="116" t="s">
        <v>1445</v>
      </c>
    </row>
    <row r="205" spans="2:17" ht="12.75">
      <c r="B205" s="127" t="s">
        <v>1451</v>
      </c>
      <c r="C205" s="130">
        <v>463</v>
      </c>
      <c r="D205" s="131">
        <v>3215</v>
      </c>
      <c r="H205" s="114">
        <v>840</v>
      </c>
      <c r="I205" s="115" t="s">
        <v>1452</v>
      </c>
      <c r="J205" s="116" t="s">
        <v>1453</v>
      </c>
      <c r="K205" s="117" t="s">
        <v>1454</v>
      </c>
      <c r="L205" s="118" t="s">
        <v>1455</v>
      </c>
      <c r="M205" s="117" t="s">
        <v>1456</v>
      </c>
      <c r="N205" s="118" t="s">
        <v>1457</v>
      </c>
      <c r="P205" s="117" t="s">
        <v>1454</v>
      </c>
      <c r="Q205" s="116" t="s">
        <v>1452</v>
      </c>
    </row>
    <row r="206" spans="2:17" ht="12.75">
      <c r="B206" s="127" t="s">
        <v>1458</v>
      </c>
      <c r="C206" s="130">
        <v>463</v>
      </c>
      <c r="D206" s="131">
        <v>3216</v>
      </c>
      <c r="H206" s="114">
        <v>688</v>
      </c>
      <c r="I206" s="115" t="s">
        <v>1459</v>
      </c>
      <c r="J206" s="116" t="s">
        <v>1460</v>
      </c>
      <c r="K206" s="117" t="s">
        <v>1461</v>
      </c>
      <c r="L206" s="118" t="s">
        <v>1462</v>
      </c>
      <c r="M206" s="117" t="s">
        <v>1463</v>
      </c>
      <c r="N206" s="118" t="s">
        <v>1464</v>
      </c>
      <c r="P206" s="117" t="s">
        <v>1461</v>
      </c>
      <c r="Q206" s="116" t="s">
        <v>1459</v>
      </c>
    </row>
    <row r="207" spans="2:17" ht="12.75">
      <c r="B207" s="127" t="s">
        <v>1465</v>
      </c>
      <c r="C207" s="130">
        <v>463</v>
      </c>
      <c r="D207" s="131">
        <v>3217</v>
      </c>
      <c r="H207" s="114">
        <v>140</v>
      </c>
      <c r="I207" s="115" t="s">
        <v>1466</v>
      </c>
      <c r="J207" s="116" t="s">
        <v>1467</v>
      </c>
      <c r="K207" s="117" t="s">
        <v>1468</v>
      </c>
      <c r="L207" s="118" t="s">
        <v>1468</v>
      </c>
      <c r="M207" s="117" t="s">
        <v>1469</v>
      </c>
      <c r="N207" s="118" t="s">
        <v>1470</v>
      </c>
      <c r="P207" s="117" t="s">
        <v>1468</v>
      </c>
      <c r="Q207" s="116" t="s">
        <v>1466</v>
      </c>
    </row>
    <row r="208" spans="2:17" ht="12.75">
      <c r="B208" s="127" t="s">
        <v>1471</v>
      </c>
      <c r="C208" s="130">
        <v>463</v>
      </c>
      <c r="D208" s="131">
        <v>3218</v>
      </c>
      <c r="H208" s="114">
        <v>729</v>
      </c>
      <c r="I208" s="115" t="s">
        <v>1472</v>
      </c>
      <c r="J208" s="116" t="s">
        <v>1473</v>
      </c>
      <c r="K208" s="117" t="s">
        <v>1474</v>
      </c>
      <c r="L208" s="118" t="s">
        <v>1475</v>
      </c>
      <c r="M208" s="117" t="s">
        <v>1476</v>
      </c>
      <c r="N208" s="118" t="s">
        <v>1477</v>
      </c>
      <c r="P208" s="117" t="s">
        <v>1474</v>
      </c>
      <c r="Q208" s="116" t="s">
        <v>1472</v>
      </c>
    </row>
    <row r="209" spans="2:17" ht="12.75">
      <c r="B209" s="127" t="s">
        <v>1478</v>
      </c>
      <c r="C209" s="130">
        <v>464</v>
      </c>
      <c r="D209" s="131">
        <v>3301</v>
      </c>
      <c r="H209" s="114">
        <v>740</v>
      </c>
      <c r="I209" s="115" t="s">
        <v>1479</v>
      </c>
      <c r="J209" s="116" t="s">
        <v>1480</v>
      </c>
      <c r="K209" s="117" t="s">
        <v>1481</v>
      </c>
      <c r="L209" s="118" t="s">
        <v>1482</v>
      </c>
      <c r="M209" s="117" t="s">
        <v>1483</v>
      </c>
      <c r="N209" s="118" t="s">
        <v>1484</v>
      </c>
      <c r="P209" s="117" t="s">
        <v>1481</v>
      </c>
      <c r="Q209" s="116" t="s">
        <v>1479</v>
      </c>
    </row>
    <row r="210" spans="2:17" ht="12.75">
      <c r="B210" s="127" t="s">
        <v>1485</v>
      </c>
      <c r="C210" s="130">
        <v>464</v>
      </c>
      <c r="D210" s="131">
        <v>3302</v>
      </c>
      <c r="H210" s="114">
        <v>654</v>
      </c>
      <c r="I210" s="115" t="s">
        <v>1486</v>
      </c>
      <c r="J210" s="116" t="s">
        <v>1487</v>
      </c>
      <c r="K210" s="117" t="s">
        <v>1488</v>
      </c>
      <c r="L210" s="117" t="s">
        <v>1489</v>
      </c>
      <c r="M210" s="117" t="s">
        <v>1490</v>
      </c>
      <c r="N210" s="117" t="s">
        <v>1490</v>
      </c>
      <c r="P210" s="117" t="s">
        <v>1488</v>
      </c>
      <c r="Q210" s="116" t="s">
        <v>1486</v>
      </c>
    </row>
    <row r="211" spans="2:17" ht="12.75">
      <c r="B211" s="127" t="s">
        <v>1491</v>
      </c>
      <c r="C211" s="130">
        <v>464</v>
      </c>
      <c r="D211" s="131">
        <v>3303</v>
      </c>
      <c r="H211" s="114">
        <v>662</v>
      </c>
      <c r="I211" s="115" t="s">
        <v>1492</v>
      </c>
      <c r="J211" s="116" t="s">
        <v>1493</v>
      </c>
      <c r="K211" s="117" t="s">
        <v>1494</v>
      </c>
      <c r="L211" s="118" t="s">
        <v>1494</v>
      </c>
      <c r="M211" s="117" t="s">
        <v>1495</v>
      </c>
      <c r="N211" s="118" t="s">
        <v>1495</v>
      </c>
      <c r="P211" s="117" t="s">
        <v>1494</v>
      </c>
      <c r="Q211" s="116" t="s">
        <v>1492</v>
      </c>
    </row>
    <row r="212" spans="2:17" ht="12.75">
      <c r="B212" s="127" t="s">
        <v>1496</v>
      </c>
      <c r="C212" s="130">
        <v>464</v>
      </c>
      <c r="D212" s="131">
        <v>3304</v>
      </c>
      <c r="H212" s="114">
        <v>652</v>
      </c>
      <c r="I212" s="115" t="s">
        <v>1497</v>
      </c>
      <c r="J212" s="116" t="s">
        <v>1498</v>
      </c>
      <c r="K212" s="118" t="s">
        <v>1499</v>
      </c>
      <c r="L212" s="118" t="s">
        <v>1500</v>
      </c>
      <c r="M212" s="118" t="s">
        <v>1501</v>
      </c>
      <c r="N212" s="118" t="s">
        <v>1501</v>
      </c>
      <c r="P212" s="118" t="s">
        <v>1499</v>
      </c>
      <c r="Q212" s="116" t="s">
        <v>1497</v>
      </c>
    </row>
    <row r="213" spans="2:17" ht="12.75">
      <c r="B213" s="127" t="s">
        <v>1502</v>
      </c>
      <c r="C213" s="130">
        <v>464</v>
      </c>
      <c r="D213" s="131">
        <v>3305</v>
      </c>
      <c r="H213" s="114">
        <v>659</v>
      </c>
      <c r="I213" s="115" t="s">
        <v>1503</v>
      </c>
      <c r="J213" s="116" t="s">
        <v>1504</v>
      </c>
      <c r="K213" s="117" t="s">
        <v>1505</v>
      </c>
      <c r="L213" s="118" t="s">
        <v>1506</v>
      </c>
      <c r="M213" s="117" t="s">
        <v>1507</v>
      </c>
      <c r="N213" s="118" t="s">
        <v>1507</v>
      </c>
      <c r="P213" s="117" t="s">
        <v>1505</v>
      </c>
      <c r="Q213" s="116" t="s">
        <v>1503</v>
      </c>
    </row>
    <row r="214" spans="2:17" ht="12.75">
      <c r="B214" s="127" t="s">
        <v>1508</v>
      </c>
      <c r="C214" s="130">
        <v>464</v>
      </c>
      <c r="D214" s="131">
        <v>3306</v>
      </c>
      <c r="H214" s="114">
        <v>663</v>
      </c>
      <c r="I214" s="115" t="s">
        <v>1509</v>
      </c>
      <c r="J214" s="116" t="s">
        <v>1510</v>
      </c>
      <c r="K214" s="118" t="s">
        <v>1511</v>
      </c>
      <c r="L214" s="118" t="s">
        <v>1512</v>
      </c>
      <c r="M214" s="118" t="s">
        <v>1513</v>
      </c>
      <c r="N214" s="118" t="s">
        <v>1513</v>
      </c>
      <c r="P214" s="118" t="s">
        <v>1511</v>
      </c>
      <c r="Q214" s="116" t="s">
        <v>1509</v>
      </c>
    </row>
    <row r="215" spans="2:17" ht="12.75">
      <c r="B215" s="127" t="s">
        <v>1514</v>
      </c>
      <c r="C215" s="130">
        <v>464</v>
      </c>
      <c r="D215" s="131">
        <v>3307</v>
      </c>
      <c r="H215" s="114">
        <v>534</v>
      </c>
      <c r="I215" s="115" t="s">
        <v>1515</v>
      </c>
      <c r="J215" s="145" t="s">
        <v>1516</v>
      </c>
      <c r="K215" s="118" t="s">
        <v>1517</v>
      </c>
      <c r="L215" s="118" t="s">
        <v>1517</v>
      </c>
      <c r="M215" s="146" t="s">
        <v>1518</v>
      </c>
      <c r="N215" s="146" t="s">
        <v>1518</v>
      </c>
      <c r="P215" s="118" t="s">
        <v>1517</v>
      </c>
      <c r="Q215" s="145" t="s">
        <v>1515</v>
      </c>
    </row>
    <row r="216" spans="2:17" ht="12.75">
      <c r="B216" s="127" t="s">
        <v>1519</v>
      </c>
      <c r="C216" s="130">
        <v>464</v>
      </c>
      <c r="D216" s="131">
        <v>3308</v>
      </c>
      <c r="H216" s="114">
        <v>678</v>
      </c>
      <c r="I216" s="115" t="s">
        <v>1520</v>
      </c>
      <c r="J216" s="116" t="s">
        <v>1521</v>
      </c>
      <c r="K216" s="117" t="s">
        <v>1522</v>
      </c>
      <c r="L216" s="117" t="s">
        <v>1523</v>
      </c>
      <c r="M216" s="117" t="s">
        <v>1524</v>
      </c>
      <c r="N216" s="118" t="s">
        <v>1525</v>
      </c>
      <c r="P216" s="117" t="s">
        <v>1522</v>
      </c>
      <c r="Q216" s="116" t="s">
        <v>1520</v>
      </c>
    </row>
    <row r="217" spans="2:17" ht="12.75">
      <c r="B217" s="127" t="s">
        <v>1526</v>
      </c>
      <c r="C217" s="130">
        <v>464</v>
      </c>
      <c r="D217" s="131">
        <v>3309</v>
      </c>
      <c r="H217" s="114">
        <v>670</v>
      </c>
      <c r="I217" s="115" t="s">
        <v>1527</v>
      </c>
      <c r="J217" s="116" t="s">
        <v>1528</v>
      </c>
      <c r="K217" s="117" t="s">
        <v>1529</v>
      </c>
      <c r="L217" s="118" t="s">
        <v>1529</v>
      </c>
      <c r="M217" s="117" t="s">
        <v>1530</v>
      </c>
      <c r="N217" s="118" t="s">
        <v>1530</v>
      </c>
      <c r="P217" s="117" t="s">
        <v>1529</v>
      </c>
      <c r="Q217" s="116" t="s">
        <v>1527</v>
      </c>
    </row>
    <row r="218" spans="2:17" ht="12.75">
      <c r="B218" s="127" t="s">
        <v>1531</v>
      </c>
      <c r="C218" s="130">
        <v>464</v>
      </c>
      <c r="D218" s="131">
        <v>3310</v>
      </c>
      <c r="H218" s="114">
        <v>748</v>
      </c>
      <c r="I218" s="115" t="s">
        <v>1532</v>
      </c>
      <c r="J218" s="116" t="s">
        <v>1533</v>
      </c>
      <c r="K218" s="117" t="s">
        <v>1534</v>
      </c>
      <c r="L218" s="118" t="s">
        <v>1535</v>
      </c>
      <c r="M218" s="117" t="s">
        <v>1536</v>
      </c>
      <c r="N218" s="118" t="s">
        <v>1537</v>
      </c>
      <c r="P218" s="117" t="s">
        <v>1534</v>
      </c>
      <c r="Q218" s="116" t="s">
        <v>1532</v>
      </c>
    </row>
    <row r="219" spans="2:17" ht="12.75">
      <c r="B219" s="127" t="s">
        <v>1538</v>
      </c>
      <c r="C219" s="130">
        <v>464</v>
      </c>
      <c r="D219" s="131">
        <v>3311</v>
      </c>
      <c r="H219" s="114">
        <v>760</v>
      </c>
      <c r="I219" s="115" t="s">
        <v>1539</v>
      </c>
      <c r="J219" s="116" t="s">
        <v>1540</v>
      </c>
      <c r="K219" s="117" t="s">
        <v>1541</v>
      </c>
      <c r="L219" s="117" t="s">
        <v>1542</v>
      </c>
      <c r="M219" s="117" t="s">
        <v>1543</v>
      </c>
      <c r="N219" s="118" t="s">
        <v>1544</v>
      </c>
      <c r="P219" s="117" t="s">
        <v>1541</v>
      </c>
      <c r="Q219" s="116" t="s">
        <v>1539</v>
      </c>
    </row>
    <row r="220" spans="2:17" ht="12.75">
      <c r="B220" s="127" t="s">
        <v>1545</v>
      </c>
      <c r="C220" s="130">
        <v>464</v>
      </c>
      <c r="D220" s="131">
        <v>3312</v>
      </c>
      <c r="H220" s="114">
        <v>90</v>
      </c>
      <c r="I220" s="115" t="s">
        <v>1546</v>
      </c>
      <c r="J220" s="116" t="s">
        <v>1547</v>
      </c>
      <c r="K220" s="117" t="s">
        <v>1548</v>
      </c>
      <c r="L220" s="117" t="s">
        <v>1548</v>
      </c>
      <c r="M220" s="118" t="s">
        <v>1549</v>
      </c>
      <c r="N220" s="118" t="s">
        <v>1549</v>
      </c>
      <c r="P220" s="117" t="s">
        <v>1548</v>
      </c>
      <c r="Q220" s="116" t="s">
        <v>1546</v>
      </c>
    </row>
    <row r="221" spans="2:17" ht="12.75">
      <c r="B221" s="127" t="s">
        <v>1550</v>
      </c>
      <c r="C221" s="130">
        <v>13</v>
      </c>
      <c r="D221" s="131">
        <v>4030</v>
      </c>
      <c r="H221" s="114">
        <v>724</v>
      </c>
      <c r="I221" s="115" t="s">
        <v>1551</v>
      </c>
      <c r="J221" s="116" t="s">
        <v>1552</v>
      </c>
      <c r="K221" s="117" t="s">
        <v>1553</v>
      </c>
      <c r="L221" s="118" t="s">
        <v>1554</v>
      </c>
      <c r="M221" s="117" t="s">
        <v>1555</v>
      </c>
      <c r="N221" s="118" t="s">
        <v>1556</v>
      </c>
      <c r="P221" s="117" t="s">
        <v>1553</v>
      </c>
      <c r="Q221" s="116" t="s">
        <v>1551</v>
      </c>
    </row>
    <row r="222" spans="2:17" ht="12.75">
      <c r="B222" s="127" t="s">
        <v>525</v>
      </c>
      <c r="C222" s="130">
        <v>13</v>
      </c>
      <c r="D222" s="131">
        <v>4022</v>
      </c>
      <c r="H222" s="114">
        <v>744</v>
      </c>
      <c r="I222" s="115" t="s">
        <v>1557</v>
      </c>
      <c r="J222" s="116" t="s">
        <v>1558</v>
      </c>
      <c r="K222" s="118" t="s">
        <v>1559</v>
      </c>
      <c r="L222" s="118" t="s">
        <v>1559</v>
      </c>
      <c r="M222" s="118" t="s">
        <v>1560</v>
      </c>
      <c r="N222" s="118" t="s">
        <v>1560</v>
      </c>
      <c r="P222" s="118" t="s">
        <v>1559</v>
      </c>
      <c r="Q222" s="116" t="s">
        <v>1557</v>
      </c>
    </row>
    <row r="223" spans="2:17" ht="12.75">
      <c r="B223" s="127" t="s">
        <v>919</v>
      </c>
      <c r="C223" s="130">
        <v>13</v>
      </c>
      <c r="D223" s="131">
        <v>4027</v>
      </c>
      <c r="H223" s="114">
        <v>144</v>
      </c>
      <c r="I223" s="115" t="s">
        <v>1561</v>
      </c>
      <c r="J223" s="116" t="s">
        <v>1562</v>
      </c>
      <c r="K223" s="117" t="s">
        <v>1563</v>
      </c>
      <c r="L223" s="118" t="s">
        <v>1564</v>
      </c>
      <c r="M223" s="117" t="s">
        <v>1565</v>
      </c>
      <c r="N223" s="118" t="s">
        <v>1566</v>
      </c>
      <c r="P223" s="117" t="s">
        <v>1563</v>
      </c>
      <c r="Q223" s="116" t="s">
        <v>1561</v>
      </c>
    </row>
    <row r="224" spans="2:17" ht="12.75">
      <c r="B224" s="127" t="s">
        <v>1567</v>
      </c>
      <c r="C224" s="130">
        <v>13</v>
      </c>
      <c r="D224" s="131">
        <v>4032</v>
      </c>
      <c r="H224" s="114">
        <v>752</v>
      </c>
      <c r="I224" s="115" t="s">
        <v>1568</v>
      </c>
      <c r="J224" s="116" t="s">
        <v>1569</v>
      </c>
      <c r="K224" s="117" t="s">
        <v>1570</v>
      </c>
      <c r="L224" s="118" t="s">
        <v>1571</v>
      </c>
      <c r="M224" s="117" t="s">
        <v>1572</v>
      </c>
      <c r="N224" s="118" t="s">
        <v>1573</v>
      </c>
      <c r="P224" s="117" t="s">
        <v>1570</v>
      </c>
      <c r="Q224" s="116" t="s">
        <v>1568</v>
      </c>
    </row>
    <row r="225" spans="2:17" ht="12.75">
      <c r="B225" s="127" t="s">
        <v>624</v>
      </c>
      <c r="C225" s="130">
        <v>13</v>
      </c>
      <c r="D225" s="131">
        <v>4023</v>
      </c>
      <c r="H225" s="114">
        <v>756</v>
      </c>
      <c r="I225" s="115" t="s">
        <v>1574</v>
      </c>
      <c r="J225" s="116" t="s">
        <v>1575</v>
      </c>
      <c r="K225" s="117" t="s">
        <v>1576</v>
      </c>
      <c r="L225" s="118" t="s">
        <v>1577</v>
      </c>
      <c r="M225" s="117" t="s">
        <v>1578</v>
      </c>
      <c r="N225" s="118" t="s">
        <v>1579</v>
      </c>
      <c r="P225" s="117" t="s">
        <v>1576</v>
      </c>
      <c r="Q225" s="116" t="s">
        <v>1574</v>
      </c>
    </row>
    <row r="226" spans="2:17" ht="13.5" thickBot="1">
      <c r="B226" s="147" t="s">
        <v>759</v>
      </c>
      <c r="C226" s="148">
        <v>13</v>
      </c>
      <c r="D226" s="149">
        <v>4025</v>
      </c>
      <c r="H226" s="114">
        <v>762</v>
      </c>
      <c r="I226" s="115" t="s">
        <v>1580</v>
      </c>
      <c r="J226" s="116" t="s">
        <v>1581</v>
      </c>
      <c r="K226" s="117" t="s">
        <v>1582</v>
      </c>
      <c r="L226" s="118" t="s">
        <v>1583</v>
      </c>
      <c r="M226" s="117" t="s">
        <v>1584</v>
      </c>
      <c r="N226" s="118" t="s">
        <v>1585</v>
      </c>
      <c r="P226" s="117" t="s">
        <v>1582</v>
      </c>
      <c r="Q226" s="116" t="s">
        <v>1580</v>
      </c>
    </row>
    <row r="227" spans="8:17" ht="12.75">
      <c r="H227" s="114">
        <v>834</v>
      </c>
      <c r="I227" s="115" t="s">
        <v>1586</v>
      </c>
      <c r="J227" s="116" t="s">
        <v>1587</v>
      </c>
      <c r="K227" s="117" t="s">
        <v>1588</v>
      </c>
      <c r="L227" s="117" t="s">
        <v>1589</v>
      </c>
      <c r="M227" s="117" t="s">
        <v>1590</v>
      </c>
      <c r="N227" s="118" t="s">
        <v>1591</v>
      </c>
      <c r="P227" s="117" t="s">
        <v>1588</v>
      </c>
      <c r="Q227" s="116" t="s">
        <v>1586</v>
      </c>
    </row>
    <row r="228" spans="8:17" ht="12.75">
      <c r="H228" s="114">
        <v>764</v>
      </c>
      <c r="I228" s="115" t="s">
        <v>1592</v>
      </c>
      <c r="J228" s="116" t="s">
        <v>1593</v>
      </c>
      <c r="K228" s="117" t="s">
        <v>1594</v>
      </c>
      <c r="L228" s="118" t="s">
        <v>1595</v>
      </c>
      <c r="M228" s="117" t="s">
        <v>1596</v>
      </c>
      <c r="N228" s="118" t="s">
        <v>1597</v>
      </c>
      <c r="P228" s="117" t="s">
        <v>1594</v>
      </c>
      <c r="Q228" s="116" t="s">
        <v>1592</v>
      </c>
    </row>
    <row r="229" spans="8:17" ht="12.75">
      <c r="H229" s="114">
        <v>158</v>
      </c>
      <c r="I229" s="115" t="s">
        <v>1598</v>
      </c>
      <c r="J229" s="116" t="s">
        <v>1599</v>
      </c>
      <c r="K229" s="117" t="s">
        <v>1600</v>
      </c>
      <c r="L229" s="117" t="s">
        <v>1601</v>
      </c>
      <c r="M229" s="117" t="s">
        <v>1602</v>
      </c>
      <c r="N229" s="117" t="s">
        <v>1602</v>
      </c>
      <c r="P229" s="117" t="s">
        <v>1600</v>
      </c>
      <c r="Q229" s="116" t="s">
        <v>1598</v>
      </c>
    </row>
    <row r="230" spans="8:17" ht="12.75">
      <c r="H230" s="114">
        <v>768</v>
      </c>
      <c r="I230" s="115" t="s">
        <v>1603</v>
      </c>
      <c r="J230" s="116" t="s">
        <v>1604</v>
      </c>
      <c r="K230" s="117" t="s">
        <v>1605</v>
      </c>
      <c r="L230" s="118" t="s">
        <v>1606</v>
      </c>
      <c r="M230" s="117" t="s">
        <v>1607</v>
      </c>
      <c r="N230" s="118" t="s">
        <v>1606</v>
      </c>
      <c r="P230" s="117" t="s">
        <v>1605</v>
      </c>
      <c r="Q230" s="116" t="s">
        <v>1603</v>
      </c>
    </row>
    <row r="231" spans="8:17" ht="12.75">
      <c r="H231" s="114">
        <v>772</v>
      </c>
      <c r="I231" s="115" t="s">
        <v>1608</v>
      </c>
      <c r="J231" s="116" t="s">
        <v>1609</v>
      </c>
      <c r="K231" s="117" t="s">
        <v>1610</v>
      </c>
      <c r="L231" s="118" t="s">
        <v>1610</v>
      </c>
      <c r="M231" s="117" t="s">
        <v>1610</v>
      </c>
      <c r="N231" s="118" t="s">
        <v>1610</v>
      </c>
      <c r="P231" s="117" t="s">
        <v>1610</v>
      </c>
      <c r="Q231" s="116" t="s">
        <v>1608</v>
      </c>
    </row>
    <row r="232" spans="8:17" ht="12.75">
      <c r="H232" s="114">
        <v>776</v>
      </c>
      <c r="I232" s="115" t="s">
        <v>1611</v>
      </c>
      <c r="J232" s="116" t="s">
        <v>1612</v>
      </c>
      <c r="K232" s="117" t="s">
        <v>1613</v>
      </c>
      <c r="L232" s="118" t="s">
        <v>1614</v>
      </c>
      <c r="M232" s="117" t="s">
        <v>1615</v>
      </c>
      <c r="N232" s="118" t="s">
        <v>1614</v>
      </c>
      <c r="P232" s="117" t="s">
        <v>1613</v>
      </c>
      <c r="Q232" s="116" t="s">
        <v>1611</v>
      </c>
    </row>
    <row r="233" spans="8:17" ht="12.75">
      <c r="H233" s="114">
        <v>780</v>
      </c>
      <c r="I233" s="115" t="s">
        <v>1616</v>
      </c>
      <c r="J233" s="116" t="s">
        <v>1617</v>
      </c>
      <c r="K233" s="117" t="s">
        <v>1618</v>
      </c>
      <c r="L233" s="118" t="s">
        <v>1619</v>
      </c>
      <c r="M233" s="117" t="s">
        <v>1620</v>
      </c>
      <c r="N233" s="118" t="s">
        <v>1621</v>
      </c>
      <c r="P233" s="117" t="s">
        <v>1618</v>
      </c>
      <c r="Q233" s="116" t="s">
        <v>1616</v>
      </c>
    </row>
    <row r="234" spans="8:17" ht="12.75">
      <c r="H234" s="114">
        <v>788</v>
      </c>
      <c r="I234" s="115" t="s">
        <v>1622</v>
      </c>
      <c r="J234" s="116" t="s">
        <v>1623</v>
      </c>
      <c r="K234" s="117" t="s">
        <v>1624</v>
      </c>
      <c r="L234" s="118" t="s">
        <v>1625</v>
      </c>
      <c r="M234" s="117" t="s">
        <v>1626</v>
      </c>
      <c r="N234" s="118" t="s">
        <v>1627</v>
      </c>
      <c r="P234" s="117" t="s">
        <v>1624</v>
      </c>
      <c r="Q234" s="116" t="s">
        <v>1622</v>
      </c>
    </row>
    <row r="235" spans="8:17" ht="12.75">
      <c r="H235" s="114">
        <v>792</v>
      </c>
      <c r="I235" s="115" t="s">
        <v>1628</v>
      </c>
      <c r="J235" s="116" t="s">
        <v>1629</v>
      </c>
      <c r="K235" s="117" t="s">
        <v>1630</v>
      </c>
      <c r="L235" s="118" t="s">
        <v>1631</v>
      </c>
      <c r="M235" s="117" t="s">
        <v>1632</v>
      </c>
      <c r="N235" s="118" t="s">
        <v>1633</v>
      </c>
      <c r="P235" s="117" t="s">
        <v>1630</v>
      </c>
      <c r="Q235" s="116" t="s">
        <v>1628</v>
      </c>
    </row>
    <row r="236" spans="8:17" ht="12.75">
      <c r="H236" s="114">
        <v>795</v>
      </c>
      <c r="I236" s="115" t="s">
        <v>1634</v>
      </c>
      <c r="J236" s="116" t="s">
        <v>1635</v>
      </c>
      <c r="K236" s="117" t="s">
        <v>1636</v>
      </c>
      <c r="L236" s="118" t="s">
        <v>1636</v>
      </c>
      <c r="M236" s="117" t="s">
        <v>1637</v>
      </c>
      <c r="N236" s="118" t="s">
        <v>1637</v>
      </c>
      <c r="P236" s="117" t="s">
        <v>1636</v>
      </c>
      <c r="Q236" s="116" t="s">
        <v>1634</v>
      </c>
    </row>
    <row r="237" spans="8:17" ht="12.75">
      <c r="H237" s="114">
        <v>796</v>
      </c>
      <c r="I237" s="115" t="s">
        <v>1638</v>
      </c>
      <c r="J237" s="116" t="s">
        <v>1639</v>
      </c>
      <c r="K237" s="118" t="s">
        <v>1640</v>
      </c>
      <c r="L237" s="118" t="s">
        <v>1641</v>
      </c>
      <c r="M237" s="118" t="s">
        <v>1642</v>
      </c>
      <c r="N237" s="118" t="s">
        <v>1642</v>
      </c>
      <c r="P237" s="118" t="s">
        <v>1640</v>
      </c>
      <c r="Q237" s="116" t="s">
        <v>1638</v>
      </c>
    </row>
    <row r="238" spans="8:17" ht="12.75">
      <c r="H238" s="114">
        <v>798</v>
      </c>
      <c r="I238" s="115" t="s">
        <v>1643</v>
      </c>
      <c r="J238" s="116" t="s">
        <v>1644</v>
      </c>
      <c r="K238" s="117" t="s">
        <v>1645</v>
      </c>
      <c r="L238" s="118" t="s">
        <v>1645</v>
      </c>
      <c r="M238" s="117" t="s">
        <v>1645</v>
      </c>
      <c r="N238" s="118" t="s">
        <v>1645</v>
      </c>
      <c r="P238" s="117" t="s">
        <v>1645</v>
      </c>
      <c r="Q238" s="116" t="s">
        <v>1643</v>
      </c>
    </row>
    <row r="239" spans="8:17" ht="12.75">
      <c r="H239" s="114">
        <v>800</v>
      </c>
      <c r="I239" s="115" t="s">
        <v>1646</v>
      </c>
      <c r="J239" s="116" t="s">
        <v>1647</v>
      </c>
      <c r="K239" s="117" t="s">
        <v>1648</v>
      </c>
      <c r="L239" s="118" t="s">
        <v>1649</v>
      </c>
      <c r="M239" s="117" t="s">
        <v>1650</v>
      </c>
      <c r="N239" s="118" t="s">
        <v>1649</v>
      </c>
      <c r="P239" s="117" t="s">
        <v>1648</v>
      </c>
      <c r="Q239" s="116" t="s">
        <v>1646</v>
      </c>
    </row>
    <row r="240" spans="8:17" ht="12.75">
      <c r="H240" s="114">
        <v>804</v>
      </c>
      <c r="I240" s="115" t="s">
        <v>1651</v>
      </c>
      <c r="J240" s="116" t="s">
        <v>1652</v>
      </c>
      <c r="K240" s="117" t="s">
        <v>1653</v>
      </c>
      <c r="L240" s="118" t="s">
        <v>1653</v>
      </c>
      <c r="M240" s="117" t="s">
        <v>1654</v>
      </c>
      <c r="N240" s="118" t="s">
        <v>1654</v>
      </c>
      <c r="P240" s="117" t="s">
        <v>1653</v>
      </c>
      <c r="Q240" s="116" t="s">
        <v>1651</v>
      </c>
    </row>
    <row r="241" spans="8:17" ht="12.75">
      <c r="H241" s="114">
        <v>858</v>
      </c>
      <c r="I241" s="115" t="s">
        <v>1655</v>
      </c>
      <c r="J241" s="116" t="s">
        <v>1656</v>
      </c>
      <c r="K241" s="117" t="s">
        <v>1657</v>
      </c>
      <c r="L241" s="118" t="s">
        <v>1658</v>
      </c>
      <c r="M241" s="117" t="s">
        <v>1659</v>
      </c>
      <c r="N241" s="118" t="s">
        <v>1658</v>
      </c>
      <c r="P241" s="117" t="s">
        <v>1657</v>
      </c>
      <c r="Q241" s="116" t="s">
        <v>1655</v>
      </c>
    </row>
    <row r="242" spans="8:17" ht="12.75">
      <c r="H242" s="114">
        <v>860</v>
      </c>
      <c r="I242" s="115" t="s">
        <v>1660</v>
      </c>
      <c r="J242" s="116" t="s">
        <v>1661</v>
      </c>
      <c r="K242" s="117" t="s">
        <v>1662</v>
      </c>
      <c r="L242" s="118" t="s">
        <v>1663</v>
      </c>
      <c r="M242" s="117" t="s">
        <v>1664</v>
      </c>
      <c r="N242" s="118" t="s">
        <v>1665</v>
      </c>
      <c r="P242" s="117" t="s">
        <v>1662</v>
      </c>
      <c r="Q242" s="116" t="s">
        <v>1660</v>
      </c>
    </row>
    <row r="243" spans="8:17" ht="12.75">
      <c r="H243" s="114">
        <v>162</v>
      </c>
      <c r="I243" s="115" t="s">
        <v>1666</v>
      </c>
      <c r="J243" s="116" t="s">
        <v>1667</v>
      </c>
      <c r="K243" s="117" t="s">
        <v>1668</v>
      </c>
      <c r="L243" s="118" t="s">
        <v>1669</v>
      </c>
      <c r="M243" s="117" t="s">
        <v>1670</v>
      </c>
      <c r="N243" s="118" t="s">
        <v>1670</v>
      </c>
      <c r="P243" s="117" t="s">
        <v>1668</v>
      </c>
      <c r="Q243" s="116" t="s">
        <v>1666</v>
      </c>
    </row>
    <row r="244" spans="8:17" ht="12.75">
      <c r="H244" s="114">
        <v>548</v>
      </c>
      <c r="I244" s="115" t="s">
        <v>1671</v>
      </c>
      <c r="J244" s="116" t="s">
        <v>1672</v>
      </c>
      <c r="K244" s="117" t="s">
        <v>1673</v>
      </c>
      <c r="L244" s="118" t="s">
        <v>1674</v>
      </c>
      <c r="M244" s="117" t="s">
        <v>1675</v>
      </c>
      <c r="N244" s="118" t="s">
        <v>1674</v>
      </c>
      <c r="P244" s="117" t="s">
        <v>1673</v>
      </c>
      <c r="Q244" s="116" t="s">
        <v>1671</v>
      </c>
    </row>
    <row r="245" spans="8:17" ht="12.75">
      <c r="H245" s="114">
        <v>336</v>
      </c>
      <c r="I245" s="115" t="s">
        <v>1676</v>
      </c>
      <c r="J245" s="116" t="s">
        <v>1677</v>
      </c>
      <c r="K245" s="117" t="s">
        <v>1678</v>
      </c>
      <c r="L245" s="118" t="s">
        <v>1679</v>
      </c>
      <c r="M245" s="117" t="s">
        <v>1680</v>
      </c>
      <c r="N245" s="117" t="s">
        <v>1680</v>
      </c>
      <c r="P245" s="117" t="s">
        <v>1678</v>
      </c>
      <c r="Q245" s="116" t="s">
        <v>1676</v>
      </c>
    </row>
    <row r="246" spans="8:17" ht="12.75">
      <c r="H246" s="114">
        <v>826</v>
      </c>
      <c r="I246" s="115" t="s">
        <v>1681</v>
      </c>
      <c r="J246" s="116" t="s">
        <v>1682</v>
      </c>
      <c r="K246" s="117" t="s">
        <v>1683</v>
      </c>
      <c r="L246" s="118" t="s">
        <v>1684</v>
      </c>
      <c r="M246" s="117" t="s">
        <v>1685</v>
      </c>
      <c r="N246" s="118" t="s">
        <v>1686</v>
      </c>
      <c r="P246" s="117" t="s">
        <v>1683</v>
      </c>
      <c r="Q246" s="116" t="s">
        <v>1681</v>
      </c>
    </row>
    <row r="247" spans="8:17" ht="12.75">
      <c r="H247" s="114">
        <v>862</v>
      </c>
      <c r="I247" s="115" t="s">
        <v>1687</v>
      </c>
      <c r="J247" s="116" t="s">
        <v>1688</v>
      </c>
      <c r="K247" s="117" t="s">
        <v>1689</v>
      </c>
      <c r="L247" s="118" t="s">
        <v>1690</v>
      </c>
      <c r="M247" s="117" t="s">
        <v>1691</v>
      </c>
      <c r="N247" s="118" t="s">
        <v>1692</v>
      </c>
      <c r="P247" s="117" t="s">
        <v>1689</v>
      </c>
      <c r="Q247" s="116" t="s">
        <v>1687</v>
      </c>
    </row>
    <row r="248" spans="8:17" ht="12.75">
      <c r="H248" s="114">
        <v>704</v>
      </c>
      <c r="I248" s="115" t="s">
        <v>1693</v>
      </c>
      <c r="J248" s="116" t="s">
        <v>1694</v>
      </c>
      <c r="K248" s="117" t="s">
        <v>1695</v>
      </c>
      <c r="L248" s="118" t="s">
        <v>1696</v>
      </c>
      <c r="M248" s="117" t="s">
        <v>1697</v>
      </c>
      <c r="N248" s="118" t="s">
        <v>1698</v>
      </c>
      <c r="P248" s="117" t="s">
        <v>1695</v>
      </c>
      <c r="Q248" s="116" t="s">
        <v>1693</v>
      </c>
    </row>
    <row r="249" spans="8:17" ht="12.75">
      <c r="H249" s="114">
        <v>626</v>
      </c>
      <c r="I249" s="115" t="s">
        <v>1699</v>
      </c>
      <c r="J249" s="116" t="s">
        <v>1700</v>
      </c>
      <c r="K249" s="117" t="s">
        <v>1701</v>
      </c>
      <c r="L249" s="118" t="s">
        <v>1702</v>
      </c>
      <c r="M249" s="117" t="s">
        <v>1703</v>
      </c>
      <c r="N249" s="118" t="s">
        <v>1704</v>
      </c>
      <c r="P249" s="117" t="s">
        <v>1701</v>
      </c>
      <c r="Q249" s="116" t="s">
        <v>1699</v>
      </c>
    </row>
    <row r="250" spans="8:17" ht="12.75">
      <c r="H250" s="114">
        <v>876</v>
      </c>
      <c r="I250" s="115" t="s">
        <v>1705</v>
      </c>
      <c r="J250" s="116" t="s">
        <v>1706</v>
      </c>
      <c r="K250" s="117" t="s">
        <v>1707</v>
      </c>
      <c r="L250" s="118" t="s">
        <v>1708</v>
      </c>
      <c r="M250" s="117" t="s">
        <v>1709</v>
      </c>
      <c r="N250" s="118" t="s">
        <v>1710</v>
      </c>
      <c r="P250" s="117" t="s">
        <v>1707</v>
      </c>
      <c r="Q250" s="116" t="s">
        <v>1705</v>
      </c>
    </row>
    <row r="251" spans="8:17" ht="12.75">
      <c r="H251" s="114">
        <v>894</v>
      </c>
      <c r="I251" s="115" t="s">
        <v>1711</v>
      </c>
      <c r="J251" s="116" t="s">
        <v>1712</v>
      </c>
      <c r="K251" s="117" t="s">
        <v>1713</v>
      </c>
      <c r="L251" s="118" t="s">
        <v>1714</v>
      </c>
      <c r="M251" s="117" t="s">
        <v>1715</v>
      </c>
      <c r="N251" s="118" t="s">
        <v>1716</v>
      </c>
      <c r="P251" s="117" t="s">
        <v>1713</v>
      </c>
      <c r="Q251" s="116" t="s">
        <v>1711</v>
      </c>
    </row>
    <row r="252" spans="8:17" ht="12.75">
      <c r="H252" s="114">
        <v>732</v>
      </c>
      <c r="I252" s="115" t="s">
        <v>1717</v>
      </c>
      <c r="J252" s="116" t="s">
        <v>1718</v>
      </c>
      <c r="K252" s="117" t="s">
        <v>1719</v>
      </c>
      <c r="L252" s="118" t="s">
        <v>1720</v>
      </c>
      <c r="M252" s="117" t="s">
        <v>1721</v>
      </c>
      <c r="N252" s="118" t="s">
        <v>1721</v>
      </c>
      <c r="P252" s="117" t="s">
        <v>1719</v>
      </c>
      <c r="Q252" s="116" t="s">
        <v>1717</v>
      </c>
    </row>
    <row r="253" spans="8:17" ht="12.75">
      <c r="H253" s="114">
        <v>716</v>
      </c>
      <c r="I253" s="115" t="s">
        <v>1722</v>
      </c>
      <c r="J253" s="116" t="s">
        <v>1723</v>
      </c>
      <c r="K253" s="117" t="s">
        <v>1724</v>
      </c>
      <c r="L253" s="118" t="s">
        <v>1725</v>
      </c>
      <c r="M253" s="117" t="s">
        <v>1726</v>
      </c>
      <c r="N253" s="118" t="s">
        <v>1725</v>
      </c>
      <c r="P253" s="117" t="s">
        <v>1724</v>
      </c>
      <c r="Q253" s="116" t="s">
        <v>1722</v>
      </c>
    </row>
    <row r="254" spans="8:14" ht="12.75">
      <c r="H254" s="150"/>
      <c r="I254" s="150"/>
      <c r="J254" s="150"/>
      <c r="K254" s="151"/>
      <c r="L254" s="152"/>
      <c r="M254" s="152"/>
      <c r="N254" s="152"/>
    </row>
    <row r="255" spans="8:14" ht="12.75">
      <c r="H255" s="150"/>
      <c r="I255" s="150"/>
      <c r="J255" s="150"/>
      <c r="K255" s="151"/>
      <c r="L255" s="152"/>
      <c r="M255" s="152"/>
      <c r="N255" s="152"/>
    </row>
    <row r="256" spans="8:14" ht="12.75">
      <c r="H256" s="150"/>
      <c r="I256" s="150"/>
      <c r="J256" s="150"/>
      <c r="K256" s="151"/>
      <c r="L256" s="152"/>
      <c r="M256" s="152"/>
      <c r="N256" s="152"/>
    </row>
  </sheetData>
  <mergeCells count="3">
    <mergeCell ref="H1:J1"/>
    <mergeCell ref="K1:L1"/>
    <mergeCell ref="M1:N1"/>
  </mergeCells>
  <pageMargins left="0.7" right="0.7" top="0.787401575" bottom="0.7874015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ColWidth="8.85428571428571" defaultRowHeight="12.75"/>
  <cols>
    <col min="2" max="2" width="32.4285714285714" customWidth="1"/>
    <col min="8" max="8" width="24.2857142857143" customWidth="1"/>
  </cols>
  <sheetData>
    <row r="1" spans="1:9" ht="13.5" thickBot="1">
      <c r="A1" s="153"/>
      <c r="B1" s="153"/>
      <c r="C1" s="153"/>
      <c r="D1" s="154"/>
      <c r="E1" s="153"/>
      <c r="F1" s="153"/>
      <c r="G1" s="153"/>
      <c r="H1" s="153"/>
      <c r="I1" s="153"/>
    </row>
    <row r="2" spans="1:9" ht="13.5" thickBot="1">
      <c r="A2" s="153"/>
      <c r="B2" s="155" t="s">
        <v>1727</v>
      </c>
      <c r="C2" s="156"/>
      <c r="D2" s="157"/>
      <c r="E2" s="158" t="s">
        <v>1728</v>
      </c>
      <c r="F2" s="159"/>
      <c r="G2" s="158">
        <f>COUNTIF(H3:H210,"?*")</f>
        <v>202</v>
      </c>
      <c r="H2" s="160"/>
      <c r="I2" s="153"/>
    </row>
    <row r="3" spans="1:9" ht="25.5">
      <c r="A3" s="153"/>
      <c r="B3" s="161" t="s">
        <v>1729</v>
      </c>
      <c r="C3" s="159">
        <v>451</v>
      </c>
      <c r="D3" s="162">
        <f>IF(ISNUMBER(SEARCH(ZAKL_DATA!$B$14,E3)),MAX($D$2:D2)+1,0)</f>
        <v>1</v>
      </c>
      <c r="E3" s="163" t="s">
        <v>1730</v>
      </c>
      <c r="F3" s="164">
        <v>2001</v>
      </c>
      <c r="G3" s="165"/>
      <c r="H3" s="166" t="str">
        <f>IFERROR(VLOOKUP(ROWS($H$3:H3),$D$3:$E$204,2,0),"")</f>
        <v>PRAHA 1</v>
      </c>
      <c r="I3" s="153"/>
    </row>
    <row r="4" spans="1:9" ht="25.5">
      <c r="A4" s="153"/>
      <c r="B4" s="167" t="s">
        <v>1731</v>
      </c>
      <c r="C4" s="168">
        <v>452</v>
      </c>
      <c r="D4" s="162">
        <f>IF(ISNUMBER(SEARCH(ZAKL_DATA!$B$14,E4)),MAX($D$2:D3)+1,0)</f>
        <v>2</v>
      </c>
      <c r="E4" s="163" t="s">
        <v>1732</v>
      </c>
      <c r="F4" s="164">
        <v>2002</v>
      </c>
      <c r="G4" s="165"/>
      <c r="H4" s="166" t="str">
        <f>IFERROR(VLOOKUP(ROWS($H$3:H4),$D$3:$E$204,2,0),"")</f>
        <v>PRAHA 2</v>
      </c>
      <c r="I4" s="153"/>
    </row>
    <row r="5" spans="1:9" ht="25.5">
      <c r="A5" s="153"/>
      <c r="B5" s="167" t="s">
        <v>1733</v>
      </c>
      <c r="C5" s="168">
        <v>453</v>
      </c>
      <c r="D5" s="162">
        <f>IF(ISNUMBER(SEARCH(ZAKL_DATA!$B$14,E5)),MAX($D$2:D4)+1,0)</f>
        <v>3</v>
      </c>
      <c r="E5" s="163" t="s">
        <v>1734</v>
      </c>
      <c r="F5" s="164">
        <v>2003</v>
      </c>
      <c r="G5" s="165"/>
      <c r="H5" s="166" t="str">
        <f>IFERROR(VLOOKUP(ROWS($H$3:H5),$D$3:$E$204,2,0),"")</f>
        <v>PRAHA 3</v>
      </c>
      <c r="I5" s="153"/>
    </row>
    <row r="6" spans="1:9" ht="25.5">
      <c r="A6" s="153"/>
      <c r="B6" s="167" t="s">
        <v>1735</v>
      </c>
      <c r="C6" s="168">
        <v>454</v>
      </c>
      <c r="D6" s="162">
        <f>IF(ISNUMBER(SEARCH(ZAKL_DATA!$B$14,E6)),MAX($D$2:D5)+1,0)</f>
        <v>4</v>
      </c>
      <c r="E6" s="163" t="s">
        <v>1736</v>
      </c>
      <c r="F6" s="164">
        <v>2004</v>
      </c>
      <c r="G6" s="165"/>
      <c r="H6" s="166" t="str">
        <f>IFERROR(VLOOKUP(ROWS($H$3:H6),$D$3:$E$204,2,0),"")</f>
        <v>PRAHA 4</v>
      </c>
      <c r="I6" s="153"/>
    </row>
    <row r="7" spans="1:9" ht="25.5">
      <c r="A7" s="153"/>
      <c r="B7" s="167" t="s">
        <v>1737</v>
      </c>
      <c r="C7" s="168">
        <v>455</v>
      </c>
      <c r="D7" s="162">
        <f>IF(ISNUMBER(SEARCH(ZAKL_DATA!$B$14,E7)),MAX($D$2:D6)+1,0)</f>
        <v>5</v>
      </c>
      <c r="E7" s="163" t="s">
        <v>1738</v>
      </c>
      <c r="F7" s="164">
        <v>2005</v>
      </c>
      <c r="G7" s="165"/>
      <c r="H7" s="166" t="str">
        <f>IFERROR(VLOOKUP(ROWS($H$3:H7),$D$3:$E$204,2,0),"")</f>
        <v>PRAHA 5</v>
      </c>
      <c r="I7" s="153"/>
    </row>
    <row r="8" spans="1:9" ht="25.5">
      <c r="A8" s="153"/>
      <c r="B8" s="167" t="s">
        <v>1739</v>
      </c>
      <c r="C8" s="168">
        <v>456</v>
      </c>
      <c r="D8" s="162">
        <f>IF(ISNUMBER(SEARCH(ZAKL_DATA!$B$14,E8)),MAX($D$2:D7)+1,0)</f>
        <v>6</v>
      </c>
      <c r="E8" s="163" t="s">
        <v>1740</v>
      </c>
      <c r="F8" s="164">
        <v>2006</v>
      </c>
      <c r="G8" s="165"/>
      <c r="H8" s="166" t="str">
        <f>IFERROR(VLOOKUP(ROWS($H$3:H8),$D$3:$E$204,2,0),"")</f>
        <v>PRAHA 6</v>
      </c>
      <c r="I8" s="153"/>
    </row>
    <row r="9" spans="1:9" ht="25.5">
      <c r="A9" s="153"/>
      <c r="B9" s="167" t="s">
        <v>1741</v>
      </c>
      <c r="C9" s="168">
        <v>457</v>
      </c>
      <c r="D9" s="162">
        <f>IF(ISNUMBER(SEARCH(ZAKL_DATA!$B$14,E9)),MAX($D$2:D8)+1,0)</f>
        <v>7</v>
      </c>
      <c r="E9" s="163" t="s">
        <v>1742</v>
      </c>
      <c r="F9" s="164">
        <v>2007</v>
      </c>
      <c r="G9" s="165"/>
      <c r="H9" s="166" t="str">
        <f>IFERROR(VLOOKUP(ROWS($H$3:H9),$D$3:$E$204,2,0),"")</f>
        <v>PRAHA 7</v>
      </c>
      <c r="I9" s="153"/>
    </row>
    <row r="10" spans="1:9" ht="25.5">
      <c r="A10" s="153"/>
      <c r="B10" s="167" t="s">
        <v>1743</v>
      </c>
      <c r="C10" s="168">
        <v>458</v>
      </c>
      <c r="D10" s="162">
        <f>IF(ISNUMBER(SEARCH(ZAKL_DATA!$B$14,E10)),MAX($D$2:D9)+1,0)</f>
        <v>8</v>
      </c>
      <c r="E10" s="163" t="s">
        <v>1744</v>
      </c>
      <c r="F10" s="164">
        <v>2008</v>
      </c>
      <c r="G10" s="165"/>
      <c r="H10" s="166" t="str">
        <f>IFERROR(VLOOKUP(ROWS($H$3:H10),$D$3:$E$204,2,0),"")</f>
        <v>PRAHA 8</v>
      </c>
      <c r="I10" s="153"/>
    </row>
    <row r="11" spans="1:9" ht="25.5">
      <c r="A11" s="153"/>
      <c r="B11" s="167" t="s">
        <v>1745</v>
      </c>
      <c r="C11" s="168">
        <v>459</v>
      </c>
      <c r="D11" s="162">
        <f>IF(ISNUMBER(SEARCH(ZAKL_DATA!$B$14,E11)),MAX($D$2:D10)+1,0)</f>
        <v>9</v>
      </c>
      <c r="E11" s="163" t="s">
        <v>1746</v>
      </c>
      <c r="F11" s="164">
        <v>2009</v>
      </c>
      <c r="G11" s="165"/>
      <c r="H11" s="166" t="str">
        <f>IFERROR(VLOOKUP(ROWS($H$3:H11),$D$3:$E$204,2,0),"")</f>
        <v>PRAHA 9</v>
      </c>
      <c r="I11" s="153"/>
    </row>
    <row r="12" spans="1:9" ht="25.5">
      <c r="A12" s="153"/>
      <c r="B12" s="167" t="s">
        <v>1747</v>
      </c>
      <c r="C12" s="169">
        <v>460</v>
      </c>
      <c r="D12" s="162">
        <f>IF(ISNUMBER(SEARCH(ZAKL_DATA!$B$14,E12)),MAX($D$2:D11)+1,0)</f>
        <v>10</v>
      </c>
      <c r="E12" s="163" t="s">
        <v>1748</v>
      </c>
      <c r="F12" s="164">
        <v>2010</v>
      </c>
      <c r="G12" s="165"/>
      <c r="H12" s="166" t="str">
        <f>IFERROR(VLOOKUP(ROWS($H$3:H12),$D$3:$E$204,2,0),"")</f>
        <v>PRAHA 10</v>
      </c>
      <c r="I12" s="153"/>
    </row>
    <row r="13" spans="1:9" ht="38.25">
      <c r="A13" s="153"/>
      <c r="B13" s="167" t="s">
        <v>1749</v>
      </c>
      <c r="C13" s="168">
        <v>461</v>
      </c>
      <c r="D13" s="162">
        <f>IF(ISNUMBER(SEARCH(ZAKL_DATA!$B$14,E13)),MAX($D$2:D12)+1,0)</f>
        <v>11</v>
      </c>
      <c r="E13" s="163" t="s">
        <v>1750</v>
      </c>
      <c r="F13" s="164">
        <v>2011</v>
      </c>
      <c r="G13" s="165"/>
      <c r="H13" s="166" t="str">
        <f>IFERROR(VLOOKUP(ROWS($H$3:H13),$D$3:$E$204,2,0),"")</f>
        <v>PRAHA-JIŽNÍ MĚSTO</v>
      </c>
      <c r="I13" s="153"/>
    </row>
    <row r="14" spans="1:9" ht="38.25">
      <c r="A14" s="153"/>
      <c r="B14" s="167" t="s">
        <v>1751</v>
      </c>
      <c r="C14" s="168">
        <v>462</v>
      </c>
      <c r="D14" s="162">
        <f>IF(ISNUMBER(SEARCH(ZAKL_DATA!$B$14,E14)),MAX($D$2:D13)+1,0)</f>
        <v>12</v>
      </c>
      <c r="E14" s="163" t="s">
        <v>1752</v>
      </c>
      <c r="F14" s="164">
        <v>2012</v>
      </c>
      <c r="G14" s="165"/>
      <c r="H14" s="166" t="str">
        <f>IFERROR(VLOOKUP(ROWS($H$3:H14),$D$3:$E$204,2,0),"")</f>
        <v>PRAHA-MODŘANY</v>
      </c>
      <c r="I14" s="153"/>
    </row>
    <row r="15" spans="1:9" ht="25.5">
      <c r="A15" s="153"/>
      <c r="B15" s="167" t="s">
        <v>1753</v>
      </c>
      <c r="C15" s="168">
        <v>463</v>
      </c>
      <c r="D15" s="162">
        <f>IF(ISNUMBER(SEARCH(ZAKL_DATA!$B$14,E15)),MAX($D$2:D14)+1,0)</f>
        <v>13</v>
      </c>
      <c r="E15" s="163" t="s">
        <v>1754</v>
      </c>
      <c r="F15" s="164">
        <v>2101</v>
      </c>
      <c r="G15" s="165"/>
      <c r="H15" s="166" t="str">
        <f>IFERROR(VLOOKUP(ROWS($H$3:H15),$D$3:$E$204,2,0),"")</f>
        <v>PRAHA - VÝCHOD</v>
      </c>
      <c r="I15" s="153"/>
    </row>
    <row r="16" spans="1:9" ht="25.5">
      <c r="A16" s="153"/>
      <c r="B16" s="167" t="s">
        <v>1755</v>
      </c>
      <c r="C16" s="168">
        <v>464</v>
      </c>
      <c r="D16" s="162">
        <f>IF(ISNUMBER(SEARCH(ZAKL_DATA!$B$14,E16)),MAX($D$2:D15)+1,0)</f>
        <v>14</v>
      </c>
      <c r="E16" s="163" t="s">
        <v>1756</v>
      </c>
      <c r="F16" s="164">
        <v>2102</v>
      </c>
      <c r="G16" s="165"/>
      <c r="H16" s="166" t="str">
        <f>IFERROR(VLOOKUP(ROWS($H$3:H16),$D$3:$E$204,2,0),"")</f>
        <v>PRAHA ZÁPAD</v>
      </c>
      <c r="I16" s="153"/>
    </row>
    <row r="17" spans="1:9" ht="26.25" thickBot="1">
      <c r="A17" s="153"/>
      <c r="B17" s="170" t="s">
        <v>1757</v>
      </c>
      <c r="C17" s="171">
        <v>13</v>
      </c>
      <c r="D17" s="162">
        <f>IF(ISNUMBER(SEARCH(ZAKL_DATA!$B$14,E17)),MAX($D$2:D16)+1,0)</f>
        <v>15</v>
      </c>
      <c r="E17" s="163" t="s">
        <v>1758</v>
      </c>
      <c r="F17" s="164">
        <v>2103</v>
      </c>
      <c r="G17" s="165"/>
      <c r="H17" s="166" t="str">
        <f>IFERROR(VLOOKUP(ROWS($H$3:H17),$D$3:$E$204,2,0),"")</f>
        <v>BENEŠOV</v>
      </c>
      <c r="I17" s="153"/>
    </row>
    <row r="18" spans="1:9" ht="12.75">
      <c r="A18" s="153"/>
      <c r="B18" s="153"/>
      <c r="C18" s="153"/>
      <c r="D18" s="162">
        <f>IF(ISNUMBER(SEARCH(ZAKL_DATA!$B$14,E18)),MAX($D$2:D17)+1,0)</f>
        <v>16</v>
      </c>
      <c r="E18" s="163" t="s">
        <v>1759</v>
      </c>
      <c r="F18" s="164">
        <v>2104</v>
      </c>
      <c r="G18" s="165"/>
      <c r="H18" s="166" t="str">
        <f>IFERROR(VLOOKUP(ROWS($H$3:H18),$D$3:$E$204,2,0),"")</f>
        <v>BEROUN</v>
      </c>
      <c r="I18" s="153"/>
    </row>
    <row r="19" spans="1:9" ht="38.25">
      <c r="A19" s="153"/>
      <c r="B19" s="153"/>
      <c r="C19" s="153"/>
      <c r="D19" s="162">
        <f>IF(ISNUMBER(SEARCH(ZAKL_DATA!$B$14,E19)),MAX($D$2:D18)+1,0)</f>
        <v>17</v>
      </c>
      <c r="E19" s="163" t="s">
        <v>1760</v>
      </c>
      <c r="F19" s="164">
        <v>2105</v>
      </c>
      <c r="G19" s="165"/>
      <c r="H19" s="166" t="str">
        <f>IFERROR(VLOOKUP(ROWS($H$3:H19),$D$3:$E$204,2,0),"")</f>
        <v>BRANDÝS N.L. - ST.BOL.</v>
      </c>
      <c r="I19" s="153"/>
    </row>
    <row r="20" spans="1:9" ht="12.75">
      <c r="A20" s="153"/>
      <c r="B20" s="153"/>
      <c r="C20" s="153"/>
      <c r="D20" s="162">
        <f>IF(ISNUMBER(SEARCH(ZAKL_DATA!$B$14,E20)),MAX($D$2:D19)+1,0)</f>
        <v>18</v>
      </c>
      <c r="E20" s="163" t="s">
        <v>1761</v>
      </c>
      <c r="F20" s="164">
        <v>2106</v>
      </c>
      <c r="G20" s="165"/>
      <c r="H20" s="166" t="str">
        <f>IFERROR(VLOOKUP(ROWS($H$3:H20),$D$3:$E$204,2,0),"")</f>
        <v>ČÁSLAV</v>
      </c>
      <c r="I20" s="153"/>
    </row>
    <row r="21" spans="1:9" ht="25.5">
      <c r="A21" s="153"/>
      <c r="B21" s="153"/>
      <c r="C21" s="153"/>
      <c r="D21" s="162">
        <f>IF(ISNUMBER(SEARCH(ZAKL_DATA!$B$14,E21)),MAX($D$2:D20)+1,0)</f>
        <v>19</v>
      </c>
      <c r="E21" s="163" t="s">
        <v>1762</v>
      </c>
      <c r="F21" s="164">
        <v>2107</v>
      </c>
      <c r="G21" s="165"/>
      <c r="H21" s="166" t="str">
        <f>IFERROR(VLOOKUP(ROWS($H$3:H21),$D$3:$E$204,2,0),"")</f>
        <v>ČESKÝ BROD</v>
      </c>
      <c r="I21" s="153"/>
    </row>
    <row r="22" spans="1:9" ht="12.75">
      <c r="A22" s="153"/>
      <c r="B22" s="153"/>
      <c r="C22" s="153"/>
      <c r="D22" s="162">
        <f>IF(ISNUMBER(SEARCH(ZAKL_DATA!$B$14,E22)),MAX($D$2:D21)+1,0)</f>
        <v>20</v>
      </c>
      <c r="E22" s="163" t="s">
        <v>1763</v>
      </c>
      <c r="F22" s="164">
        <v>2108</v>
      </c>
      <c r="G22" s="165"/>
      <c r="H22" s="166" t="str">
        <f>IFERROR(VLOOKUP(ROWS($H$3:H22),$D$3:$E$204,2,0),"")</f>
        <v>DOBŘÍŠ</v>
      </c>
      <c r="I22" s="153"/>
    </row>
    <row r="23" spans="1:9" ht="25.5">
      <c r="A23" s="153"/>
      <c r="B23" s="153"/>
      <c r="C23" s="153"/>
      <c r="D23" s="162">
        <f>IF(ISNUMBER(SEARCH(ZAKL_DATA!$B$14,E23)),MAX($D$2:D22)+1,0)</f>
        <v>21</v>
      </c>
      <c r="E23" s="163" t="s">
        <v>1764</v>
      </c>
      <c r="F23" s="164">
        <v>2109</v>
      </c>
      <c r="G23" s="165"/>
      <c r="H23" s="166" t="str">
        <f>IFERROR(VLOOKUP(ROWS($H$3:H23),$D$3:$E$204,2,0),"")</f>
        <v>HOŘOVICE</v>
      </c>
      <c r="I23" s="153"/>
    </row>
    <row r="24" spans="1:9" ht="12.75">
      <c r="A24" s="153"/>
      <c r="B24" s="153"/>
      <c r="C24" s="153"/>
      <c r="D24" s="162">
        <f>IF(ISNUMBER(SEARCH(ZAKL_DATA!$B$14,E24)),MAX($D$2:D23)+1,0)</f>
        <v>22</v>
      </c>
      <c r="E24" s="163" t="s">
        <v>1765</v>
      </c>
      <c r="F24" s="164">
        <v>2110</v>
      </c>
      <c r="G24" s="165"/>
      <c r="H24" s="166" t="str">
        <f>IFERROR(VLOOKUP(ROWS($H$3:H24),$D$3:$E$204,2,0),"")</f>
        <v>KLADNO</v>
      </c>
      <c r="I24" s="153"/>
    </row>
    <row r="25" spans="1:9" ht="12.75">
      <c r="A25" s="153"/>
      <c r="B25" s="153"/>
      <c r="C25" s="153"/>
      <c r="D25" s="162">
        <f>IF(ISNUMBER(SEARCH(ZAKL_DATA!$B$14,E25)),MAX($D$2:D24)+1,0)</f>
        <v>23</v>
      </c>
      <c r="E25" s="163" t="s">
        <v>1766</v>
      </c>
      <c r="F25" s="164">
        <v>2111</v>
      </c>
      <c r="G25" s="165"/>
      <c r="H25" s="166" t="str">
        <f>IFERROR(VLOOKUP(ROWS($H$3:H25),$D$3:$E$204,2,0),"")</f>
        <v>KOLÍN</v>
      </c>
      <c r="I25" s="153"/>
    </row>
    <row r="26" spans="1:9" ht="51">
      <c r="A26" s="153"/>
      <c r="B26" s="153"/>
      <c r="C26" s="153"/>
      <c r="D26" s="162">
        <f>IF(ISNUMBER(SEARCH(ZAKL_DATA!$B$14,E26)),MAX($D$2:D25)+1,0)</f>
        <v>24</v>
      </c>
      <c r="E26" s="163" t="s">
        <v>1767</v>
      </c>
      <c r="F26" s="164">
        <v>2112</v>
      </c>
      <c r="G26" s="165"/>
      <c r="H26" s="166" t="str">
        <f>IFERROR(VLOOKUP(ROWS($H$3:H26),$D$3:$E$204,2,0),"")</f>
        <v>KRALUPY NAD VLTAVOU</v>
      </c>
      <c r="I26" s="153"/>
    </row>
    <row r="27" spans="1:9" ht="25.5">
      <c r="A27" s="153"/>
      <c r="B27" s="153"/>
      <c r="C27" s="153"/>
      <c r="D27" s="162">
        <f>IF(ISNUMBER(SEARCH(ZAKL_DATA!$B$14,E27)),MAX($D$2:D26)+1,0)</f>
        <v>25</v>
      </c>
      <c r="E27" s="163" t="s">
        <v>1768</v>
      </c>
      <c r="F27" s="164">
        <v>2113</v>
      </c>
      <c r="G27" s="165"/>
      <c r="H27" s="166" t="str">
        <f>IFERROR(VLOOKUP(ROWS($H$3:H27),$D$3:$E$204,2,0),"")</f>
        <v>KUTNÁ HORA</v>
      </c>
      <c r="I27" s="153"/>
    </row>
    <row r="28" spans="1:9" ht="12.75">
      <c r="A28" s="153"/>
      <c r="B28" s="153"/>
      <c r="C28" s="153"/>
      <c r="D28" s="162">
        <f>IF(ISNUMBER(SEARCH(ZAKL_DATA!$B$14,E28)),MAX($D$2:D27)+1,0)</f>
        <v>26</v>
      </c>
      <c r="E28" s="163" t="s">
        <v>1769</v>
      </c>
      <c r="F28" s="164">
        <v>2114</v>
      </c>
      <c r="G28" s="165"/>
      <c r="H28" s="166" t="str">
        <f>IFERROR(VLOOKUP(ROWS($H$3:H28),$D$3:$E$204,2,0),"")</f>
        <v>MĚLNÍK</v>
      </c>
      <c r="I28" s="153"/>
    </row>
    <row r="29" spans="1:9" ht="38.25">
      <c r="A29" s="153"/>
      <c r="B29" s="153"/>
      <c r="C29" s="153"/>
      <c r="D29" s="162">
        <f>IF(ISNUMBER(SEARCH(ZAKL_DATA!$B$14,E29)),MAX($D$2:D28)+1,0)</f>
        <v>27</v>
      </c>
      <c r="E29" s="163" t="s">
        <v>1770</v>
      </c>
      <c r="F29" s="164">
        <v>2115</v>
      </c>
      <c r="G29" s="165"/>
      <c r="H29" s="166" t="str">
        <f>IFERROR(VLOOKUP(ROWS($H$3:H29),$D$3:$E$204,2,0),"")</f>
        <v>MLADÁ BOLESLAV</v>
      </c>
      <c r="I29" s="153"/>
    </row>
    <row r="30" spans="1:9" ht="51">
      <c r="A30" s="153"/>
      <c r="B30" s="153"/>
      <c r="C30" s="153"/>
      <c r="D30" s="162">
        <f>IF(ISNUMBER(SEARCH(ZAKL_DATA!$B$14,E30)),MAX($D$2:D29)+1,0)</f>
        <v>28</v>
      </c>
      <c r="E30" s="163" t="s">
        <v>1771</v>
      </c>
      <c r="F30" s="164">
        <v>2116</v>
      </c>
      <c r="G30" s="165"/>
      <c r="H30" s="166" t="str">
        <f>IFERROR(VLOOKUP(ROWS($H$3:H30),$D$3:$E$204,2,0),"")</f>
        <v>MNICHOVO HRADIŠTĚ</v>
      </c>
      <c r="I30" s="153"/>
    </row>
    <row r="31" spans="1:9" ht="25.5">
      <c r="A31" s="153"/>
      <c r="B31" s="153"/>
      <c r="C31" s="153"/>
      <c r="D31" s="162">
        <f>IF(ISNUMBER(SEARCH(ZAKL_DATA!$B$14,E31)),MAX($D$2:D30)+1,0)</f>
        <v>29</v>
      </c>
      <c r="E31" s="163" t="s">
        <v>1772</v>
      </c>
      <c r="F31" s="164">
        <v>2117</v>
      </c>
      <c r="G31" s="165"/>
      <c r="H31" s="166" t="str">
        <f>IFERROR(VLOOKUP(ROWS($H$3:H31),$D$3:$E$204,2,0),"")</f>
        <v>NERATOVICE</v>
      </c>
      <c r="I31" s="153"/>
    </row>
    <row r="32" spans="1:9" ht="25.5">
      <c r="A32" s="153"/>
      <c r="B32" s="153"/>
      <c r="C32" s="153"/>
      <c r="D32" s="162">
        <f>IF(ISNUMBER(SEARCH(ZAKL_DATA!$B$14,E32)),MAX($D$2:D31)+1,0)</f>
        <v>30</v>
      </c>
      <c r="E32" s="163" t="s">
        <v>1773</v>
      </c>
      <c r="F32" s="164">
        <v>2118</v>
      </c>
      <c r="G32" s="165"/>
      <c r="H32" s="166" t="str">
        <f>IFERROR(VLOOKUP(ROWS($H$3:H32),$D$3:$E$204,2,0),"")</f>
        <v>NYMBURK</v>
      </c>
      <c r="I32" s="153"/>
    </row>
    <row r="33" spans="1:9" ht="25.5">
      <c r="A33" s="153"/>
      <c r="B33" s="153"/>
      <c r="C33" s="153"/>
      <c r="D33" s="162">
        <f>IF(ISNUMBER(SEARCH(ZAKL_DATA!$B$14,E33)),MAX($D$2:D32)+1,0)</f>
        <v>31</v>
      </c>
      <c r="E33" s="163" t="s">
        <v>1774</v>
      </c>
      <c r="F33" s="164">
        <v>2119</v>
      </c>
      <c r="G33" s="165"/>
      <c r="H33" s="166" t="str">
        <f>IFERROR(VLOOKUP(ROWS($H$3:H33),$D$3:$E$204,2,0),"")</f>
        <v>PODĚBRADY</v>
      </c>
      <c r="I33" s="153"/>
    </row>
    <row r="34" spans="1:9" ht="25.5">
      <c r="A34" s="153"/>
      <c r="B34" s="153"/>
      <c r="C34" s="153"/>
      <c r="D34" s="162">
        <f>IF(ISNUMBER(SEARCH(ZAKL_DATA!$B$14,E34)),MAX($D$2:D33)+1,0)</f>
        <v>32</v>
      </c>
      <c r="E34" s="163" t="s">
        <v>1775</v>
      </c>
      <c r="F34" s="164">
        <v>2120</v>
      </c>
      <c r="G34" s="165"/>
      <c r="H34" s="166" t="str">
        <f>IFERROR(VLOOKUP(ROWS($H$3:H34),$D$3:$E$204,2,0),"")</f>
        <v>PŘÍBRAM</v>
      </c>
      <c r="I34" s="153"/>
    </row>
    <row r="35" spans="1:9" ht="25.5">
      <c r="A35" s="153"/>
      <c r="B35" s="153"/>
      <c r="C35" s="153"/>
      <c r="D35" s="162">
        <f>IF(ISNUMBER(SEARCH(ZAKL_DATA!$B$14,E35)),MAX($D$2:D34)+1,0)</f>
        <v>33</v>
      </c>
      <c r="E35" s="163" t="s">
        <v>1776</v>
      </c>
      <c r="F35" s="164">
        <v>2121</v>
      </c>
      <c r="G35" s="165"/>
      <c r="H35" s="166" t="str">
        <f>IFERROR(VLOOKUP(ROWS($H$3:H35),$D$3:$E$204,2,0),"")</f>
        <v>RAKOVNÍK</v>
      </c>
      <c r="I35" s="153"/>
    </row>
    <row r="36" spans="1:9" ht="12.75">
      <c r="A36" s="153"/>
      <c r="B36" s="153"/>
      <c r="C36" s="153"/>
      <c r="D36" s="162">
        <f>IF(ISNUMBER(SEARCH(ZAKL_DATA!$B$14,E36)),MAX($D$2:D35)+1,0)</f>
        <v>34</v>
      </c>
      <c r="E36" s="163" t="s">
        <v>1777</v>
      </c>
      <c r="F36" s="164">
        <v>2122</v>
      </c>
      <c r="G36" s="165"/>
      <c r="H36" s="166" t="str">
        <f>IFERROR(VLOOKUP(ROWS($H$3:H36),$D$3:$E$204,2,0),"")</f>
        <v>ŘÍČANY</v>
      </c>
      <c r="I36" s="153"/>
    </row>
    <row r="37" spans="1:9" ht="25.5">
      <c r="A37" s="153"/>
      <c r="B37" s="153"/>
      <c r="C37" s="153"/>
      <c r="D37" s="162">
        <f>IF(ISNUMBER(SEARCH(ZAKL_DATA!$B$14,E37)),MAX($D$2:D36)+1,0)</f>
        <v>35</v>
      </c>
      <c r="E37" s="163" t="s">
        <v>1778</v>
      </c>
      <c r="F37" s="164">
        <v>2123</v>
      </c>
      <c r="G37" s="165"/>
      <c r="H37" s="166" t="str">
        <f>IFERROR(VLOOKUP(ROWS($H$3:H37),$D$3:$E$204,2,0),"")</f>
        <v>SEDLČANY</v>
      </c>
      <c r="I37" s="153"/>
    </row>
    <row r="38" spans="1:9" ht="12.75">
      <c r="A38" s="153"/>
      <c r="B38" s="153"/>
      <c r="C38" s="153"/>
      <c r="D38" s="162">
        <f>IF(ISNUMBER(SEARCH(ZAKL_DATA!$B$14,E38)),MAX($D$2:D37)+1,0)</f>
        <v>36</v>
      </c>
      <c r="E38" s="163" t="s">
        <v>1779</v>
      </c>
      <c r="F38" s="164">
        <v>2124</v>
      </c>
      <c r="G38" s="165"/>
      <c r="H38" s="166" t="str">
        <f>IFERROR(VLOOKUP(ROWS($H$3:H38),$D$3:$E$204,2,0),"")</f>
        <v>SLANÝ</v>
      </c>
      <c r="I38" s="153"/>
    </row>
    <row r="39" spans="1:9" ht="12.75">
      <c r="A39" s="153"/>
      <c r="B39" s="153"/>
      <c r="C39" s="153"/>
      <c r="D39" s="162">
        <f>IF(ISNUMBER(SEARCH(ZAKL_DATA!$B$14,E39)),MAX($D$2:D38)+1,0)</f>
        <v>37</v>
      </c>
      <c r="E39" s="163" t="s">
        <v>1780</v>
      </c>
      <c r="F39" s="164">
        <v>2125</v>
      </c>
      <c r="G39" s="165"/>
      <c r="H39" s="166" t="str">
        <f>IFERROR(VLOOKUP(ROWS($H$3:H39),$D$3:$E$204,2,0),"")</f>
        <v>VLAŠIM</v>
      </c>
      <c r="I39" s="153"/>
    </row>
    <row r="40" spans="1:9" ht="12.75">
      <c r="A40" s="153"/>
      <c r="B40" s="153"/>
      <c r="C40" s="153"/>
      <c r="D40" s="162">
        <f>IF(ISNUMBER(SEARCH(ZAKL_DATA!$B$14,E40)),MAX($D$2:D39)+1,0)</f>
        <v>38</v>
      </c>
      <c r="E40" s="163" t="s">
        <v>1781</v>
      </c>
      <c r="F40" s="164">
        <v>2126</v>
      </c>
      <c r="G40" s="165"/>
      <c r="H40" s="166" t="str">
        <f>IFERROR(VLOOKUP(ROWS($H$3:H40),$D$3:$E$204,2,0),"")</f>
        <v>VOTICE</v>
      </c>
      <c r="I40" s="153"/>
    </row>
    <row r="41" spans="1:9" ht="38.25">
      <c r="A41" s="153"/>
      <c r="B41" s="153"/>
      <c r="C41" s="153"/>
      <c r="D41" s="162">
        <f>IF(ISNUMBER(SEARCH(ZAKL_DATA!$B$14,E41)),MAX($D$2:D40)+1,0)</f>
        <v>39</v>
      </c>
      <c r="E41" s="163" t="s">
        <v>1782</v>
      </c>
      <c r="F41" s="164">
        <v>2201</v>
      </c>
      <c r="G41" s="165"/>
      <c r="H41" s="166" t="str">
        <f>IFERROR(VLOOKUP(ROWS($H$3:H41),$D$3:$E$204,2,0),"")</f>
        <v>ČESKÉ BUDĚJOVICE</v>
      </c>
      <c r="I41" s="153"/>
    </row>
    <row r="42" spans="1:9" ht="12.75">
      <c r="A42" s="153"/>
      <c r="B42" s="153"/>
      <c r="C42" s="153"/>
      <c r="D42" s="162">
        <f>IF(ISNUMBER(SEARCH(ZAKL_DATA!$B$14,E42)),MAX($D$2:D41)+1,0)</f>
        <v>40</v>
      </c>
      <c r="E42" s="163" t="s">
        <v>1783</v>
      </c>
      <c r="F42" s="164">
        <v>2202</v>
      </c>
      <c r="G42" s="165"/>
      <c r="H42" s="166" t="str">
        <f>IFERROR(VLOOKUP(ROWS($H$3:H42),$D$3:$E$204,2,0),"")</f>
        <v>BLATNÁ</v>
      </c>
      <c r="I42" s="153"/>
    </row>
    <row r="43" spans="1:9" ht="38.25">
      <c r="A43" s="153"/>
      <c r="B43" s="153"/>
      <c r="C43" s="153"/>
      <c r="D43" s="162">
        <f>IF(ISNUMBER(SEARCH(ZAKL_DATA!$B$14,E43)),MAX($D$2:D42)+1,0)</f>
        <v>41</v>
      </c>
      <c r="E43" s="163" t="s">
        <v>1784</v>
      </c>
      <c r="F43" s="164">
        <v>2203</v>
      </c>
      <c r="G43" s="165"/>
      <c r="H43" s="166" t="str">
        <f>IFERROR(VLOOKUP(ROWS($H$3:H43),$D$3:$E$204,2,0),"")</f>
        <v>ČESKÝ KRUMLOV</v>
      </c>
      <c r="I43" s="153"/>
    </row>
    <row r="44" spans="1:9" ht="12.75">
      <c r="A44" s="153"/>
      <c r="B44" s="153"/>
      <c r="C44" s="153"/>
      <c r="D44" s="162">
        <f>IF(ISNUMBER(SEARCH(ZAKL_DATA!$B$14,E44)),MAX($D$2:D43)+1,0)</f>
        <v>42</v>
      </c>
      <c r="E44" s="163" t="s">
        <v>1785</v>
      </c>
      <c r="F44" s="164">
        <v>2204</v>
      </c>
      <c r="G44" s="165"/>
      <c r="H44" s="166" t="str">
        <f>IFERROR(VLOOKUP(ROWS($H$3:H44),$D$3:$E$204,2,0),"")</f>
        <v>DAČICE</v>
      </c>
      <c r="I44" s="153"/>
    </row>
    <row r="45" spans="1:9" ht="38.25">
      <c r="A45" s="153"/>
      <c r="B45" s="153"/>
      <c r="C45" s="153"/>
      <c r="D45" s="162">
        <f>IF(ISNUMBER(SEARCH(ZAKL_DATA!$B$14,E45)),MAX($D$2:D44)+1,0)</f>
        <v>43</v>
      </c>
      <c r="E45" s="163" t="s">
        <v>1786</v>
      </c>
      <c r="F45" s="164">
        <v>2205</v>
      </c>
      <c r="G45" s="165"/>
      <c r="H45" s="166" t="str">
        <f>IFERROR(VLOOKUP(ROWS($H$3:H45),$D$3:$E$204,2,0),"")</f>
        <v>JINDŘICHŮV HRADEC</v>
      </c>
      <c r="I45" s="153"/>
    </row>
    <row r="46" spans="1:9" ht="12.75">
      <c r="A46" s="153"/>
      <c r="B46" s="153"/>
      <c r="C46" s="153"/>
      <c r="D46" s="162">
        <f>IF(ISNUMBER(SEARCH(ZAKL_DATA!$B$14,E46)),MAX($D$2:D45)+1,0)</f>
        <v>44</v>
      </c>
      <c r="E46" s="163" t="s">
        <v>1787</v>
      </c>
      <c r="F46" s="164">
        <v>2206</v>
      </c>
      <c r="G46" s="165"/>
      <c r="H46" s="166" t="str">
        <f>IFERROR(VLOOKUP(ROWS($H$3:H46),$D$3:$E$204,2,0),"")</f>
        <v>KAPLICE</v>
      </c>
      <c r="I46" s="153"/>
    </row>
    <row r="47" spans="1:9" ht="25.5">
      <c r="A47" s="153"/>
      <c r="B47" s="153"/>
      <c r="C47" s="153"/>
      <c r="D47" s="162">
        <f>IF(ISNUMBER(SEARCH(ZAKL_DATA!$B$14,E47)),MAX($D$2:D46)+1,0)</f>
        <v>45</v>
      </c>
      <c r="E47" s="163" t="s">
        <v>1788</v>
      </c>
      <c r="F47" s="164">
        <v>2207</v>
      </c>
      <c r="G47" s="165"/>
      <c r="H47" s="166" t="str">
        <f>IFERROR(VLOOKUP(ROWS($H$3:H47),$D$3:$E$204,2,0),"")</f>
        <v>MILEVSKO</v>
      </c>
      <c r="I47" s="153"/>
    </row>
    <row r="48" spans="1:9" ht="12.75">
      <c r="A48" s="153"/>
      <c r="B48" s="153"/>
      <c r="C48" s="153"/>
      <c r="D48" s="162">
        <f>IF(ISNUMBER(SEARCH(ZAKL_DATA!$B$14,E48)),MAX($D$2:D47)+1,0)</f>
        <v>46</v>
      </c>
      <c r="E48" s="163" t="s">
        <v>1789</v>
      </c>
      <c r="F48" s="164">
        <v>2208</v>
      </c>
      <c r="G48" s="165"/>
      <c r="H48" s="166" t="str">
        <f>IFERROR(VLOOKUP(ROWS($H$3:H48),$D$3:$E$204,2,0),"")</f>
        <v>PÍSEK</v>
      </c>
      <c r="I48" s="153"/>
    </row>
    <row r="49" spans="1:9" ht="25.5">
      <c r="A49" s="153"/>
      <c r="B49" s="153"/>
      <c r="C49" s="153"/>
      <c r="D49" s="162">
        <f>IF(ISNUMBER(SEARCH(ZAKL_DATA!$B$14,E49)),MAX($D$2:D48)+1,0)</f>
        <v>47</v>
      </c>
      <c r="E49" s="163" t="s">
        <v>1790</v>
      </c>
      <c r="F49" s="164">
        <v>2209</v>
      </c>
      <c r="G49" s="165"/>
      <c r="H49" s="166" t="str">
        <f>IFERROR(VLOOKUP(ROWS($H$3:H49),$D$3:$E$204,2,0),"")</f>
        <v>PRACHATICE</v>
      </c>
      <c r="I49" s="153"/>
    </row>
    <row r="50" spans="1:9" ht="25.5">
      <c r="A50" s="153"/>
      <c r="B50" s="153"/>
      <c r="C50" s="153"/>
      <c r="D50" s="162">
        <f>IF(ISNUMBER(SEARCH(ZAKL_DATA!$B$14,E50)),MAX($D$2:D49)+1,0)</f>
        <v>48</v>
      </c>
      <c r="E50" s="163" t="s">
        <v>1791</v>
      </c>
      <c r="F50" s="164">
        <v>2210</v>
      </c>
      <c r="G50" s="165"/>
      <c r="H50" s="166" t="str">
        <f>IFERROR(VLOOKUP(ROWS($H$3:H50),$D$3:$E$204,2,0),"")</f>
        <v>SOBĚSLAV</v>
      </c>
      <c r="I50" s="153"/>
    </row>
    <row r="51" spans="1:9" ht="25.5">
      <c r="A51" s="153"/>
      <c r="B51" s="153"/>
      <c r="C51" s="153"/>
      <c r="D51" s="162">
        <f>IF(ISNUMBER(SEARCH(ZAKL_DATA!$B$14,E51)),MAX($D$2:D50)+1,0)</f>
        <v>49</v>
      </c>
      <c r="E51" s="163" t="s">
        <v>1792</v>
      </c>
      <c r="F51" s="164">
        <v>2211</v>
      </c>
      <c r="G51" s="165"/>
      <c r="H51" s="166" t="str">
        <f>IFERROR(VLOOKUP(ROWS($H$3:H51),$D$3:$E$204,2,0),"")</f>
        <v>STRAKONICE</v>
      </c>
      <c r="I51" s="153"/>
    </row>
    <row r="52" spans="1:9" ht="12.75">
      <c r="A52" s="153"/>
      <c r="B52" s="153"/>
      <c r="C52" s="153"/>
      <c r="D52" s="162">
        <f>IF(ISNUMBER(SEARCH(ZAKL_DATA!$B$14,E52)),MAX($D$2:D51)+1,0)</f>
        <v>50</v>
      </c>
      <c r="E52" s="163" t="s">
        <v>1793</v>
      </c>
      <c r="F52" s="164">
        <v>2212</v>
      </c>
      <c r="G52" s="165"/>
      <c r="H52" s="166" t="str">
        <f>IFERROR(VLOOKUP(ROWS($H$3:H52),$D$3:$E$204,2,0),"")</f>
        <v>TÁBOR</v>
      </c>
      <c r="I52" s="153"/>
    </row>
    <row r="53" spans="1:9" ht="25.5">
      <c r="A53" s="153"/>
      <c r="B53" s="153"/>
      <c r="C53" s="153"/>
      <c r="D53" s="162">
        <f>IF(ISNUMBER(SEARCH(ZAKL_DATA!$B$14,E53)),MAX($D$2:D52)+1,0)</f>
        <v>51</v>
      </c>
      <c r="E53" s="163" t="s">
        <v>1794</v>
      </c>
      <c r="F53" s="164">
        <v>2213</v>
      </c>
      <c r="G53" s="165"/>
      <c r="H53" s="166" t="str">
        <f>IFERROR(VLOOKUP(ROWS($H$3:H53),$D$3:$E$204,2,0),"")</f>
        <v>TRHOVÉ SVINY</v>
      </c>
      <c r="I53" s="153"/>
    </row>
    <row r="54" spans="1:9" ht="12.75">
      <c r="A54" s="153"/>
      <c r="B54" s="153"/>
      <c r="C54" s="153"/>
      <c r="D54" s="162">
        <f>IF(ISNUMBER(SEARCH(ZAKL_DATA!$B$14,E54)),MAX($D$2:D53)+1,0)</f>
        <v>52</v>
      </c>
      <c r="E54" s="163" t="s">
        <v>1795</v>
      </c>
      <c r="F54" s="164">
        <v>2214</v>
      </c>
      <c r="G54" s="165"/>
      <c r="H54" s="166" t="str">
        <f>IFERROR(VLOOKUP(ROWS($H$3:H54),$D$3:$E$204,2,0),"")</f>
        <v>TŘEBOŇ</v>
      </c>
      <c r="I54" s="153"/>
    </row>
    <row r="55" spans="1:9" ht="51">
      <c r="A55" s="153"/>
      <c r="B55" s="153"/>
      <c r="C55" s="153"/>
      <c r="D55" s="162">
        <f>IF(ISNUMBER(SEARCH(ZAKL_DATA!$B$14,E55)),MAX($D$2:D54)+1,0)</f>
        <v>53</v>
      </c>
      <c r="E55" s="163" t="s">
        <v>1796</v>
      </c>
      <c r="F55" s="164">
        <v>2215</v>
      </c>
      <c r="G55" s="165"/>
      <c r="H55" s="166" t="str">
        <f>IFERROR(VLOOKUP(ROWS($H$3:H55),$D$3:$E$204,2,0),"")</f>
        <v>TÝN NAD VLTAVOU</v>
      </c>
      <c r="I55" s="153"/>
    </row>
    <row r="56" spans="1:9" ht="25.5">
      <c r="A56" s="153"/>
      <c r="B56" s="153"/>
      <c r="C56" s="153"/>
      <c r="D56" s="162">
        <f>IF(ISNUMBER(SEARCH(ZAKL_DATA!$B$14,E56)),MAX($D$2:D55)+1,0)</f>
        <v>54</v>
      </c>
      <c r="E56" s="163" t="s">
        <v>1797</v>
      </c>
      <c r="F56" s="164">
        <v>2216</v>
      </c>
      <c r="G56" s="165"/>
      <c r="H56" s="166" t="str">
        <f>IFERROR(VLOOKUP(ROWS($H$3:H56),$D$3:$E$204,2,0),"")</f>
        <v>VIMPERK</v>
      </c>
      <c r="I56" s="153"/>
    </row>
    <row r="57" spans="1:9" ht="25.5">
      <c r="A57" s="153"/>
      <c r="B57" s="153"/>
      <c r="C57" s="153"/>
      <c r="D57" s="162">
        <f>IF(ISNUMBER(SEARCH(ZAKL_DATA!$B$14,E57)),MAX($D$2:D56)+1,0)</f>
        <v>55</v>
      </c>
      <c r="E57" s="163" t="s">
        <v>1798</v>
      </c>
      <c r="F57" s="164">
        <v>2217</v>
      </c>
      <c r="G57" s="165"/>
      <c r="H57" s="166" t="str">
        <f>IFERROR(VLOOKUP(ROWS($H$3:H57),$D$3:$E$204,2,0),"")</f>
        <v>VODŇANY</v>
      </c>
      <c r="I57" s="153"/>
    </row>
    <row r="58" spans="1:9" ht="12.75">
      <c r="A58" s="153"/>
      <c r="B58" s="153"/>
      <c r="C58" s="153"/>
      <c r="D58" s="162">
        <f>IF(ISNUMBER(SEARCH(ZAKL_DATA!$B$14,E58)),MAX($D$2:D57)+1,0)</f>
        <v>56</v>
      </c>
      <c r="E58" s="163" t="s">
        <v>1799</v>
      </c>
      <c r="F58" s="164">
        <v>2301</v>
      </c>
      <c r="G58" s="165"/>
      <c r="H58" s="166" t="str">
        <f>IFERROR(VLOOKUP(ROWS($H$3:H58),$D$3:$E$204,2,0),"")</f>
        <v>PLZEŇ</v>
      </c>
      <c r="I58" s="153"/>
    </row>
    <row r="59" spans="1:9" ht="25.5">
      <c r="A59" s="153"/>
      <c r="B59" s="153"/>
      <c r="C59" s="153"/>
      <c r="D59" s="162">
        <f>IF(ISNUMBER(SEARCH(ZAKL_DATA!$B$14,E59)),MAX($D$2:D58)+1,0)</f>
        <v>57</v>
      </c>
      <c r="E59" s="163" t="s">
        <v>1800</v>
      </c>
      <c r="F59" s="164">
        <v>2302</v>
      </c>
      <c r="G59" s="165"/>
      <c r="H59" s="166" t="str">
        <f>IFERROR(VLOOKUP(ROWS($H$3:H59),$D$3:$E$204,2,0),"")</f>
        <v>PLZEŇ-SEVER</v>
      </c>
      <c r="I59" s="153"/>
    </row>
    <row r="60" spans="1:9" ht="25.5">
      <c r="A60" s="153"/>
      <c r="B60" s="153"/>
      <c r="C60" s="153"/>
      <c r="D60" s="162">
        <f>IF(ISNUMBER(SEARCH(ZAKL_DATA!$B$14,E60)),MAX($D$2:D59)+1,0)</f>
        <v>58</v>
      </c>
      <c r="E60" s="163" t="s">
        <v>1801</v>
      </c>
      <c r="F60" s="164">
        <v>2303</v>
      </c>
      <c r="G60" s="165"/>
      <c r="H60" s="166" t="str">
        <f>IFERROR(VLOOKUP(ROWS($H$3:H60),$D$3:$E$204,2,0),"")</f>
        <v>PLZEŇ-JIH</v>
      </c>
      <c r="I60" s="153"/>
    </row>
    <row r="61" spans="1:9" ht="25.5">
      <c r="A61" s="153"/>
      <c r="B61" s="153"/>
      <c r="C61" s="153"/>
      <c r="D61" s="162">
        <f>IF(ISNUMBER(SEARCH(ZAKL_DATA!$B$14,E61)),MAX($D$2:D60)+1,0)</f>
        <v>59</v>
      </c>
      <c r="E61" s="163" t="s">
        <v>1802</v>
      </c>
      <c r="F61" s="164">
        <v>2304</v>
      </c>
      <c r="G61" s="165"/>
      <c r="H61" s="166" t="str">
        <f>IFERROR(VLOOKUP(ROWS($H$3:H61),$D$3:$E$204,2,0),"")</f>
        <v>BLOVICE</v>
      </c>
      <c r="I61" s="153"/>
    </row>
    <row r="62" spans="1:9" ht="25.5">
      <c r="A62" s="153"/>
      <c r="B62" s="153"/>
      <c r="C62" s="153"/>
      <c r="D62" s="162">
        <f>IF(ISNUMBER(SEARCH(ZAKL_DATA!$B$14,E62)),MAX($D$2:D61)+1,0)</f>
        <v>60</v>
      </c>
      <c r="E62" s="163" t="s">
        <v>1803</v>
      </c>
      <c r="F62" s="164">
        <v>2305</v>
      </c>
      <c r="G62" s="165"/>
      <c r="H62" s="166" t="str">
        <f>IFERROR(VLOOKUP(ROWS($H$3:H62),$D$3:$E$204,2,0),"")</f>
        <v>DOMAŽLICE</v>
      </c>
      <c r="I62" s="153"/>
    </row>
    <row r="63" spans="1:9" ht="25.5">
      <c r="A63" s="153"/>
      <c r="B63" s="153"/>
      <c r="C63" s="153"/>
      <c r="D63" s="162">
        <f>IF(ISNUMBER(SEARCH(ZAKL_DATA!$B$14,E63)),MAX($D$2:D62)+1,0)</f>
        <v>61</v>
      </c>
      <c r="E63" s="163" t="s">
        <v>1804</v>
      </c>
      <c r="F63" s="164">
        <v>2306</v>
      </c>
      <c r="G63" s="165"/>
      <c r="H63" s="166" t="str">
        <f>IFERROR(VLOOKUP(ROWS($H$3:H63),$D$3:$E$204,2,0),"")</f>
        <v>HORAŽĎOVICE</v>
      </c>
      <c r="I63" s="153"/>
    </row>
    <row r="64" spans="1:9" ht="38.25">
      <c r="A64" s="153"/>
      <c r="B64" s="153"/>
      <c r="C64" s="153"/>
      <c r="D64" s="162">
        <f>IF(ISNUMBER(SEARCH(ZAKL_DATA!$B$14,E64)),MAX($D$2:D63)+1,0)</f>
        <v>62</v>
      </c>
      <c r="E64" s="163" t="s">
        <v>1805</v>
      </c>
      <c r="F64" s="164">
        <v>2307</v>
      </c>
      <c r="G64" s="165"/>
      <c r="H64" s="166" t="str">
        <f>IFERROR(VLOOKUP(ROWS($H$3:H64),$D$3:$E$204,2,0),"")</f>
        <v>HORŠOVSKÝ TÝN</v>
      </c>
      <c r="I64" s="153"/>
    </row>
    <row r="65" spans="1:9" ht="25.5">
      <c r="A65" s="153"/>
      <c r="B65" s="153"/>
      <c r="C65" s="153"/>
      <c r="D65" s="162">
        <f>IF(ISNUMBER(SEARCH(ZAKL_DATA!$B$14,E65)),MAX($D$2:D64)+1,0)</f>
        <v>63</v>
      </c>
      <c r="E65" s="163" t="s">
        <v>1806</v>
      </c>
      <c r="F65" s="164">
        <v>2308</v>
      </c>
      <c r="G65" s="165"/>
      <c r="H65" s="166" t="str">
        <f>IFERROR(VLOOKUP(ROWS($H$3:H65),$D$3:$E$204,2,0),"")</f>
        <v>KLATOVY</v>
      </c>
      <c r="I65" s="153"/>
    </row>
    <row r="66" spans="1:9" ht="25.5">
      <c r="A66" s="153"/>
      <c r="B66" s="153"/>
      <c r="C66" s="153"/>
      <c r="D66" s="162">
        <f>IF(ISNUMBER(SEARCH(ZAKL_DATA!$B$14,E66)),MAX($D$2:D65)+1,0)</f>
        <v>64</v>
      </c>
      <c r="E66" s="163" t="s">
        <v>1807</v>
      </c>
      <c r="F66" s="164">
        <v>2309</v>
      </c>
      <c r="G66" s="165"/>
      <c r="H66" s="166" t="str">
        <f>IFERROR(VLOOKUP(ROWS($H$3:H66),$D$3:$E$204,2,0),"")</f>
        <v>KRALOVICE</v>
      </c>
      <c r="I66" s="153"/>
    </row>
    <row r="67" spans="1:9" ht="25.5">
      <c r="A67" s="153"/>
      <c r="B67" s="153"/>
      <c r="C67" s="153"/>
      <c r="D67" s="162">
        <f>IF(ISNUMBER(SEARCH(ZAKL_DATA!$B$14,E67)),MAX($D$2:D66)+1,0)</f>
        <v>65</v>
      </c>
      <c r="E67" s="163" t="s">
        <v>1808</v>
      </c>
      <c r="F67" s="164">
        <v>2310</v>
      </c>
      <c r="G67" s="165"/>
      <c r="H67" s="166" t="str">
        <f>IFERROR(VLOOKUP(ROWS($H$3:H67),$D$3:$E$204,2,0),"")</f>
        <v>NEPOMUK</v>
      </c>
      <c r="I67" s="153"/>
    </row>
    <row r="68" spans="1:9" ht="25.5">
      <c r="A68" s="153"/>
      <c r="B68" s="153"/>
      <c r="C68" s="153"/>
      <c r="D68" s="162">
        <f>IF(ISNUMBER(SEARCH(ZAKL_DATA!$B$14,E68)),MAX($D$2:D67)+1,0)</f>
        <v>66</v>
      </c>
      <c r="E68" s="163" t="s">
        <v>1809</v>
      </c>
      <c r="F68" s="164">
        <v>2311</v>
      </c>
      <c r="G68" s="165"/>
      <c r="H68" s="166" t="str">
        <f>IFERROR(VLOOKUP(ROWS($H$3:H68),$D$3:$E$204,2,0),"")</f>
        <v>PŘEŠTICE</v>
      </c>
      <c r="I68" s="153"/>
    </row>
    <row r="69" spans="1:9" ht="25.5">
      <c r="A69" s="153"/>
      <c r="B69" s="153"/>
      <c r="C69" s="153"/>
      <c r="D69" s="162">
        <f>IF(ISNUMBER(SEARCH(ZAKL_DATA!$B$14,E69)),MAX($D$2:D68)+1,0)</f>
        <v>67</v>
      </c>
      <c r="E69" s="163" t="s">
        <v>1810</v>
      </c>
      <c r="F69" s="164">
        <v>2312</v>
      </c>
      <c r="G69" s="165"/>
      <c r="H69" s="166" t="str">
        <f>IFERROR(VLOOKUP(ROWS($H$3:H69),$D$3:$E$204,2,0),"")</f>
        <v>ROKYCANY</v>
      </c>
      <c r="I69" s="153"/>
    </row>
    <row r="70" spans="1:9" ht="12.75">
      <c r="A70" s="153"/>
      <c r="B70" s="153"/>
      <c r="C70" s="153"/>
      <c r="D70" s="162">
        <f>IF(ISNUMBER(SEARCH(ZAKL_DATA!$B$14,E70)),MAX($D$2:D69)+1,0)</f>
        <v>68</v>
      </c>
      <c r="E70" s="163" t="s">
        <v>1811</v>
      </c>
      <c r="F70" s="164">
        <v>2313</v>
      </c>
      <c r="G70" s="165"/>
      <c r="H70" s="166" t="str">
        <f>IFERROR(VLOOKUP(ROWS($H$3:H70),$D$3:$E$204,2,0),"")</f>
        <v>TACHOV</v>
      </c>
      <c r="I70" s="153"/>
    </row>
    <row r="71" spans="1:9" ht="25.5">
      <c r="A71" s="153"/>
      <c r="B71" s="153"/>
      <c r="C71" s="153"/>
      <c r="D71" s="162">
        <f>IF(ISNUMBER(SEARCH(ZAKL_DATA!$B$14,E71)),MAX($D$2:D70)+1,0)</f>
        <v>69</v>
      </c>
      <c r="E71" s="163" t="s">
        <v>1812</v>
      </c>
      <c r="F71" s="164">
        <v>2314</v>
      </c>
      <c r="G71" s="165"/>
      <c r="H71" s="166" t="str">
        <f>IFERROR(VLOOKUP(ROWS($H$3:H71),$D$3:$E$204,2,0),"")</f>
        <v>STŘÍBRO</v>
      </c>
      <c r="I71" s="153"/>
    </row>
    <row r="72" spans="1:9" ht="12.75">
      <c r="A72" s="153"/>
      <c r="B72" s="153"/>
      <c r="C72" s="153"/>
      <c r="D72" s="162">
        <f>IF(ISNUMBER(SEARCH(ZAKL_DATA!$B$14,E72)),MAX($D$2:D71)+1,0)</f>
        <v>70</v>
      </c>
      <c r="E72" s="163" t="s">
        <v>1813</v>
      </c>
      <c r="F72" s="164">
        <v>2315</v>
      </c>
      <c r="G72" s="165"/>
      <c r="H72" s="166" t="str">
        <f>IFERROR(VLOOKUP(ROWS($H$3:H72),$D$3:$E$204,2,0),"")</f>
        <v>SUŠICE</v>
      </c>
      <c r="I72" s="153"/>
    </row>
    <row r="73" spans="1:9" ht="25.5">
      <c r="A73" s="153"/>
      <c r="B73" s="153"/>
      <c r="C73" s="153"/>
      <c r="D73" s="162">
        <f>IF(ISNUMBER(SEARCH(ZAKL_DATA!$B$14,E73)),MAX($D$2:D72)+1,0)</f>
        <v>71</v>
      </c>
      <c r="E73" s="163" t="s">
        <v>1814</v>
      </c>
      <c r="F73" s="164">
        <v>2401</v>
      </c>
      <c r="G73" s="165"/>
      <c r="H73" s="166" t="str">
        <f>IFERROR(VLOOKUP(ROWS($H$3:H73),$D$3:$E$204,2,0),"")</f>
        <v>KARLOVY VARY</v>
      </c>
      <c r="I73" s="153"/>
    </row>
    <row r="74" spans="1:9" ht="12.75">
      <c r="A74" s="153"/>
      <c r="B74" s="153"/>
      <c r="C74" s="153"/>
      <c r="D74" s="162">
        <f>IF(ISNUMBER(SEARCH(ZAKL_DATA!$B$14,E74)),MAX($D$2:D73)+1,0)</f>
        <v>72</v>
      </c>
      <c r="E74" s="163" t="s">
        <v>1815</v>
      </c>
      <c r="F74" s="164">
        <v>2402</v>
      </c>
      <c r="G74" s="165"/>
      <c r="H74" s="166" t="str">
        <f>IFERROR(VLOOKUP(ROWS($H$3:H74),$D$3:$E$204,2,0),"")</f>
        <v>AŠ</v>
      </c>
      <c r="I74" s="153"/>
    </row>
    <row r="75" spans="1:9" ht="12.75">
      <c r="A75" s="153"/>
      <c r="B75" s="153"/>
      <c r="C75" s="153"/>
      <c r="D75" s="162">
        <f>IF(ISNUMBER(SEARCH(ZAKL_DATA!$B$14,E75)),MAX($D$2:D74)+1,0)</f>
        <v>73</v>
      </c>
      <c r="E75" s="163" t="s">
        <v>1816</v>
      </c>
      <c r="F75" s="164">
        <v>2403</v>
      </c>
      <c r="G75" s="165"/>
      <c r="H75" s="166" t="str">
        <f>IFERROR(VLOOKUP(ROWS($H$3:H75),$D$3:$E$204,2,0),"")</f>
        <v>CHEB</v>
      </c>
      <c r="I75" s="153"/>
    </row>
    <row r="76" spans="1:9" ht="25.5">
      <c r="A76" s="153"/>
      <c r="B76" s="153"/>
      <c r="C76" s="153"/>
      <c r="D76" s="162">
        <f>IF(ISNUMBER(SEARCH(ZAKL_DATA!$B$14,E76)),MAX($D$2:D75)+1,0)</f>
        <v>74</v>
      </c>
      <c r="E76" s="163" t="s">
        <v>1817</v>
      </c>
      <c r="F76" s="164">
        <v>2404</v>
      </c>
      <c r="G76" s="165"/>
      <c r="H76" s="166" t="str">
        <f>IFERROR(VLOOKUP(ROWS($H$3:H76),$D$3:$E$204,2,0),"")</f>
        <v>KRASLICE</v>
      </c>
      <c r="I76" s="153"/>
    </row>
    <row r="77" spans="1:9" ht="38.25">
      <c r="A77" s="153"/>
      <c r="B77" s="153"/>
      <c r="C77" s="153"/>
      <c r="D77" s="162">
        <f>IF(ISNUMBER(SEARCH(ZAKL_DATA!$B$14,E77)),MAX($D$2:D76)+1,0)</f>
        <v>75</v>
      </c>
      <c r="E77" s="163" t="s">
        <v>1818</v>
      </c>
      <c r="F77" s="164">
        <v>2405</v>
      </c>
      <c r="G77" s="165"/>
      <c r="H77" s="166" t="str">
        <f>IFERROR(VLOOKUP(ROWS($H$3:H77),$D$3:$E$204,2,0),"")</f>
        <v>MARIÁNSKÉ LÁZNĚ</v>
      </c>
      <c r="I77" s="153"/>
    </row>
    <row r="78" spans="1:9" ht="38.25">
      <c r="A78" s="153"/>
      <c r="B78" s="153"/>
      <c r="C78" s="153"/>
      <c r="D78" s="162">
        <f>IF(ISNUMBER(SEARCH(ZAKL_DATA!$B$14,E78)),MAX($D$2:D77)+1,0)</f>
        <v>76</v>
      </c>
      <c r="E78" s="163" t="s">
        <v>1819</v>
      </c>
      <c r="F78" s="164">
        <v>2406</v>
      </c>
      <c r="G78" s="165"/>
      <c r="H78" s="166" t="str">
        <f>IFERROR(VLOOKUP(ROWS($H$3:H78),$D$3:$E$204,2,0),"")</f>
        <v>OSTROV NAD OHŘÍ</v>
      </c>
      <c r="I78" s="153"/>
    </row>
    <row r="79" spans="1:9" ht="25.5">
      <c r="A79" s="153"/>
      <c r="B79" s="153"/>
      <c r="C79" s="153"/>
      <c r="D79" s="162">
        <f>IF(ISNUMBER(SEARCH(ZAKL_DATA!$B$14,E79)),MAX($D$2:D78)+1,0)</f>
        <v>77</v>
      </c>
      <c r="E79" s="163" t="s">
        <v>1820</v>
      </c>
      <c r="F79" s="164">
        <v>2407</v>
      </c>
      <c r="G79" s="165"/>
      <c r="H79" s="166" t="str">
        <f>IFERROR(VLOOKUP(ROWS($H$3:H79),$D$3:$E$204,2,0),"")</f>
        <v>SOKOLOV</v>
      </c>
      <c r="I79" s="153"/>
    </row>
    <row r="80" spans="1:9" ht="38.25">
      <c r="A80" s="153"/>
      <c r="B80" s="153"/>
      <c r="C80" s="153"/>
      <c r="D80" s="162">
        <f>IF(ISNUMBER(SEARCH(ZAKL_DATA!$B$14,E80)),MAX($D$2:D79)+1,0)</f>
        <v>78</v>
      </c>
      <c r="E80" s="163" t="s">
        <v>1821</v>
      </c>
      <c r="F80" s="164">
        <v>2501</v>
      </c>
      <c r="G80" s="165"/>
      <c r="H80" s="166" t="str">
        <f>IFERROR(VLOOKUP(ROWS($H$3:H80),$D$3:$E$204,2,0),"")</f>
        <v>ÚSTÍ NAD LABEM</v>
      </c>
      <c r="I80" s="153"/>
    </row>
    <row r="81" spans="1:9" ht="12.75">
      <c r="A81" s="153"/>
      <c r="B81" s="153"/>
      <c r="C81" s="153"/>
      <c r="D81" s="162">
        <f>IF(ISNUMBER(SEARCH(ZAKL_DATA!$B$14,E81)),MAX($D$2:D80)+1,0)</f>
        <v>79</v>
      </c>
      <c r="E81" s="163" t="s">
        <v>1822</v>
      </c>
      <c r="F81" s="164">
        <v>2502</v>
      </c>
      <c r="G81" s="165"/>
      <c r="H81" s="166" t="str">
        <f>IFERROR(VLOOKUP(ROWS($H$3:H81),$D$3:$E$204,2,0),"")</f>
        <v>BÍLINA</v>
      </c>
      <c r="I81" s="153"/>
    </row>
    <row r="82" spans="1:9" ht="12.75">
      <c r="A82" s="153"/>
      <c r="B82" s="153"/>
      <c r="C82" s="153"/>
      <c r="D82" s="162">
        <f>IF(ISNUMBER(SEARCH(ZAKL_DATA!$B$14,E82)),MAX($D$2:D81)+1,0)</f>
        <v>80</v>
      </c>
      <c r="E82" s="163" t="s">
        <v>1823</v>
      </c>
      <c r="F82" s="164">
        <v>2503</v>
      </c>
      <c r="G82" s="165"/>
      <c r="H82" s="166" t="str">
        <f>IFERROR(VLOOKUP(ROWS($H$3:H82),$D$3:$E$204,2,0),"")</f>
        <v>DĚČÍN</v>
      </c>
      <c r="I82" s="153"/>
    </row>
    <row r="83" spans="1:9" ht="25.5">
      <c r="A83" s="153"/>
      <c r="B83" s="153"/>
      <c r="C83" s="153"/>
      <c r="D83" s="162">
        <f>IF(ISNUMBER(SEARCH(ZAKL_DATA!$B$14,E83)),MAX($D$2:D82)+1,0)</f>
        <v>81</v>
      </c>
      <c r="E83" s="163" t="s">
        <v>1824</v>
      </c>
      <c r="F83" s="164">
        <v>2504</v>
      </c>
      <c r="G83" s="165"/>
      <c r="H83" s="166" t="str">
        <f>IFERROR(VLOOKUP(ROWS($H$3:H83),$D$3:$E$204,2,0),"")</f>
        <v>CHOMUTOV</v>
      </c>
      <c r="I83" s="153"/>
    </row>
    <row r="84" spans="1:9" ht="12.75">
      <c r="A84" s="153"/>
      <c r="B84" s="153"/>
      <c r="C84" s="153"/>
      <c r="D84" s="162">
        <f>IF(ISNUMBER(SEARCH(ZAKL_DATA!$B$14,E84)),MAX($D$2:D83)+1,0)</f>
        <v>82</v>
      </c>
      <c r="E84" s="163" t="s">
        <v>1825</v>
      </c>
      <c r="F84" s="164">
        <v>2505</v>
      </c>
      <c r="G84" s="165"/>
      <c r="H84" s="166" t="str">
        <f>IFERROR(VLOOKUP(ROWS($H$3:H84),$D$3:$E$204,2,0),"")</f>
        <v>KADAŇ</v>
      </c>
      <c r="I84" s="153"/>
    </row>
    <row r="85" spans="1:9" ht="25.5">
      <c r="A85" s="153"/>
      <c r="B85" s="153"/>
      <c r="C85" s="153"/>
      <c r="D85" s="162">
        <f>IF(ISNUMBER(SEARCH(ZAKL_DATA!$B$14,E85)),MAX($D$2:D84)+1,0)</f>
        <v>83</v>
      </c>
      <c r="E85" s="163" t="s">
        <v>1826</v>
      </c>
      <c r="F85" s="164">
        <v>2506</v>
      </c>
      <c r="G85" s="165"/>
      <c r="H85" s="166" t="str">
        <f>IFERROR(VLOOKUP(ROWS($H$3:H85),$D$3:$E$204,2,0),"")</f>
        <v>LIBOCHOVICE</v>
      </c>
      <c r="I85" s="153"/>
    </row>
    <row r="86" spans="1:9" ht="25.5">
      <c r="A86" s="153"/>
      <c r="B86" s="153"/>
      <c r="C86" s="153"/>
      <c r="D86" s="162">
        <f>IF(ISNUMBER(SEARCH(ZAKL_DATA!$B$14,E86)),MAX($D$2:D85)+1,0)</f>
        <v>84</v>
      </c>
      <c r="E86" s="163" t="s">
        <v>1827</v>
      </c>
      <c r="F86" s="164">
        <v>2507</v>
      </c>
      <c r="G86" s="165"/>
      <c r="H86" s="166" t="str">
        <f>IFERROR(VLOOKUP(ROWS($H$3:H86),$D$3:$E$204,2,0),"")</f>
        <v>LITOMĚŘICE</v>
      </c>
      <c r="I86" s="153"/>
    </row>
    <row r="87" spans="1:9" ht="25.5">
      <c r="A87" s="153"/>
      <c r="B87" s="153"/>
      <c r="C87" s="153"/>
      <c r="D87" s="162">
        <f>IF(ISNUMBER(SEARCH(ZAKL_DATA!$B$14,E87)),MAX($D$2:D86)+1,0)</f>
        <v>85</v>
      </c>
      <c r="E87" s="163" t="s">
        <v>1828</v>
      </c>
      <c r="F87" s="164">
        <v>2508</v>
      </c>
      <c r="G87" s="165"/>
      <c r="H87" s="166" t="str">
        <f>IFERROR(VLOOKUP(ROWS($H$3:H87),$D$3:$E$204,2,0),"")</f>
        <v>LITVÍNOV</v>
      </c>
      <c r="I87" s="153"/>
    </row>
    <row r="88" spans="1:9" ht="12.75">
      <c r="A88" s="153"/>
      <c r="B88" s="153"/>
      <c r="C88" s="153"/>
      <c r="D88" s="162">
        <f>IF(ISNUMBER(SEARCH(ZAKL_DATA!$B$14,E88)),MAX($D$2:D87)+1,0)</f>
        <v>86</v>
      </c>
      <c r="E88" s="163" t="s">
        <v>1829</v>
      </c>
      <c r="F88" s="164">
        <v>2509</v>
      </c>
      <c r="G88" s="165"/>
      <c r="H88" s="166" t="str">
        <f>IFERROR(VLOOKUP(ROWS($H$3:H88),$D$3:$E$204,2,0),"")</f>
        <v>LOUNY</v>
      </c>
      <c r="I88" s="153"/>
    </row>
    <row r="89" spans="1:9" ht="12.75">
      <c r="A89" s="153"/>
      <c r="B89" s="153"/>
      <c r="C89" s="153"/>
      <c r="D89" s="162">
        <f>IF(ISNUMBER(SEARCH(ZAKL_DATA!$B$14,E89)),MAX($D$2:D88)+1,0)</f>
        <v>87</v>
      </c>
      <c r="E89" s="163" t="s">
        <v>1830</v>
      </c>
      <c r="F89" s="164">
        <v>2510</v>
      </c>
      <c r="G89" s="165"/>
      <c r="H89" s="166" t="str">
        <f>IFERROR(VLOOKUP(ROWS($H$3:H89),$D$3:$E$204,2,0),"")</f>
        <v>MOST</v>
      </c>
      <c r="I89" s="153"/>
    </row>
    <row r="90" spans="1:9" ht="25.5">
      <c r="A90" s="153"/>
      <c r="B90" s="153"/>
      <c r="C90" s="153"/>
      <c r="D90" s="162">
        <f>IF(ISNUMBER(SEARCH(ZAKL_DATA!$B$14,E90)),MAX($D$2:D89)+1,0)</f>
        <v>88</v>
      </c>
      <c r="E90" s="163" t="s">
        <v>1831</v>
      </c>
      <c r="F90" s="164">
        <v>2511</v>
      </c>
      <c r="G90" s="165"/>
      <c r="H90" s="166" t="str">
        <f>IFERROR(VLOOKUP(ROWS($H$3:H90),$D$3:$E$204,2,0),"")</f>
        <v>PODBOŘANY</v>
      </c>
      <c r="I90" s="153"/>
    </row>
    <row r="91" spans="1:9" ht="38.25">
      <c r="A91" s="153"/>
      <c r="B91" s="153"/>
      <c r="C91" s="153"/>
      <c r="D91" s="162">
        <f>IF(ISNUMBER(SEARCH(ZAKL_DATA!$B$14,E91)),MAX($D$2:D90)+1,0)</f>
        <v>89</v>
      </c>
      <c r="E91" s="163" t="s">
        <v>1832</v>
      </c>
      <c r="F91" s="164">
        <v>2512</v>
      </c>
      <c r="G91" s="165"/>
      <c r="H91" s="166" t="str">
        <f>IFERROR(VLOOKUP(ROWS($H$3:H91),$D$3:$E$204,2,0),"")</f>
        <v>ROUDNICE NAD LABEM</v>
      </c>
      <c r="I91" s="153"/>
    </row>
    <row r="92" spans="1:9" ht="25.5">
      <c r="A92" s="153"/>
      <c r="B92" s="153"/>
      <c r="C92" s="153"/>
      <c r="D92" s="162">
        <f>IF(ISNUMBER(SEARCH(ZAKL_DATA!$B$14,E92)),MAX($D$2:D91)+1,0)</f>
        <v>90</v>
      </c>
      <c r="E92" s="163" t="s">
        <v>1833</v>
      </c>
      <c r="F92" s="164">
        <v>2513</v>
      </c>
      <c r="G92" s="165"/>
      <c r="H92" s="166" t="str">
        <f>IFERROR(VLOOKUP(ROWS($H$3:H92),$D$3:$E$204,2,0),"")</f>
        <v>RUMBURK</v>
      </c>
      <c r="I92" s="153"/>
    </row>
    <row r="93" spans="1:9" ht="12.75">
      <c r="A93" s="153"/>
      <c r="B93" s="153"/>
      <c r="C93" s="153"/>
      <c r="D93" s="162">
        <f>IF(ISNUMBER(SEARCH(ZAKL_DATA!$B$14,E93)),MAX($D$2:D92)+1,0)</f>
        <v>91</v>
      </c>
      <c r="E93" s="163" t="s">
        <v>1834</v>
      </c>
      <c r="F93" s="164">
        <v>2514</v>
      </c>
      <c r="G93" s="165"/>
      <c r="H93" s="166" t="str">
        <f>IFERROR(VLOOKUP(ROWS($H$3:H93),$D$3:$E$204,2,0),"")</f>
        <v>TEPLICE</v>
      </c>
      <c r="I93" s="153"/>
    </row>
    <row r="94" spans="1:9" ht="12.75">
      <c r="A94" s="153"/>
      <c r="B94" s="153"/>
      <c r="C94" s="153"/>
      <c r="D94" s="162">
        <f>IF(ISNUMBER(SEARCH(ZAKL_DATA!$B$14,E94)),MAX($D$2:D93)+1,0)</f>
        <v>92</v>
      </c>
      <c r="E94" s="163" t="s">
        <v>1835</v>
      </c>
      <c r="F94" s="164">
        <v>2515</v>
      </c>
      <c r="G94" s="165"/>
      <c r="H94" s="166" t="str">
        <f>IFERROR(VLOOKUP(ROWS($H$3:H94),$D$3:$E$204,2,0),"")</f>
        <v>ŽATEC</v>
      </c>
      <c r="I94" s="153"/>
    </row>
    <row r="95" spans="1:9" ht="12.75">
      <c r="A95" s="153"/>
      <c r="B95" s="153"/>
      <c r="C95" s="153"/>
      <c r="D95" s="162">
        <f>IF(ISNUMBER(SEARCH(ZAKL_DATA!$B$14,E95)),MAX($D$2:D94)+1,0)</f>
        <v>93</v>
      </c>
      <c r="E95" s="163" t="s">
        <v>1836</v>
      </c>
      <c r="F95" s="164">
        <v>2601</v>
      </c>
      <c r="G95" s="165"/>
      <c r="H95" s="166" t="str">
        <f>IFERROR(VLOOKUP(ROWS($H$3:H95),$D$3:$E$204,2,0),"")</f>
        <v>LIBEREC</v>
      </c>
      <c r="I95" s="153"/>
    </row>
    <row r="96" spans="1:9" ht="25.5">
      <c r="A96" s="153"/>
      <c r="B96" s="153"/>
      <c r="C96" s="153"/>
      <c r="D96" s="162">
        <f>IF(ISNUMBER(SEARCH(ZAKL_DATA!$B$14,E96)),MAX($D$2:D95)+1,0)</f>
        <v>94</v>
      </c>
      <c r="E96" s="163" t="s">
        <v>1837</v>
      </c>
      <c r="F96" s="164">
        <v>2602</v>
      </c>
      <c r="G96" s="165"/>
      <c r="H96" s="166" t="str">
        <f>IFERROR(VLOOKUP(ROWS($H$3:H96),$D$3:$E$204,2,0),"")</f>
        <v>ČESKÁ LÍPA</v>
      </c>
      <c r="I96" s="153"/>
    </row>
    <row r="97" spans="1:9" ht="25.5">
      <c r="A97" s="153"/>
      <c r="B97" s="153"/>
      <c r="C97" s="153"/>
      <c r="D97" s="162">
        <f>IF(ISNUMBER(SEARCH(ZAKL_DATA!$B$14,E97)),MAX($D$2:D96)+1,0)</f>
        <v>95</v>
      </c>
      <c r="E97" s="163" t="s">
        <v>1838</v>
      </c>
      <c r="F97" s="164">
        <v>2603</v>
      </c>
      <c r="G97" s="165"/>
      <c r="H97" s="166" t="str">
        <f>IFERROR(VLOOKUP(ROWS($H$3:H97),$D$3:$E$204,2,0),"")</f>
        <v>FRÝDLANT</v>
      </c>
      <c r="I97" s="153"/>
    </row>
    <row r="98" spans="1:9" ht="38.25">
      <c r="A98" s="153"/>
      <c r="B98" s="153"/>
      <c r="C98" s="153"/>
      <c r="D98" s="162">
        <f>IF(ISNUMBER(SEARCH(ZAKL_DATA!$B$14,E98)),MAX($D$2:D97)+1,0)</f>
        <v>96</v>
      </c>
      <c r="E98" s="163" t="s">
        <v>1839</v>
      </c>
      <c r="F98" s="164">
        <v>2604</v>
      </c>
      <c r="G98" s="165"/>
      <c r="H98" s="166" t="str">
        <f>IFERROR(VLOOKUP(ROWS($H$3:H98),$D$3:$E$204,2,0),"")</f>
        <v>JABLONEC NAD NISOU</v>
      </c>
      <c r="I98" s="153"/>
    </row>
    <row r="99" spans="1:9" ht="25.5">
      <c r="A99" s="153"/>
      <c r="B99" s="153"/>
      <c r="C99" s="153"/>
      <c r="D99" s="162">
        <f>IF(ISNUMBER(SEARCH(ZAKL_DATA!$B$14,E99)),MAX($D$2:D98)+1,0)</f>
        <v>97</v>
      </c>
      <c r="E99" s="163" t="s">
        <v>1840</v>
      </c>
      <c r="F99" s="164">
        <v>2605</v>
      </c>
      <c r="G99" s="165"/>
      <c r="H99" s="166" t="str">
        <f>IFERROR(VLOOKUP(ROWS($H$3:H99),$D$3:$E$204,2,0),"")</f>
        <v>JILEMNICE</v>
      </c>
      <c r="I99" s="153"/>
    </row>
    <row r="100" spans="1:9" ht="25.5">
      <c r="A100" s="153"/>
      <c r="B100" s="153"/>
      <c r="C100" s="153"/>
      <c r="D100" s="162">
        <f>IF(ISNUMBER(SEARCH(ZAKL_DATA!$B$14,E100)),MAX($D$2:D99)+1,0)</f>
        <v>98</v>
      </c>
      <c r="E100" s="163" t="s">
        <v>1841</v>
      </c>
      <c r="F100" s="164">
        <v>2606</v>
      </c>
      <c r="G100" s="165"/>
      <c r="H100" s="166" t="str">
        <f>IFERROR(VLOOKUP(ROWS($H$3:H100),$D$3:$E$204,2,0),"")</f>
        <v>NOVÝ BOR</v>
      </c>
      <c r="I100" s="153"/>
    </row>
    <row r="101" spans="1:9" ht="12.75">
      <c r="A101" s="153"/>
      <c r="B101" s="153"/>
      <c r="C101" s="153"/>
      <c r="D101" s="162">
        <f>IF(ISNUMBER(SEARCH(ZAKL_DATA!$B$14,E101)),MAX($D$2:D100)+1,0)</f>
        <v>99</v>
      </c>
      <c r="E101" s="163" t="s">
        <v>1842</v>
      </c>
      <c r="F101" s="164">
        <v>2607</v>
      </c>
      <c r="G101" s="165"/>
      <c r="H101" s="166" t="str">
        <f>IFERROR(VLOOKUP(ROWS($H$3:H101),$D$3:$E$204,2,0),"")</f>
        <v>SEMILY</v>
      </c>
      <c r="I101" s="153"/>
    </row>
    <row r="102" spans="1:9" ht="25.5">
      <c r="A102" s="153"/>
      <c r="B102" s="153"/>
      <c r="C102" s="153"/>
      <c r="D102" s="162">
        <f>IF(ISNUMBER(SEARCH(ZAKL_DATA!$B$14,E102)),MAX($D$2:D101)+1,0)</f>
        <v>100</v>
      </c>
      <c r="E102" s="163" t="s">
        <v>1843</v>
      </c>
      <c r="F102" s="164">
        <v>2608</v>
      </c>
      <c r="G102" s="165"/>
      <c r="H102" s="166" t="str">
        <f>IFERROR(VLOOKUP(ROWS($H$3:H102),$D$3:$E$204,2,0),"")</f>
        <v>TANVALD</v>
      </c>
      <c r="I102" s="153"/>
    </row>
    <row r="103" spans="1:9" ht="12.75">
      <c r="A103" s="153"/>
      <c r="B103" s="153"/>
      <c r="C103" s="153"/>
      <c r="D103" s="162">
        <f>IF(ISNUMBER(SEARCH(ZAKL_DATA!$B$14,E103)),MAX($D$2:D102)+1,0)</f>
        <v>101</v>
      </c>
      <c r="E103" s="163" t="s">
        <v>1844</v>
      </c>
      <c r="F103" s="164">
        <v>2609</v>
      </c>
      <c r="G103" s="165"/>
      <c r="H103" s="166" t="str">
        <f>IFERROR(VLOOKUP(ROWS($H$3:H103),$D$3:$E$204,2,0),"")</f>
        <v>TURNOV</v>
      </c>
      <c r="I103" s="153"/>
    </row>
    <row r="104" spans="1:9" ht="25.5">
      <c r="A104" s="153"/>
      <c r="B104" s="153"/>
      <c r="C104" s="153"/>
      <c r="D104" s="162">
        <f>IF(ISNUMBER(SEARCH(ZAKL_DATA!$B$14,E104)),MAX($D$2:D103)+1,0)</f>
        <v>102</v>
      </c>
      <c r="E104" s="163" t="s">
        <v>1845</v>
      </c>
      <c r="F104" s="164">
        <v>2610</v>
      </c>
      <c r="G104" s="165"/>
      <c r="H104" s="166" t="str">
        <f>IFERROR(VLOOKUP(ROWS($H$3:H104),$D$3:$E$204,2,0),"")</f>
        <v>ŽELEZNÝ BROD</v>
      </c>
      <c r="I104" s="153"/>
    </row>
    <row r="105" spans="1:9" ht="38.25">
      <c r="A105" s="153"/>
      <c r="B105" s="153"/>
      <c r="C105" s="153"/>
      <c r="D105" s="162">
        <f>IF(ISNUMBER(SEARCH(ZAKL_DATA!$B$14,E105)),MAX($D$2:D104)+1,0)</f>
        <v>103</v>
      </c>
      <c r="E105" s="163" t="s">
        <v>1846</v>
      </c>
      <c r="F105" s="164">
        <v>2701</v>
      </c>
      <c r="G105" s="165"/>
      <c r="H105" s="166" t="str">
        <f>IFERROR(VLOOKUP(ROWS($H$3:H105),$D$3:$E$204,2,0),"")</f>
        <v>HRADEC KRÁLOVÉ</v>
      </c>
      <c r="I105" s="153"/>
    </row>
    <row r="106" spans="1:9" ht="25.5">
      <c r="A106" s="153"/>
      <c r="B106" s="153"/>
      <c r="C106" s="153"/>
      <c r="D106" s="162">
        <f>IF(ISNUMBER(SEARCH(ZAKL_DATA!$B$14,E106)),MAX($D$2:D105)+1,0)</f>
        <v>104</v>
      </c>
      <c r="E106" s="163" t="s">
        <v>1847</v>
      </c>
      <c r="F106" s="164">
        <v>2702</v>
      </c>
      <c r="G106" s="165"/>
      <c r="H106" s="166" t="str">
        <f>IFERROR(VLOOKUP(ROWS($H$3:H106),$D$3:$E$204,2,0),"")</f>
        <v>BROUMOV</v>
      </c>
      <c r="I106" s="153"/>
    </row>
    <row r="107" spans="1:9" ht="25.5">
      <c r="A107" s="153"/>
      <c r="B107" s="153"/>
      <c r="C107" s="153"/>
      <c r="D107" s="162">
        <f>IF(ISNUMBER(SEARCH(ZAKL_DATA!$B$14,E107)),MAX($D$2:D106)+1,0)</f>
        <v>105</v>
      </c>
      <c r="E107" s="163" t="s">
        <v>1848</v>
      </c>
      <c r="F107" s="164">
        <v>2703</v>
      </c>
      <c r="G107" s="165"/>
      <c r="H107" s="166" t="str">
        <f>IFERROR(VLOOKUP(ROWS($H$3:H107),$D$3:$E$204,2,0),"")</f>
        <v>DOBRUŠKA</v>
      </c>
      <c r="I107" s="153"/>
    </row>
    <row r="108" spans="1:9" ht="38.25">
      <c r="A108" s="153"/>
      <c r="B108" s="153"/>
      <c r="C108" s="153"/>
      <c r="D108" s="162">
        <f>IF(ISNUMBER(SEARCH(ZAKL_DATA!$B$14,E108)),MAX($D$2:D107)+1,0)</f>
        <v>106</v>
      </c>
      <c r="E108" s="163" t="s">
        <v>1849</v>
      </c>
      <c r="F108" s="164">
        <v>2704</v>
      </c>
      <c r="G108" s="165"/>
      <c r="H108" s="166" t="str">
        <f>IFERROR(VLOOKUP(ROWS($H$3:H108),$D$3:$E$204,2,0),"")</f>
        <v>DVŮR KRÁLOVÉ</v>
      </c>
      <c r="I108" s="153"/>
    </row>
    <row r="109" spans="1:9" ht="12.75">
      <c r="A109" s="153"/>
      <c r="B109" s="153"/>
      <c r="C109" s="153"/>
      <c r="D109" s="162">
        <f>IF(ISNUMBER(SEARCH(ZAKL_DATA!$B$14,E109)),MAX($D$2:D108)+1,0)</f>
        <v>107</v>
      </c>
      <c r="E109" s="163" t="s">
        <v>1850</v>
      </c>
      <c r="F109" s="164">
        <v>2705</v>
      </c>
      <c r="G109" s="165"/>
      <c r="H109" s="166" t="str">
        <f>IFERROR(VLOOKUP(ROWS($H$3:H109),$D$3:$E$204,2,0),"")</f>
        <v>HOŘICE</v>
      </c>
      <c r="I109" s="153"/>
    </row>
    <row r="110" spans="1:9" ht="25.5">
      <c r="A110" s="153"/>
      <c r="B110" s="153"/>
      <c r="C110" s="153"/>
      <c r="D110" s="162">
        <f>IF(ISNUMBER(SEARCH(ZAKL_DATA!$B$14,E110)),MAX($D$2:D109)+1,0)</f>
        <v>108</v>
      </c>
      <c r="E110" s="163" t="s">
        <v>1851</v>
      </c>
      <c r="F110" s="164">
        <v>2706</v>
      </c>
      <c r="G110" s="165"/>
      <c r="H110" s="166" t="str">
        <f>IFERROR(VLOOKUP(ROWS($H$3:H110),$D$3:$E$204,2,0),"")</f>
        <v>JAROMĚŘ</v>
      </c>
      <c r="I110" s="153"/>
    </row>
    <row r="111" spans="1:9" ht="12.75">
      <c r="A111" s="153"/>
      <c r="B111" s="153"/>
      <c r="C111" s="153"/>
      <c r="D111" s="162">
        <f>IF(ISNUMBER(SEARCH(ZAKL_DATA!$B$14,E111)),MAX($D$2:D110)+1,0)</f>
        <v>109</v>
      </c>
      <c r="E111" s="163" t="s">
        <v>1852</v>
      </c>
      <c r="F111" s="164">
        <v>2707</v>
      </c>
      <c r="G111" s="165"/>
      <c r="H111" s="166" t="str">
        <f>IFERROR(VLOOKUP(ROWS($H$3:H111),$D$3:$E$204,2,0),"")</f>
        <v>JIČÍN</v>
      </c>
      <c r="I111" s="153"/>
    </row>
    <row r="112" spans="1:9" ht="38.25">
      <c r="A112" s="153"/>
      <c r="B112" s="153"/>
      <c r="C112" s="153"/>
      <c r="D112" s="162">
        <f>IF(ISNUMBER(SEARCH(ZAKL_DATA!$B$14,E112)),MAX($D$2:D111)+1,0)</f>
        <v>110</v>
      </c>
      <c r="E112" s="163" t="s">
        <v>1853</v>
      </c>
      <c r="F112" s="164">
        <v>2708</v>
      </c>
      <c r="G112" s="165"/>
      <c r="H112" s="166" t="str">
        <f>IFERROR(VLOOKUP(ROWS($H$3:H112),$D$3:$E$204,2,0),"")</f>
        <v>KOSTELEC NAD ORLICÍ</v>
      </c>
      <c r="I112" s="153"/>
    </row>
    <row r="113" spans="1:9" ht="12.75">
      <c r="A113" s="153"/>
      <c r="B113" s="153"/>
      <c r="C113" s="153"/>
      <c r="D113" s="162">
        <f>IF(ISNUMBER(SEARCH(ZAKL_DATA!$B$14,E113)),MAX($D$2:D112)+1,0)</f>
        <v>111</v>
      </c>
      <c r="E113" s="163" t="s">
        <v>1854</v>
      </c>
      <c r="F113" s="164">
        <v>2709</v>
      </c>
      <c r="G113" s="165"/>
      <c r="H113" s="166" t="str">
        <f>IFERROR(VLOOKUP(ROWS($H$3:H113),$D$3:$E$204,2,0),"")</f>
        <v>NÁCHOD</v>
      </c>
      <c r="I113" s="153"/>
    </row>
    <row r="114" spans="1:9" ht="25.5">
      <c r="A114" s="153"/>
      <c r="B114" s="153"/>
      <c r="C114" s="153"/>
      <c r="D114" s="162">
        <f>IF(ISNUMBER(SEARCH(ZAKL_DATA!$B$14,E114)),MAX($D$2:D113)+1,0)</f>
        <v>112</v>
      </c>
      <c r="E114" s="163" t="s">
        <v>1855</v>
      </c>
      <c r="F114" s="164">
        <v>2710</v>
      </c>
      <c r="G114" s="165"/>
      <c r="H114" s="166" t="str">
        <f>IFERROR(VLOOKUP(ROWS($H$3:H114),$D$3:$E$204,2,0),"")</f>
        <v>NOVÁ PAKA</v>
      </c>
      <c r="I114" s="153"/>
    </row>
    <row r="115" spans="1:9" ht="25.5">
      <c r="A115" s="153"/>
      <c r="B115" s="153"/>
      <c r="C115" s="153"/>
      <c r="D115" s="162">
        <f>IF(ISNUMBER(SEARCH(ZAKL_DATA!$B$14,E115)),MAX($D$2:D114)+1,0)</f>
        <v>113</v>
      </c>
      <c r="E115" s="163" t="s">
        <v>1856</v>
      </c>
      <c r="F115" s="164">
        <v>2711</v>
      </c>
      <c r="G115" s="165"/>
      <c r="H115" s="166" t="str">
        <f>IFERROR(VLOOKUP(ROWS($H$3:H115),$D$3:$E$204,2,0),"")</f>
        <v>NOVÝ BYDŽOV</v>
      </c>
      <c r="I115" s="153"/>
    </row>
    <row r="116" spans="1:9" ht="38.25">
      <c r="A116" s="153"/>
      <c r="B116" s="153"/>
      <c r="C116" s="153"/>
      <c r="D116" s="162">
        <f>IF(ISNUMBER(SEARCH(ZAKL_DATA!$B$14,E116)),MAX($D$2:D115)+1,0)</f>
        <v>114</v>
      </c>
      <c r="E116" s="163" t="s">
        <v>1857</v>
      </c>
      <c r="F116" s="164">
        <v>2712</v>
      </c>
      <c r="G116" s="165"/>
      <c r="H116" s="166" t="str">
        <f>IFERROR(VLOOKUP(ROWS($H$3:H116),$D$3:$E$204,2,0),"")</f>
        <v>RYCHNOV NAD KNĚŽ.</v>
      </c>
      <c r="I116" s="153"/>
    </row>
    <row r="117" spans="1:9" ht="25.5">
      <c r="A117" s="153"/>
      <c r="B117" s="153"/>
      <c r="C117" s="153"/>
      <c r="D117" s="162">
        <f>IF(ISNUMBER(SEARCH(ZAKL_DATA!$B$14,E117)),MAX($D$2:D116)+1,0)</f>
        <v>115</v>
      </c>
      <c r="E117" s="163" t="s">
        <v>1858</v>
      </c>
      <c r="F117" s="164">
        <v>2713</v>
      </c>
      <c r="G117" s="165"/>
      <c r="H117" s="166" t="str">
        <f>IFERROR(VLOOKUP(ROWS($H$3:H117),$D$3:$E$204,2,0),"")</f>
        <v>TRUTNOV</v>
      </c>
      <c r="I117" s="153"/>
    </row>
    <row r="118" spans="1:9" ht="25.5">
      <c r="A118" s="153"/>
      <c r="B118" s="153"/>
      <c r="C118" s="153"/>
      <c r="D118" s="162">
        <f>IF(ISNUMBER(SEARCH(ZAKL_DATA!$B$14,E118)),MAX($D$2:D117)+1,0)</f>
        <v>116</v>
      </c>
      <c r="E118" s="163" t="s">
        <v>1859</v>
      </c>
      <c r="F118" s="164">
        <v>2714</v>
      </c>
      <c r="G118" s="165"/>
      <c r="H118" s="166" t="str">
        <f>IFERROR(VLOOKUP(ROWS($H$3:H118),$D$3:$E$204,2,0),"")</f>
        <v>VRCHLABÍ</v>
      </c>
      <c r="I118" s="153"/>
    </row>
    <row r="119" spans="1:9" ht="25.5">
      <c r="A119" s="153"/>
      <c r="B119" s="153"/>
      <c r="C119" s="153"/>
      <c r="D119" s="162">
        <f>IF(ISNUMBER(SEARCH(ZAKL_DATA!$B$14,E119)),MAX($D$2:D118)+1,0)</f>
        <v>117</v>
      </c>
      <c r="E119" s="163" t="s">
        <v>1860</v>
      </c>
      <c r="F119" s="164">
        <v>2801</v>
      </c>
      <c r="G119" s="165"/>
      <c r="H119" s="166" t="str">
        <f>IFERROR(VLOOKUP(ROWS($H$3:H119),$D$3:$E$204,2,0),"")</f>
        <v>PARDUBICE</v>
      </c>
      <c r="I119" s="153"/>
    </row>
    <row r="120" spans="1:9" ht="25.5">
      <c r="A120" s="153"/>
      <c r="B120" s="153"/>
      <c r="C120" s="153"/>
      <c r="D120" s="162">
        <f>IF(ISNUMBER(SEARCH(ZAKL_DATA!$B$14,E120)),MAX($D$2:D119)+1,0)</f>
        <v>118</v>
      </c>
      <c r="E120" s="163" t="s">
        <v>1861</v>
      </c>
      <c r="F120" s="164">
        <v>2802</v>
      </c>
      <c r="G120" s="165"/>
      <c r="H120" s="166" t="str">
        <f>IFERROR(VLOOKUP(ROWS($H$3:H120),$D$3:$E$204,2,0),"")</f>
        <v>HLINSKO</v>
      </c>
      <c r="I120" s="153"/>
    </row>
    <row r="121" spans="1:9" ht="12.75">
      <c r="A121" s="153"/>
      <c r="B121" s="153"/>
      <c r="C121" s="153"/>
      <c r="D121" s="162">
        <f>IF(ISNUMBER(SEARCH(ZAKL_DATA!$B$14,E121)),MAX($D$2:D120)+1,0)</f>
        <v>119</v>
      </c>
      <c r="E121" s="163" t="s">
        <v>1862</v>
      </c>
      <c r="F121" s="164">
        <v>2803</v>
      </c>
      <c r="G121" s="165"/>
      <c r="H121" s="166" t="str">
        <f>IFERROR(VLOOKUP(ROWS($H$3:H121),$D$3:$E$204,2,0),"")</f>
        <v>HOLICE</v>
      </c>
      <c r="I121" s="153"/>
    </row>
    <row r="122" spans="1:9" ht="25.5">
      <c r="A122" s="153"/>
      <c r="B122" s="153"/>
      <c r="C122" s="153"/>
      <c r="D122" s="162">
        <f>IF(ISNUMBER(SEARCH(ZAKL_DATA!$B$14,E122)),MAX($D$2:D121)+1,0)</f>
        <v>120</v>
      </c>
      <c r="E122" s="163" t="s">
        <v>1863</v>
      </c>
      <c r="F122" s="164">
        <v>2804</v>
      </c>
      <c r="G122" s="165"/>
      <c r="H122" s="166" t="str">
        <f>IFERROR(VLOOKUP(ROWS($H$3:H122),$D$3:$E$204,2,0),"")</f>
        <v>CHRUDIM</v>
      </c>
      <c r="I122" s="153"/>
    </row>
    <row r="123" spans="1:9" ht="25.5">
      <c r="A123" s="153"/>
      <c r="B123" s="153"/>
      <c r="C123" s="153"/>
      <c r="D123" s="162">
        <f>IF(ISNUMBER(SEARCH(ZAKL_DATA!$B$14,E123)),MAX($D$2:D122)+1,0)</f>
        <v>121</v>
      </c>
      <c r="E123" s="163" t="s">
        <v>1864</v>
      </c>
      <c r="F123" s="164">
        <v>2805</v>
      </c>
      <c r="G123" s="165"/>
      <c r="H123" s="166" t="str">
        <f>IFERROR(VLOOKUP(ROWS($H$3:H123),$D$3:$E$204,2,0),"")</f>
        <v>LITOMYŠL</v>
      </c>
      <c r="I123" s="153"/>
    </row>
    <row r="124" spans="1:9" ht="51">
      <c r="A124" s="153"/>
      <c r="B124" s="153"/>
      <c r="C124" s="153"/>
      <c r="D124" s="162">
        <f>IF(ISNUMBER(SEARCH(ZAKL_DATA!$B$14,E124)),MAX($D$2:D123)+1,0)</f>
        <v>122</v>
      </c>
      <c r="E124" s="163" t="s">
        <v>1865</v>
      </c>
      <c r="F124" s="164">
        <v>2806</v>
      </c>
      <c r="G124" s="165"/>
      <c r="H124" s="166" t="str">
        <f>IFERROR(VLOOKUP(ROWS($H$3:H124),$D$3:$E$204,2,0),"")</f>
        <v>MORAVSKÁ TŘEBOVÁ</v>
      </c>
      <c r="I124" s="153"/>
    </row>
    <row r="125" spans="1:9" ht="25.5">
      <c r="A125" s="153"/>
      <c r="B125" s="153"/>
      <c r="C125" s="153"/>
      <c r="D125" s="162">
        <f>IF(ISNUMBER(SEARCH(ZAKL_DATA!$B$14,E125)),MAX($D$2:D124)+1,0)</f>
        <v>123</v>
      </c>
      <c r="E125" s="163" t="s">
        <v>1866</v>
      </c>
      <c r="F125" s="164">
        <v>2807</v>
      </c>
      <c r="G125" s="165"/>
      <c r="H125" s="166" t="str">
        <f>IFERROR(VLOOKUP(ROWS($H$3:H125),$D$3:$E$204,2,0),"")</f>
        <v>PŘELOUČ</v>
      </c>
      <c r="I125" s="153"/>
    </row>
    <row r="126" spans="1:9" ht="12.75">
      <c r="A126" s="153"/>
      <c r="B126" s="153"/>
      <c r="C126" s="153"/>
      <c r="D126" s="162">
        <f>IF(ISNUMBER(SEARCH(ZAKL_DATA!$B$14,E126)),MAX($D$2:D125)+1,0)</f>
        <v>124</v>
      </c>
      <c r="E126" s="163" t="s">
        <v>1867</v>
      </c>
      <c r="F126" s="164">
        <v>2808</v>
      </c>
      <c r="G126" s="165"/>
      <c r="H126" s="166" t="str">
        <f>IFERROR(VLOOKUP(ROWS($H$3:H126),$D$3:$E$204,2,0),"")</f>
        <v>SVITAVY</v>
      </c>
      <c r="I126" s="153"/>
    </row>
    <row r="127" spans="1:9" ht="38.25">
      <c r="A127" s="153"/>
      <c r="B127" s="153"/>
      <c r="C127" s="153"/>
      <c r="D127" s="162">
        <f>IF(ISNUMBER(SEARCH(ZAKL_DATA!$B$14,E127)),MAX($D$2:D126)+1,0)</f>
        <v>125</v>
      </c>
      <c r="E127" s="163" t="s">
        <v>1868</v>
      </c>
      <c r="F127" s="164">
        <v>2809</v>
      </c>
      <c r="G127" s="165"/>
      <c r="H127" s="166" t="str">
        <f>IFERROR(VLOOKUP(ROWS($H$3:H127),$D$3:$E$204,2,0),"")</f>
        <v>ÚSTÍ NAD ORLICÍ</v>
      </c>
      <c r="I127" s="153"/>
    </row>
    <row r="128" spans="1:9" ht="25.5">
      <c r="A128" s="153"/>
      <c r="B128" s="153"/>
      <c r="C128" s="153"/>
      <c r="D128" s="162">
        <f>IF(ISNUMBER(SEARCH(ZAKL_DATA!$B$14,E128)),MAX($D$2:D127)+1,0)</f>
        <v>126</v>
      </c>
      <c r="E128" s="163" t="s">
        <v>1869</v>
      </c>
      <c r="F128" s="164">
        <v>2810</v>
      </c>
      <c r="G128" s="165"/>
      <c r="H128" s="166" t="str">
        <f>IFERROR(VLOOKUP(ROWS($H$3:H128),$D$3:$E$204,2,0),"")</f>
        <v>VYSOKÉ MÝTO</v>
      </c>
      <c r="I128" s="153"/>
    </row>
    <row r="129" spans="1:9" ht="25.5">
      <c r="A129" s="153"/>
      <c r="B129" s="153"/>
      <c r="C129" s="153"/>
      <c r="D129" s="162">
        <f>IF(ISNUMBER(SEARCH(ZAKL_DATA!$B$14,E129)),MAX($D$2:D128)+1,0)</f>
        <v>127</v>
      </c>
      <c r="E129" s="163" t="s">
        <v>1870</v>
      </c>
      <c r="F129" s="164">
        <v>2811</v>
      </c>
      <c r="G129" s="165"/>
      <c r="H129" s="166" t="str">
        <f>IFERROR(VLOOKUP(ROWS($H$3:H129),$D$3:$E$204,2,0),"")</f>
        <v>ŽAMBERK</v>
      </c>
      <c r="I129" s="153"/>
    </row>
    <row r="130" spans="1:9" ht="12.75">
      <c r="A130" s="153"/>
      <c r="B130" s="153"/>
      <c r="C130" s="153"/>
      <c r="D130" s="162">
        <f>IF(ISNUMBER(SEARCH(ZAKL_DATA!$B$14,E130)),MAX($D$2:D129)+1,0)</f>
        <v>128</v>
      </c>
      <c r="E130" s="163" t="s">
        <v>1871</v>
      </c>
      <c r="F130" s="164">
        <v>2901</v>
      </c>
      <c r="G130" s="165"/>
      <c r="H130" s="166" t="str">
        <f>IFERROR(VLOOKUP(ROWS($H$3:H130),$D$3:$E$204,2,0),"")</f>
        <v>JIHLAVA</v>
      </c>
      <c r="I130" s="153"/>
    </row>
    <row r="131" spans="1:9" ht="38.25">
      <c r="A131" s="153"/>
      <c r="B131" s="153"/>
      <c r="C131" s="153"/>
      <c r="D131" s="162">
        <f>IF(ISNUMBER(SEARCH(ZAKL_DATA!$B$14,E131)),MAX($D$2:D130)+1,0)</f>
        <v>129</v>
      </c>
      <c r="E131" s="163" t="s">
        <v>1872</v>
      </c>
      <c r="F131" s="164">
        <v>2902</v>
      </c>
      <c r="G131" s="165"/>
      <c r="H131" s="166" t="str">
        <f>IFERROR(VLOOKUP(ROWS($H$3:H131),$D$3:$E$204,2,0),"")</f>
        <v>BYSTŘICE NAD PERN.</v>
      </c>
      <c r="I131" s="153"/>
    </row>
    <row r="132" spans="1:9" ht="38.25">
      <c r="A132" s="153"/>
      <c r="B132" s="153"/>
      <c r="C132" s="153"/>
      <c r="D132" s="162">
        <f>IF(ISNUMBER(SEARCH(ZAKL_DATA!$B$14,E132)),MAX($D$2:D131)+1,0)</f>
        <v>130</v>
      </c>
      <c r="E132" s="163" t="s">
        <v>1873</v>
      </c>
      <c r="F132" s="164">
        <v>2903</v>
      </c>
      <c r="G132" s="165"/>
      <c r="H132" s="166" t="str">
        <f>IFERROR(VLOOKUP(ROWS($H$3:H132),$D$3:$E$204,2,0),"")</f>
        <v>HAVLÍČKŮV BROD</v>
      </c>
      <c r="I132" s="153"/>
    </row>
    <row r="133" spans="1:9" ht="25.5">
      <c r="A133" s="153"/>
      <c r="B133" s="153"/>
      <c r="C133" s="153"/>
      <c r="D133" s="162">
        <f>IF(ISNUMBER(SEARCH(ZAKL_DATA!$B$14,E133)),MAX($D$2:D132)+1,0)</f>
        <v>131</v>
      </c>
      <c r="E133" s="163" t="s">
        <v>1874</v>
      </c>
      <c r="F133" s="164">
        <v>2904</v>
      </c>
      <c r="G133" s="165"/>
      <c r="H133" s="166" t="str">
        <f>IFERROR(VLOOKUP(ROWS($H$3:H133),$D$3:$E$204,2,0),"")</f>
        <v>HUMPOLEC</v>
      </c>
      <c r="I133" s="153"/>
    </row>
    <row r="134" spans="1:9" ht="25.5">
      <c r="A134" s="153"/>
      <c r="B134" s="153"/>
      <c r="C134" s="153"/>
      <c r="D134" s="162">
        <f>IF(ISNUMBER(SEARCH(ZAKL_DATA!$B$14,E134)),MAX($D$2:D133)+1,0)</f>
        <v>132</v>
      </c>
      <c r="E134" s="163" t="s">
        <v>1875</v>
      </c>
      <c r="F134" s="164">
        <v>2905</v>
      </c>
      <c r="G134" s="165"/>
      <c r="H134" s="166" t="str">
        <f>IFERROR(VLOOKUP(ROWS($H$3:H134),$D$3:$E$204,2,0),"")</f>
        <v>CHOTĚBOŘ</v>
      </c>
      <c r="I134" s="153"/>
    </row>
    <row r="135" spans="1:9" ht="51">
      <c r="A135" s="153"/>
      <c r="B135" s="153"/>
      <c r="C135" s="153"/>
      <c r="D135" s="162">
        <f>IF(ISNUMBER(SEARCH(ZAKL_DATA!$B$14,E135)),MAX($D$2:D134)+1,0)</f>
        <v>133</v>
      </c>
      <c r="E135" s="163" t="s">
        <v>1876</v>
      </c>
      <c r="F135" s="164">
        <v>2906</v>
      </c>
      <c r="G135" s="165"/>
      <c r="H135" s="166" t="str">
        <f>IFERROR(VLOOKUP(ROWS($H$3:H135),$D$3:$E$204,2,0),"")</f>
        <v>LEDEČ NAD SÁZAVOU</v>
      </c>
      <c r="I135" s="153"/>
    </row>
    <row r="136" spans="1:9" ht="51">
      <c r="A136" s="153"/>
      <c r="B136" s="153"/>
      <c r="C136" s="153"/>
      <c r="D136" s="162">
        <f>IF(ISNUMBER(SEARCH(ZAKL_DATA!$B$14,E136)),MAX($D$2:D135)+1,0)</f>
        <v>134</v>
      </c>
      <c r="E136" s="163" t="s">
        <v>1877</v>
      </c>
      <c r="F136" s="164">
        <v>2907</v>
      </c>
      <c r="G136" s="165"/>
      <c r="H136" s="166" t="str">
        <f>IFERROR(VLOOKUP(ROWS($H$3:H136),$D$3:$E$204,2,0),"")</f>
        <v>MORAVSKÉ BUDĚJOVICE</v>
      </c>
      <c r="I136" s="153"/>
    </row>
    <row r="137" spans="1:9" ht="51">
      <c r="A137" s="153"/>
      <c r="B137" s="153"/>
      <c r="C137" s="153"/>
      <c r="D137" s="162">
        <f>IF(ISNUMBER(SEARCH(ZAKL_DATA!$B$14,E137)),MAX($D$2:D136)+1,0)</f>
        <v>135</v>
      </c>
      <c r="E137" s="163" t="s">
        <v>1878</v>
      </c>
      <c r="F137" s="164">
        <v>2908</v>
      </c>
      <c r="G137" s="165"/>
      <c r="H137" s="166" t="str">
        <f>IFERROR(VLOOKUP(ROWS($H$3:H137),$D$3:$E$204,2,0),"")</f>
        <v>NÁMĚŠŤ NAD OSLAVOU</v>
      </c>
      <c r="I137" s="153"/>
    </row>
    <row r="138" spans="1:9" ht="12.75">
      <c r="A138" s="153"/>
      <c r="B138" s="153"/>
      <c r="C138" s="153"/>
      <c r="D138" s="162">
        <f>IF(ISNUMBER(SEARCH(ZAKL_DATA!$B$14,E138)),MAX($D$2:D137)+1,0)</f>
        <v>136</v>
      </c>
      <c r="E138" s="163" t="s">
        <v>1879</v>
      </c>
      <c r="F138" s="164">
        <v>2909</v>
      </c>
      <c r="G138" s="165"/>
      <c r="H138" s="166" t="str">
        <f>IFERROR(VLOOKUP(ROWS($H$3:H138),$D$3:$E$204,2,0),"")</f>
        <v>PACOV</v>
      </c>
      <c r="I138" s="153"/>
    </row>
    <row r="139" spans="1:9" ht="25.5">
      <c r="A139" s="153"/>
      <c r="B139" s="153"/>
      <c r="C139" s="153"/>
      <c r="D139" s="162">
        <f>IF(ISNUMBER(SEARCH(ZAKL_DATA!$B$14,E139)),MAX($D$2:D138)+1,0)</f>
        <v>137</v>
      </c>
      <c r="E139" s="163" t="s">
        <v>1880</v>
      </c>
      <c r="F139" s="164">
        <v>2910</v>
      </c>
      <c r="G139" s="165"/>
      <c r="H139" s="166" t="str">
        <f>IFERROR(VLOOKUP(ROWS($H$3:H139),$D$3:$E$204,2,0),"")</f>
        <v>PELHŘIMOV</v>
      </c>
      <c r="I139" s="153"/>
    </row>
    <row r="140" spans="1:9" ht="12.75">
      <c r="A140" s="153"/>
      <c r="B140" s="153"/>
      <c r="C140" s="153"/>
      <c r="D140" s="162">
        <f>IF(ISNUMBER(SEARCH(ZAKL_DATA!$B$14,E140)),MAX($D$2:D139)+1,0)</f>
        <v>138</v>
      </c>
      <c r="E140" s="163" t="s">
        <v>1881</v>
      </c>
      <c r="F140" s="164">
        <v>2911</v>
      </c>
      <c r="G140" s="165"/>
      <c r="H140" s="166" t="str">
        <f>IFERROR(VLOOKUP(ROWS($H$3:H140),$D$3:$E$204,2,0),"")</f>
        <v>TELČ</v>
      </c>
      <c r="I140" s="153"/>
    </row>
    <row r="141" spans="1:9" ht="12.75">
      <c r="A141" s="153"/>
      <c r="B141" s="153"/>
      <c r="C141" s="153"/>
      <c r="D141" s="162">
        <f>IF(ISNUMBER(SEARCH(ZAKL_DATA!$B$14,E141)),MAX($D$2:D140)+1,0)</f>
        <v>139</v>
      </c>
      <c r="E141" s="163" t="s">
        <v>1882</v>
      </c>
      <c r="F141" s="164">
        <v>2912</v>
      </c>
      <c r="G141" s="165"/>
      <c r="H141" s="166" t="str">
        <f>IFERROR(VLOOKUP(ROWS($H$3:H141),$D$3:$E$204,2,0),"")</f>
        <v>TŘEBÍČ</v>
      </c>
      <c r="I141" s="153"/>
    </row>
    <row r="142" spans="1:9" ht="25.5">
      <c r="A142" s="153"/>
      <c r="B142" s="153"/>
      <c r="C142" s="153"/>
      <c r="D142" s="162">
        <f>IF(ISNUMBER(SEARCH(ZAKL_DATA!$B$14,E142)),MAX($D$2:D141)+1,0)</f>
        <v>140</v>
      </c>
      <c r="E142" s="163" t="s">
        <v>1883</v>
      </c>
      <c r="F142" s="164">
        <v>2913</v>
      </c>
      <c r="G142" s="165"/>
      <c r="H142" s="166" t="str">
        <f>IFERROR(VLOOKUP(ROWS($H$3:H142),$D$3:$E$204,2,0),"")</f>
        <v>VELKÉ MEZIŘÍČÍ</v>
      </c>
      <c r="I142" s="153"/>
    </row>
    <row r="143" spans="1:9" ht="51">
      <c r="A143" s="153"/>
      <c r="B143" s="153"/>
      <c r="C143" s="153"/>
      <c r="D143" s="162">
        <f>IF(ISNUMBER(SEARCH(ZAKL_DATA!$B$14,E143)),MAX($D$2:D142)+1,0)</f>
        <v>141</v>
      </c>
      <c r="E143" s="163" t="s">
        <v>1884</v>
      </c>
      <c r="F143" s="164">
        <v>2914</v>
      </c>
      <c r="G143" s="165"/>
      <c r="H143" s="166" t="str">
        <f>IFERROR(VLOOKUP(ROWS($H$3:H143),$D$3:$E$204,2,0),"")</f>
        <v>ŽĎÁR NAD SÁZAVOU</v>
      </c>
      <c r="I143" s="153"/>
    </row>
    <row r="144" spans="1:9" ht="12.75">
      <c r="A144" s="153"/>
      <c r="B144" s="153"/>
      <c r="C144" s="153"/>
      <c r="D144" s="162">
        <f>IF(ISNUMBER(SEARCH(ZAKL_DATA!$B$14,E144)),MAX($D$2:D143)+1,0)</f>
        <v>142</v>
      </c>
      <c r="E144" s="163" t="s">
        <v>1885</v>
      </c>
      <c r="F144" s="164">
        <v>3001</v>
      </c>
      <c r="G144" s="165"/>
      <c r="H144" s="166" t="str">
        <f>IFERROR(VLOOKUP(ROWS($H$3:H144),$D$3:$E$204,2,0),"")</f>
        <v>BRNO I</v>
      </c>
      <c r="I144" s="153"/>
    </row>
    <row r="145" spans="1:9" ht="12.75">
      <c r="A145" s="153"/>
      <c r="B145" s="153"/>
      <c r="C145" s="153"/>
      <c r="D145" s="162">
        <f>IF(ISNUMBER(SEARCH(ZAKL_DATA!$B$14,E145)),MAX($D$2:D144)+1,0)</f>
        <v>143</v>
      </c>
      <c r="E145" s="163" t="s">
        <v>1886</v>
      </c>
      <c r="F145" s="164">
        <v>3002</v>
      </c>
      <c r="G145" s="165"/>
      <c r="H145" s="166" t="str">
        <f>IFERROR(VLOOKUP(ROWS($H$3:H145),$D$3:$E$204,2,0),"")</f>
        <v>BRNO II</v>
      </c>
      <c r="I145" s="153"/>
    </row>
    <row r="146" spans="1:9" ht="12.75">
      <c r="A146" s="153"/>
      <c r="B146" s="153"/>
      <c r="C146" s="153"/>
      <c r="D146" s="162">
        <f>IF(ISNUMBER(SEARCH(ZAKL_DATA!$B$14,E146)),MAX($D$2:D145)+1,0)</f>
        <v>144</v>
      </c>
      <c r="E146" s="163" t="s">
        <v>1887</v>
      </c>
      <c r="F146" s="164">
        <v>3003</v>
      </c>
      <c r="G146" s="165"/>
      <c r="H146" s="166" t="str">
        <f>IFERROR(VLOOKUP(ROWS($H$3:H146),$D$3:$E$204,2,0),"")</f>
        <v>BRNO III</v>
      </c>
      <c r="I146" s="153"/>
    </row>
    <row r="147" spans="1:9" ht="12.75">
      <c r="A147" s="153"/>
      <c r="B147" s="153"/>
      <c r="C147" s="153"/>
      <c r="D147" s="162">
        <f>IF(ISNUMBER(SEARCH(ZAKL_DATA!$B$14,E147)),MAX($D$2:D146)+1,0)</f>
        <v>145</v>
      </c>
      <c r="E147" s="163" t="s">
        <v>1888</v>
      </c>
      <c r="F147" s="164">
        <v>3004</v>
      </c>
      <c r="G147" s="165"/>
      <c r="H147" s="166" t="str">
        <f>IFERROR(VLOOKUP(ROWS($H$3:H147),$D$3:$E$204,2,0),"")</f>
        <v>BRNO IV</v>
      </c>
      <c r="I147" s="153"/>
    </row>
    <row r="148" spans="1:9" ht="25.5">
      <c r="A148" s="153"/>
      <c r="B148" s="153"/>
      <c r="C148" s="153"/>
      <c r="D148" s="162">
        <f>IF(ISNUMBER(SEARCH(ZAKL_DATA!$B$14,E148)),MAX($D$2:D147)+1,0)</f>
        <v>146</v>
      </c>
      <c r="E148" s="163" t="s">
        <v>1889</v>
      </c>
      <c r="F148" s="164">
        <v>3005</v>
      </c>
      <c r="G148" s="165"/>
      <c r="H148" s="166" t="str">
        <f>IFERROR(VLOOKUP(ROWS($H$3:H148),$D$3:$E$204,2,0),"")</f>
        <v>BRNO VENKOV</v>
      </c>
      <c r="I148" s="153"/>
    </row>
    <row r="149" spans="1:9" ht="25.5">
      <c r="A149" s="153"/>
      <c r="B149" s="153"/>
      <c r="C149" s="153"/>
      <c r="D149" s="162">
        <f>IF(ISNUMBER(SEARCH(ZAKL_DATA!$B$14,E149)),MAX($D$2:D148)+1,0)</f>
        <v>147</v>
      </c>
      <c r="E149" s="163" t="s">
        <v>1890</v>
      </c>
      <c r="F149" s="164">
        <v>3006</v>
      </c>
      <c r="G149" s="165"/>
      <c r="H149" s="166" t="str">
        <f>IFERROR(VLOOKUP(ROWS($H$3:H149),$D$3:$E$204,2,0),"")</f>
        <v>BLANSKO</v>
      </c>
      <c r="I149" s="153"/>
    </row>
    <row r="150" spans="1:9" ht="25.5">
      <c r="A150" s="153"/>
      <c r="B150" s="153"/>
      <c r="C150" s="153"/>
      <c r="D150" s="162">
        <f>IF(ISNUMBER(SEARCH(ZAKL_DATA!$B$14,E150)),MAX($D$2:D149)+1,0)</f>
        <v>148</v>
      </c>
      <c r="E150" s="163" t="s">
        <v>1891</v>
      </c>
      <c r="F150" s="164">
        <v>3007</v>
      </c>
      <c r="G150" s="165"/>
      <c r="H150" s="166" t="str">
        <f>IFERROR(VLOOKUP(ROWS($H$3:H150),$D$3:$E$204,2,0),"")</f>
        <v>BOSKOVICE</v>
      </c>
      <c r="I150" s="153"/>
    </row>
    <row r="151" spans="1:9" ht="25.5">
      <c r="A151" s="153"/>
      <c r="B151" s="153"/>
      <c r="C151" s="153"/>
      <c r="D151" s="162">
        <f>IF(ISNUMBER(SEARCH(ZAKL_DATA!$B$14,E151)),MAX($D$2:D150)+1,0)</f>
        <v>149</v>
      </c>
      <c r="E151" s="163" t="s">
        <v>1892</v>
      </c>
      <c r="F151" s="164">
        <v>3008</v>
      </c>
      <c r="G151" s="165"/>
      <c r="H151" s="166" t="str">
        <f>IFERROR(VLOOKUP(ROWS($H$3:H151),$D$3:$E$204,2,0),"")</f>
        <v>BŘECLAV</v>
      </c>
      <c r="I151" s="153"/>
    </row>
    <row r="152" spans="1:9" ht="25.5">
      <c r="A152" s="153"/>
      <c r="B152" s="153"/>
      <c r="C152" s="153"/>
      <c r="D152" s="162">
        <f>IF(ISNUMBER(SEARCH(ZAKL_DATA!$B$14,E152)),MAX($D$2:D151)+1,0)</f>
        <v>150</v>
      </c>
      <c r="E152" s="163" t="s">
        <v>1893</v>
      </c>
      <c r="F152" s="164">
        <v>3009</v>
      </c>
      <c r="G152" s="165"/>
      <c r="H152" s="166" t="str">
        <f>IFERROR(VLOOKUP(ROWS($H$3:H152),$D$3:$E$204,2,0),"")</f>
        <v>BUČOVICE</v>
      </c>
      <c r="I152" s="153"/>
    </row>
    <row r="153" spans="1:9" ht="25.5">
      <c r="A153" s="153"/>
      <c r="B153" s="153"/>
      <c r="C153" s="153"/>
      <c r="D153" s="162">
        <f>IF(ISNUMBER(SEARCH(ZAKL_DATA!$B$14,E153)),MAX($D$2:D152)+1,0)</f>
        <v>151</v>
      </c>
      <c r="E153" s="163" t="s">
        <v>1894</v>
      </c>
      <c r="F153" s="164">
        <v>3010</v>
      </c>
      <c r="G153" s="165"/>
      <c r="H153" s="166" t="str">
        <f>IFERROR(VLOOKUP(ROWS($H$3:H153),$D$3:$E$204,2,0),"")</f>
        <v>HODONÍN</v>
      </c>
      <c r="I153" s="153"/>
    </row>
    <row r="154" spans="1:9" ht="25.5">
      <c r="A154" s="153"/>
      <c r="B154" s="153"/>
      <c r="C154" s="153"/>
      <c r="D154" s="162">
        <f>IF(ISNUMBER(SEARCH(ZAKL_DATA!$B$14,E154)),MAX($D$2:D153)+1,0)</f>
        <v>152</v>
      </c>
      <c r="E154" s="163" t="s">
        <v>1895</v>
      </c>
      <c r="F154" s="164">
        <v>3011</v>
      </c>
      <c r="G154" s="165"/>
      <c r="H154" s="166" t="str">
        <f>IFERROR(VLOOKUP(ROWS($H$3:H154),$D$3:$E$204,2,0),"")</f>
        <v>HUSTOPEČE</v>
      </c>
      <c r="I154" s="153"/>
    </row>
    <row r="155" spans="1:9" ht="25.5">
      <c r="A155" s="153"/>
      <c r="B155" s="153"/>
      <c r="C155" s="153"/>
      <c r="D155" s="162">
        <f>IF(ISNUMBER(SEARCH(ZAKL_DATA!$B$14,E155)),MAX($D$2:D154)+1,0)</f>
        <v>153</v>
      </c>
      <c r="E155" s="163" t="s">
        <v>1896</v>
      </c>
      <c r="F155" s="164">
        <v>3012</v>
      </c>
      <c r="G155" s="165"/>
      <c r="H155" s="166" t="str">
        <f>IFERROR(VLOOKUP(ROWS($H$3:H155),$D$3:$E$204,2,0),"")</f>
        <v>IVANČICE</v>
      </c>
      <c r="I155" s="153"/>
    </row>
    <row r="156" spans="1:9" ht="12.75">
      <c r="A156" s="153"/>
      <c r="B156" s="153"/>
      <c r="C156" s="153"/>
      <c r="D156" s="162">
        <f>IF(ISNUMBER(SEARCH(ZAKL_DATA!$B$14,E156)),MAX($D$2:D155)+1,0)</f>
        <v>154</v>
      </c>
      <c r="E156" s="163" t="s">
        <v>1897</v>
      </c>
      <c r="F156" s="164">
        <v>3013</v>
      </c>
      <c r="G156" s="165"/>
      <c r="H156" s="166" t="str">
        <f>IFERROR(VLOOKUP(ROWS($H$3:H156),$D$3:$E$204,2,0),"")</f>
        <v>KYJOV</v>
      </c>
      <c r="I156" s="153"/>
    </row>
    <row r="157" spans="1:9" ht="25.5">
      <c r="A157" s="153"/>
      <c r="B157" s="153"/>
      <c r="C157" s="153"/>
      <c r="D157" s="162">
        <f>IF(ISNUMBER(SEARCH(ZAKL_DATA!$B$14,E157)),MAX($D$2:D156)+1,0)</f>
        <v>155</v>
      </c>
      <c r="E157" s="163" t="s">
        <v>1898</v>
      </c>
      <c r="F157" s="164">
        <v>3014</v>
      </c>
      <c r="G157" s="165"/>
      <c r="H157" s="166" t="str">
        <f>IFERROR(VLOOKUP(ROWS($H$3:H157),$D$3:$E$204,2,0),"")</f>
        <v>MIKULOV</v>
      </c>
      <c r="I157" s="153"/>
    </row>
    <row r="158" spans="1:9" ht="51">
      <c r="A158" s="153"/>
      <c r="B158" s="153"/>
      <c r="C158" s="153"/>
      <c r="D158" s="162">
        <f>IF(ISNUMBER(SEARCH(ZAKL_DATA!$B$14,E158)),MAX($D$2:D157)+1,0)</f>
        <v>156</v>
      </c>
      <c r="E158" s="163" t="s">
        <v>1899</v>
      </c>
      <c r="F158" s="164">
        <v>3015</v>
      </c>
      <c r="G158" s="165"/>
      <c r="H158" s="166" t="str">
        <f>IFERROR(VLOOKUP(ROWS($H$3:H158),$D$3:$E$204,2,0),"")</f>
        <v>MORAVSKÝ KRUMLOV</v>
      </c>
      <c r="I158" s="153"/>
    </row>
    <row r="159" spans="1:9" ht="38.25">
      <c r="A159" s="153"/>
      <c r="B159" s="153"/>
      <c r="C159" s="153"/>
      <c r="D159" s="162">
        <f>IF(ISNUMBER(SEARCH(ZAKL_DATA!$B$14,E159)),MAX($D$2:D158)+1,0)</f>
        <v>157</v>
      </c>
      <c r="E159" s="163" t="s">
        <v>1900</v>
      </c>
      <c r="F159" s="164">
        <v>3016</v>
      </c>
      <c r="G159" s="165"/>
      <c r="H159" s="166" t="str">
        <f>IFERROR(VLOOKUP(ROWS($H$3:H159),$D$3:$E$204,2,0),"")</f>
        <v>SLAVKOV U BRNA</v>
      </c>
      <c r="I159" s="153"/>
    </row>
    <row r="160" spans="1:9" ht="12.75">
      <c r="A160" s="153"/>
      <c r="B160" s="153"/>
      <c r="C160" s="153"/>
      <c r="D160" s="162">
        <f>IF(ISNUMBER(SEARCH(ZAKL_DATA!$B$14,E160)),MAX($D$2:D159)+1,0)</f>
        <v>158</v>
      </c>
      <c r="E160" s="163" t="s">
        <v>1901</v>
      </c>
      <c r="F160" s="164">
        <v>3017</v>
      </c>
      <c r="G160" s="165"/>
      <c r="H160" s="166" t="str">
        <f>IFERROR(VLOOKUP(ROWS($H$3:H160),$D$3:$E$204,2,0),"")</f>
        <v>TIŠNOV</v>
      </c>
      <c r="I160" s="153"/>
    </row>
    <row r="161" spans="1:9" ht="51">
      <c r="A161" s="153"/>
      <c r="B161" s="153"/>
      <c r="C161" s="153"/>
      <c r="D161" s="162">
        <f>IF(ISNUMBER(SEARCH(ZAKL_DATA!$B$14,E161)),MAX($D$2:D160)+1,0)</f>
        <v>159</v>
      </c>
      <c r="E161" s="163" t="s">
        <v>1902</v>
      </c>
      <c r="F161" s="164">
        <v>3018</v>
      </c>
      <c r="G161" s="165"/>
      <c r="H161" s="166" t="str">
        <f>IFERROR(VLOOKUP(ROWS($H$3:H161),$D$3:$E$204,2,0),"")</f>
        <v>VESELÍ NAD MORAVOU</v>
      </c>
      <c r="I161" s="153"/>
    </row>
    <row r="162" spans="1:9" ht="12.75">
      <c r="A162" s="153"/>
      <c r="B162" s="153"/>
      <c r="C162" s="153"/>
      <c r="D162" s="162">
        <f>IF(ISNUMBER(SEARCH(ZAKL_DATA!$B$14,E162)),MAX($D$2:D161)+1,0)</f>
        <v>160</v>
      </c>
      <c r="E162" s="163" t="s">
        <v>1903</v>
      </c>
      <c r="F162" s="164">
        <v>3019</v>
      </c>
      <c r="G162" s="165"/>
      <c r="H162" s="166" t="str">
        <f>IFERROR(VLOOKUP(ROWS($H$3:H162),$D$3:$E$204,2,0),"")</f>
        <v>VYŠKOV</v>
      </c>
      <c r="I162" s="153"/>
    </row>
    <row r="163" spans="1:9" ht="12.75">
      <c r="A163" s="153"/>
      <c r="B163" s="153"/>
      <c r="C163" s="153"/>
      <c r="D163" s="162">
        <f>IF(ISNUMBER(SEARCH(ZAKL_DATA!$B$14,E163)),MAX($D$2:D162)+1,0)</f>
        <v>161</v>
      </c>
      <c r="E163" s="163" t="s">
        <v>1904</v>
      </c>
      <c r="F163" s="164">
        <v>3020</v>
      </c>
      <c r="G163" s="165"/>
      <c r="H163" s="166" t="str">
        <f>IFERROR(VLOOKUP(ROWS($H$3:H163),$D$3:$E$204,2,0),"")</f>
        <v>ZNOJMO</v>
      </c>
      <c r="I163" s="153"/>
    </row>
    <row r="164" spans="1:9" ht="25.5">
      <c r="A164" s="153"/>
      <c r="B164" s="153"/>
      <c r="C164" s="153"/>
      <c r="D164" s="162">
        <f>IF(ISNUMBER(SEARCH(ZAKL_DATA!$B$14,E164)),MAX($D$2:D163)+1,0)</f>
        <v>162</v>
      </c>
      <c r="E164" s="163" t="s">
        <v>1905</v>
      </c>
      <c r="F164" s="164">
        <v>3101</v>
      </c>
      <c r="G164" s="165"/>
      <c r="H164" s="166" t="str">
        <f>IFERROR(VLOOKUP(ROWS($H$3:H164),$D$3:$E$204,2,0),"")</f>
        <v>OLOMOUC</v>
      </c>
      <c r="I164" s="153"/>
    </row>
    <row r="165" spans="1:9" ht="25.5">
      <c r="A165" s="153"/>
      <c r="B165" s="153"/>
      <c r="C165" s="153"/>
      <c r="D165" s="162">
        <f>IF(ISNUMBER(SEARCH(ZAKL_DATA!$B$14,E165)),MAX($D$2:D164)+1,0)</f>
        <v>163</v>
      </c>
      <c r="E165" s="163" t="s">
        <v>1906</v>
      </c>
      <c r="F165" s="164">
        <v>3102</v>
      </c>
      <c r="G165" s="165"/>
      <c r="H165" s="166" t="str">
        <f>IFERROR(VLOOKUP(ROWS($H$3:H165),$D$3:$E$204,2,0),"")</f>
        <v>HRANICE</v>
      </c>
      <c r="I165" s="153"/>
    </row>
    <row r="166" spans="1:9" ht="12.75">
      <c r="A166" s="153"/>
      <c r="B166" s="153"/>
      <c r="C166" s="153"/>
      <c r="D166" s="162">
        <f>IF(ISNUMBER(SEARCH(ZAKL_DATA!$B$14,E166)),MAX($D$2:D165)+1,0)</f>
        <v>164</v>
      </c>
      <c r="E166" s="163" t="s">
        <v>1907</v>
      </c>
      <c r="F166" s="164">
        <v>3103</v>
      </c>
      <c r="G166" s="165"/>
      <c r="H166" s="166" t="str">
        <f>IFERROR(VLOOKUP(ROWS($H$3:H166),$D$3:$E$204,2,0),"")</f>
        <v>JESENÍK</v>
      </c>
      <c r="I166" s="153"/>
    </row>
    <row r="167" spans="1:9" ht="12.75">
      <c r="A167" s="153"/>
      <c r="B167" s="153"/>
      <c r="C167" s="153"/>
      <c r="D167" s="162">
        <f>IF(ISNUMBER(SEARCH(ZAKL_DATA!$B$14,E167)),MAX($D$2:D166)+1,0)</f>
        <v>165</v>
      </c>
      <c r="E167" s="163" t="s">
        <v>1908</v>
      </c>
      <c r="F167" s="164">
        <v>3104</v>
      </c>
      <c r="G167" s="165"/>
      <c r="H167" s="166" t="str">
        <f>IFERROR(VLOOKUP(ROWS($H$3:H167),$D$3:$E$204,2,0),"")</f>
        <v>KONICE</v>
      </c>
      <c r="I167" s="153"/>
    </row>
    <row r="168" spans="1:9" ht="12.75">
      <c r="A168" s="153"/>
      <c r="B168" s="153"/>
      <c r="C168" s="153"/>
      <c r="D168" s="162">
        <f>IF(ISNUMBER(SEARCH(ZAKL_DATA!$B$14,E168)),MAX($D$2:D167)+1,0)</f>
        <v>166</v>
      </c>
      <c r="E168" s="163" t="s">
        <v>1909</v>
      </c>
      <c r="F168" s="164">
        <v>3105</v>
      </c>
      <c r="G168" s="165"/>
      <c r="H168" s="166" t="str">
        <f>IFERROR(VLOOKUP(ROWS($H$3:H168),$D$3:$E$204,2,0),"")</f>
        <v>LITOVEL</v>
      </c>
      <c r="I168" s="153"/>
    </row>
    <row r="169" spans="1:9" ht="25.5">
      <c r="A169" s="153"/>
      <c r="B169" s="153"/>
      <c r="C169" s="153"/>
      <c r="D169" s="162">
        <f>IF(ISNUMBER(SEARCH(ZAKL_DATA!$B$14,E169)),MAX($D$2:D168)+1,0)</f>
        <v>167</v>
      </c>
      <c r="E169" s="163" t="s">
        <v>1910</v>
      </c>
      <c r="F169" s="164">
        <v>3106</v>
      </c>
      <c r="G169" s="165"/>
      <c r="H169" s="166" t="str">
        <f>IFERROR(VLOOKUP(ROWS($H$3:H169),$D$3:$E$204,2,0),"")</f>
        <v>PROSTĚJOV</v>
      </c>
      <c r="I169" s="153"/>
    </row>
    <row r="170" spans="1:9" ht="12.75">
      <c r="A170" s="153"/>
      <c r="B170" s="153"/>
      <c r="C170" s="153"/>
      <c r="D170" s="162">
        <f>IF(ISNUMBER(SEARCH(ZAKL_DATA!$B$14,E170)),MAX($D$2:D169)+1,0)</f>
        <v>168</v>
      </c>
      <c r="E170" s="163" t="s">
        <v>1911</v>
      </c>
      <c r="F170" s="164">
        <v>3107</v>
      </c>
      <c r="G170" s="165"/>
      <c r="H170" s="166" t="str">
        <f>IFERROR(VLOOKUP(ROWS($H$3:H170),$D$3:$E$204,2,0),"")</f>
        <v>PŘEROV</v>
      </c>
      <c r="I170" s="153"/>
    </row>
    <row r="171" spans="1:9" ht="25.5">
      <c r="A171" s="153"/>
      <c r="B171" s="153"/>
      <c r="C171" s="153"/>
      <c r="D171" s="162">
        <f>IF(ISNUMBER(SEARCH(ZAKL_DATA!$B$14,E171)),MAX($D$2:D170)+1,0)</f>
        <v>169</v>
      </c>
      <c r="E171" s="163" t="s">
        <v>1912</v>
      </c>
      <c r="F171" s="164">
        <v>3108</v>
      </c>
      <c r="G171" s="165"/>
      <c r="H171" s="166" t="str">
        <f>IFERROR(VLOOKUP(ROWS($H$3:H171),$D$3:$E$204,2,0),"")</f>
        <v>ŠTERNBERK</v>
      </c>
      <c r="I171" s="153"/>
    </row>
    <row r="172" spans="1:9" ht="25.5">
      <c r="A172" s="153"/>
      <c r="B172" s="153"/>
      <c r="C172" s="153"/>
      <c r="D172" s="162">
        <f>IF(ISNUMBER(SEARCH(ZAKL_DATA!$B$14,E172)),MAX($D$2:D171)+1,0)</f>
        <v>170</v>
      </c>
      <c r="E172" s="163" t="s">
        <v>1913</v>
      </c>
      <c r="F172" s="164">
        <v>3109</v>
      </c>
      <c r="G172" s="165"/>
      <c r="H172" s="166" t="str">
        <f>IFERROR(VLOOKUP(ROWS($H$3:H172),$D$3:$E$204,2,0),"")</f>
        <v>ŠUMPERK</v>
      </c>
      <c r="I172" s="153"/>
    </row>
    <row r="173" spans="1:9" ht="12.75">
      <c r="A173" s="153"/>
      <c r="B173" s="153"/>
      <c r="C173" s="153"/>
      <c r="D173" s="162">
        <f>IF(ISNUMBER(SEARCH(ZAKL_DATA!$B$14,E173)),MAX($D$2:D172)+1,0)</f>
        <v>171</v>
      </c>
      <c r="E173" s="163" t="s">
        <v>1914</v>
      </c>
      <c r="F173" s="164">
        <v>3110</v>
      </c>
      <c r="G173" s="165"/>
      <c r="H173" s="166" t="str">
        <f>IFERROR(VLOOKUP(ROWS($H$3:H173),$D$3:$E$204,2,0),"")</f>
        <v>ZÁBŘEH</v>
      </c>
      <c r="I173" s="153"/>
    </row>
    <row r="174" spans="1:9" ht="25.5">
      <c r="A174" s="153"/>
      <c r="B174" s="153"/>
      <c r="C174" s="153"/>
      <c r="D174" s="162">
        <f>IF(ISNUMBER(SEARCH(ZAKL_DATA!$B$14,E174)),MAX($D$2:D173)+1,0)</f>
        <v>172</v>
      </c>
      <c r="E174" s="163" t="s">
        <v>1915</v>
      </c>
      <c r="F174" s="164">
        <v>3201</v>
      </c>
      <c r="G174" s="165"/>
      <c r="H174" s="166" t="str">
        <f>IFERROR(VLOOKUP(ROWS($H$3:H174),$D$3:$E$204,2,0),"")</f>
        <v>OSTRAVA I</v>
      </c>
      <c r="I174" s="153"/>
    </row>
    <row r="175" spans="1:9" ht="25.5">
      <c r="A175" s="153"/>
      <c r="B175" s="153"/>
      <c r="C175" s="153"/>
      <c r="D175" s="162">
        <f>IF(ISNUMBER(SEARCH(ZAKL_DATA!$B$14,E175)),MAX($D$2:D174)+1,0)</f>
        <v>173</v>
      </c>
      <c r="E175" s="163" t="s">
        <v>1916</v>
      </c>
      <c r="F175" s="164">
        <v>3202</v>
      </c>
      <c r="G175" s="165"/>
      <c r="H175" s="166" t="str">
        <f>IFERROR(VLOOKUP(ROWS($H$3:H175),$D$3:$E$204,2,0),"")</f>
        <v>OSTRAVA II</v>
      </c>
      <c r="I175" s="153"/>
    </row>
    <row r="176" spans="1:9" ht="25.5">
      <c r="A176" s="153"/>
      <c r="B176" s="153"/>
      <c r="C176" s="153"/>
      <c r="D176" s="162">
        <f>IF(ISNUMBER(SEARCH(ZAKL_DATA!$B$14,E176)),MAX($D$2:D175)+1,0)</f>
        <v>174</v>
      </c>
      <c r="E176" s="163" t="s">
        <v>1917</v>
      </c>
      <c r="F176" s="164">
        <v>3203</v>
      </c>
      <c r="G176" s="165"/>
      <c r="H176" s="166" t="str">
        <f>IFERROR(VLOOKUP(ROWS($H$3:H176),$D$3:$E$204,2,0),"")</f>
        <v>OSTRAVA III</v>
      </c>
      <c r="I176" s="153"/>
    </row>
    <row r="177" spans="1:9" ht="25.5">
      <c r="A177" s="153"/>
      <c r="B177" s="153"/>
      <c r="C177" s="153"/>
      <c r="D177" s="162">
        <f>IF(ISNUMBER(SEARCH(ZAKL_DATA!$B$14,E177)),MAX($D$2:D176)+1,0)</f>
        <v>175</v>
      </c>
      <c r="E177" s="163" t="s">
        <v>1918</v>
      </c>
      <c r="F177" s="164">
        <v>3204</v>
      </c>
      <c r="G177" s="165"/>
      <c r="H177" s="166" t="str">
        <f>IFERROR(VLOOKUP(ROWS($H$3:H177),$D$3:$E$204,2,0),"")</f>
        <v>BOHUMÍN</v>
      </c>
      <c r="I177" s="153"/>
    </row>
    <row r="178" spans="1:9" ht="25.5">
      <c r="A178" s="153"/>
      <c r="B178" s="153"/>
      <c r="C178" s="153"/>
      <c r="D178" s="162">
        <f>IF(ISNUMBER(SEARCH(ZAKL_DATA!$B$14,E178)),MAX($D$2:D177)+1,0)</f>
        <v>176</v>
      </c>
      <c r="E178" s="163" t="s">
        <v>1919</v>
      </c>
      <c r="F178" s="164">
        <v>3205</v>
      </c>
      <c r="G178" s="165"/>
      <c r="H178" s="166" t="str">
        <f>IFERROR(VLOOKUP(ROWS($H$3:H178),$D$3:$E$204,2,0),"")</f>
        <v>BRUNTÁL</v>
      </c>
      <c r="I178" s="153"/>
    </row>
    <row r="179" spans="1:9" ht="25.5">
      <c r="A179" s="153"/>
      <c r="B179" s="153"/>
      <c r="C179" s="153"/>
      <c r="D179" s="162">
        <f>IF(ISNUMBER(SEARCH(ZAKL_DATA!$B$14,E179)),MAX($D$2:D178)+1,0)</f>
        <v>177</v>
      </c>
      <c r="E179" s="163" t="s">
        <v>1920</v>
      </c>
      <c r="F179" s="164">
        <v>3206</v>
      </c>
      <c r="G179" s="165"/>
      <c r="H179" s="166" t="str">
        <f>IFERROR(VLOOKUP(ROWS($H$3:H179),$D$3:$E$204,2,0),"")</f>
        <v>ČESKÝ TĚŠÍN</v>
      </c>
      <c r="I179" s="153"/>
    </row>
    <row r="180" spans="1:9" ht="25.5">
      <c r="A180" s="153"/>
      <c r="B180" s="153"/>
      <c r="C180" s="153"/>
      <c r="D180" s="162">
        <f>IF(ISNUMBER(SEARCH(ZAKL_DATA!$B$14,E180)),MAX($D$2:D179)+1,0)</f>
        <v>178</v>
      </c>
      <c r="E180" s="163" t="s">
        <v>1921</v>
      </c>
      <c r="F180" s="164">
        <v>3207</v>
      </c>
      <c r="G180" s="165"/>
      <c r="H180" s="166" t="str">
        <f>IFERROR(VLOOKUP(ROWS($H$3:H180),$D$3:$E$204,2,0),"")</f>
        <v>FRÝDEK-MÍSTEK</v>
      </c>
      <c r="I180" s="153"/>
    </row>
    <row r="181" spans="1:9" ht="51">
      <c r="A181" s="153"/>
      <c r="B181" s="153"/>
      <c r="C181" s="153"/>
      <c r="D181" s="162">
        <f>IF(ISNUMBER(SEARCH(ZAKL_DATA!$B$14,E181)),MAX($D$2:D180)+1,0)</f>
        <v>179</v>
      </c>
      <c r="E181" s="163" t="s">
        <v>1922</v>
      </c>
      <c r="F181" s="164">
        <v>3208</v>
      </c>
      <c r="G181" s="165"/>
      <c r="H181" s="166" t="str">
        <f>IFERROR(VLOOKUP(ROWS($H$3:H181),$D$3:$E$204,2,0),"")</f>
        <v>FRÝDLANT NAD OSTRAV.</v>
      </c>
      <c r="I181" s="153"/>
    </row>
    <row r="182" spans="1:9" ht="12.75">
      <c r="A182" s="153"/>
      <c r="B182" s="153"/>
      <c r="C182" s="153"/>
      <c r="D182" s="162">
        <f>IF(ISNUMBER(SEARCH(ZAKL_DATA!$B$14,E182)),MAX($D$2:D181)+1,0)</f>
        <v>180</v>
      </c>
      <c r="E182" s="163" t="s">
        <v>1923</v>
      </c>
      <c r="F182" s="164">
        <v>3209</v>
      </c>
      <c r="G182" s="165"/>
      <c r="H182" s="166" t="str">
        <f>IFERROR(VLOOKUP(ROWS($H$3:H182),$D$3:$E$204,2,0),"")</f>
        <v>FULNEK</v>
      </c>
      <c r="I182" s="153"/>
    </row>
    <row r="183" spans="1:9" ht="25.5">
      <c r="A183" s="153"/>
      <c r="B183" s="153"/>
      <c r="C183" s="153"/>
      <c r="D183" s="162">
        <f>IF(ISNUMBER(SEARCH(ZAKL_DATA!$B$14,E183)),MAX($D$2:D182)+1,0)</f>
        <v>181</v>
      </c>
      <c r="E183" s="163" t="s">
        <v>1924</v>
      </c>
      <c r="F183" s="164">
        <v>3210</v>
      </c>
      <c r="G183" s="165"/>
      <c r="H183" s="166" t="str">
        <f>IFERROR(VLOOKUP(ROWS($H$3:H183),$D$3:$E$204,2,0),"")</f>
        <v>HAVÍŘOV</v>
      </c>
      <c r="I183" s="153"/>
    </row>
    <row r="184" spans="1:9" ht="12.75">
      <c r="A184" s="153"/>
      <c r="B184" s="153"/>
      <c r="C184" s="153"/>
      <c r="D184" s="162">
        <f>IF(ISNUMBER(SEARCH(ZAKL_DATA!$B$14,E184)),MAX($D$2:D183)+1,0)</f>
        <v>182</v>
      </c>
      <c r="E184" s="163" t="s">
        <v>1925</v>
      </c>
      <c r="F184" s="164">
        <v>3211</v>
      </c>
      <c r="G184" s="165"/>
      <c r="H184" s="166" t="str">
        <f>IFERROR(VLOOKUP(ROWS($H$3:H184),$D$3:$E$204,2,0),"")</f>
        <v>HLUČÍN</v>
      </c>
      <c r="I184" s="153"/>
    </row>
    <row r="185" spans="1:9" ht="25.5">
      <c r="A185" s="153"/>
      <c r="B185" s="153"/>
      <c r="C185" s="153"/>
      <c r="D185" s="162">
        <f>IF(ISNUMBER(SEARCH(ZAKL_DATA!$B$14,E185)),MAX($D$2:D184)+1,0)</f>
        <v>183</v>
      </c>
      <c r="E185" s="163" t="s">
        <v>1926</v>
      </c>
      <c r="F185" s="164">
        <v>3212</v>
      </c>
      <c r="G185" s="165"/>
      <c r="H185" s="166" t="str">
        <f>IFERROR(VLOOKUP(ROWS($H$3:H185),$D$3:$E$204,2,0),"")</f>
        <v>KARVINÁ</v>
      </c>
      <c r="I185" s="153"/>
    </row>
    <row r="186" spans="1:9" ht="25.5">
      <c r="A186" s="153"/>
      <c r="B186" s="153"/>
      <c r="C186" s="153"/>
      <c r="D186" s="162">
        <f>IF(ISNUMBER(SEARCH(ZAKL_DATA!$B$14,E186)),MAX($D$2:D185)+1,0)</f>
        <v>184</v>
      </c>
      <c r="E186" s="163" t="s">
        <v>1927</v>
      </c>
      <c r="F186" s="164">
        <v>3213</v>
      </c>
      <c r="G186" s="165"/>
      <c r="H186" s="166" t="str">
        <f>IFERROR(VLOOKUP(ROWS($H$3:H186),$D$3:$E$204,2,0),"")</f>
        <v>KOPŘIVNICE</v>
      </c>
      <c r="I186" s="153"/>
    </row>
    <row r="187" spans="1:9" ht="12.75">
      <c r="A187" s="153"/>
      <c r="B187" s="153"/>
      <c r="C187" s="153"/>
      <c r="D187" s="162">
        <f>IF(ISNUMBER(SEARCH(ZAKL_DATA!$B$14,E187)),MAX($D$2:D186)+1,0)</f>
        <v>185</v>
      </c>
      <c r="E187" s="163" t="s">
        <v>1928</v>
      </c>
      <c r="F187" s="164">
        <v>3214</v>
      </c>
      <c r="G187" s="165"/>
      <c r="H187" s="166" t="str">
        <f>IFERROR(VLOOKUP(ROWS($H$3:H187),$D$3:$E$204,2,0),"")</f>
        <v>KRNOV</v>
      </c>
      <c r="I187" s="153"/>
    </row>
    <row r="188" spans="1:9" ht="25.5">
      <c r="A188" s="153"/>
      <c r="B188" s="153"/>
      <c r="C188" s="153"/>
      <c r="D188" s="162">
        <f>IF(ISNUMBER(SEARCH(ZAKL_DATA!$B$14,E188)),MAX($D$2:D187)+1,0)</f>
        <v>186</v>
      </c>
      <c r="E188" s="163" t="s">
        <v>1929</v>
      </c>
      <c r="F188" s="164">
        <v>3215</v>
      </c>
      <c r="G188" s="165"/>
      <c r="H188" s="166" t="str">
        <f>IFERROR(VLOOKUP(ROWS($H$3:H188),$D$3:$E$204,2,0),"")</f>
        <v>NOVÝ JIČÍN</v>
      </c>
      <c r="I188" s="153"/>
    </row>
    <row r="189" spans="1:9" ht="12.75">
      <c r="A189" s="153"/>
      <c r="B189" s="153"/>
      <c r="C189" s="153"/>
      <c r="D189" s="162">
        <f>IF(ISNUMBER(SEARCH(ZAKL_DATA!$B$14,E189)),MAX($D$2:D188)+1,0)</f>
        <v>187</v>
      </c>
      <c r="E189" s="163" t="s">
        <v>1930</v>
      </c>
      <c r="F189" s="164">
        <v>3216</v>
      </c>
      <c r="G189" s="165"/>
      <c r="H189" s="166" t="str">
        <f>IFERROR(VLOOKUP(ROWS($H$3:H189),$D$3:$E$204,2,0),"")</f>
        <v>OPAVA</v>
      </c>
      <c r="I189" s="153"/>
    </row>
    <row r="190" spans="1:9" ht="12.75">
      <c r="A190" s="153"/>
      <c r="B190" s="153"/>
      <c r="C190" s="153"/>
      <c r="D190" s="162">
        <f>IF(ISNUMBER(SEARCH(ZAKL_DATA!$B$14,E190)),MAX($D$2:D189)+1,0)</f>
        <v>188</v>
      </c>
      <c r="E190" s="163" t="s">
        <v>1931</v>
      </c>
      <c r="F190" s="164">
        <v>3217</v>
      </c>
      <c r="G190" s="165"/>
      <c r="H190" s="166" t="str">
        <f>IFERROR(VLOOKUP(ROWS($H$3:H190),$D$3:$E$204,2,0),"")</f>
        <v>ORLOVÁ</v>
      </c>
      <c r="I190" s="153"/>
    </row>
    <row r="191" spans="1:9" ht="12.75">
      <c r="A191" s="153"/>
      <c r="B191" s="153"/>
      <c r="C191" s="153"/>
      <c r="D191" s="162">
        <f>IF(ISNUMBER(SEARCH(ZAKL_DATA!$B$14,E191)),MAX($D$2:D190)+1,0)</f>
        <v>189</v>
      </c>
      <c r="E191" s="163" t="s">
        <v>1932</v>
      </c>
      <c r="F191" s="164">
        <v>3218</v>
      </c>
      <c r="G191" s="165"/>
      <c r="H191" s="166" t="str">
        <f>IFERROR(VLOOKUP(ROWS($H$3:H191),$D$3:$E$204,2,0),"")</f>
        <v>TŘINEC</v>
      </c>
      <c r="I191" s="153"/>
    </row>
    <row r="192" spans="1:9" ht="12.75">
      <c r="A192" s="153"/>
      <c r="B192" s="153"/>
      <c r="C192" s="153"/>
      <c r="D192" s="162">
        <f>IF(ISNUMBER(SEARCH(ZAKL_DATA!$B$14,E192)),MAX($D$2:D191)+1,0)</f>
        <v>190</v>
      </c>
      <c r="E192" s="163" t="s">
        <v>1933</v>
      </c>
      <c r="F192" s="164">
        <v>3301</v>
      </c>
      <c r="G192" s="165"/>
      <c r="H192" s="166" t="str">
        <f>IFERROR(VLOOKUP(ROWS($H$3:H192),$D$3:$E$204,2,0),"")</f>
        <v>ZLÍN</v>
      </c>
      <c r="I192" s="153"/>
    </row>
    <row r="193" spans="1:9" ht="51">
      <c r="A193" s="153"/>
      <c r="B193" s="153"/>
      <c r="C193" s="153"/>
      <c r="D193" s="162">
        <f>IF(ISNUMBER(SEARCH(ZAKL_DATA!$B$14,E193)),MAX($D$2:D192)+1,0)</f>
        <v>191</v>
      </c>
      <c r="E193" s="163" t="s">
        <v>1934</v>
      </c>
      <c r="F193" s="164">
        <v>3302</v>
      </c>
      <c r="G193" s="165"/>
      <c r="H193" s="166" t="str">
        <f>IFERROR(VLOOKUP(ROWS($H$3:H193),$D$3:$E$204,2,0),"")</f>
        <v>BYSTŘICE POD HOSTÝNEM</v>
      </c>
      <c r="I193" s="153"/>
    </row>
    <row r="194" spans="1:9" ht="25.5">
      <c r="A194" s="153"/>
      <c r="B194" s="153"/>
      <c r="C194" s="153"/>
      <c r="D194" s="162">
        <f>IF(ISNUMBER(SEARCH(ZAKL_DATA!$B$14,E194)),MAX($D$2:D193)+1,0)</f>
        <v>192</v>
      </c>
      <c r="E194" s="163" t="s">
        <v>1935</v>
      </c>
      <c r="F194" s="164">
        <v>3303</v>
      </c>
      <c r="G194" s="165"/>
      <c r="H194" s="166" t="str">
        <f>IFERROR(VLOOKUP(ROWS($H$3:H194),$D$3:$E$204,2,0),"")</f>
        <v>HOLEŠOV</v>
      </c>
      <c r="I194" s="153"/>
    </row>
    <row r="195" spans="1:9" ht="25.5">
      <c r="A195" s="153"/>
      <c r="B195" s="153"/>
      <c r="C195" s="153"/>
      <c r="D195" s="162">
        <f>IF(ISNUMBER(SEARCH(ZAKL_DATA!$B$14,E195)),MAX($D$2:D194)+1,0)</f>
        <v>193</v>
      </c>
      <c r="E195" s="163" t="s">
        <v>1936</v>
      </c>
      <c r="F195" s="164">
        <v>3304</v>
      </c>
      <c r="G195" s="165"/>
      <c r="H195" s="166" t="str">
        <f>IFERROR(VLOOKUP(ROWS($H$3:H195),$D$3:$E$204,2,0),"")</f>
        <v>KROMĚŘÍŽ</v>
      </c>
      <c r="I195" s="153"/>
    </row>
    <row r="196" spans="1:9" ht="25.5">
      <c r="A196" s="153"/>
      <c r="B196" s="153"/>
      <c r="C196" s="153"/>
      <c r="D196" s="162">
        <f>IF(ISNUMBER(SEARCH(ZAKL_DATA!$B$14,E196)),MAX($D$2:D195)+1,0)</f>
        <v>194</v>
      </c>
      <c r="E196" s="163" t="s">
        <v>1937</v>
      </c>
      <c r="F196" s="164">
        <v>3305</v>
      </c>
      <c r="G196" s="165"/>
      <c r="H196" s="166" t="str">
        <f>IFERROR(VLOOKUP(ROWS($H$3:H196),$D$3:$E$204,2,0),"")</f>
        <v>LUHAČOVICE</v>
      </c>
      <c r="I196" s="153"/>
    </row>
    <row r="197" spans="1:9" ht="25.5">
      <c r="A197" s="153"/>
      <c r="B197" s="153"/>
      <c r="C197" s="153"/>
      <c r="D197" s="162">
        <f>IF(ISNUMBER(SEARCH(ZAKL_DATA!$B$14,E197)),MAX($D$2:D196)+1,0)</f>
        <v>195</v>
      </c>
      <c r="E197" s="163" t="s">
        <v>1938</v>
      </c>
      <c r="F197" s="164">
        <v>3306</v>
      </c>
      <c r="G197" s="165"/>
      <c r="H197" s="166" t="str">
        <f>IFERROR(VLOOKUP(ROWS($H$3:H197),$D$3:$E$204,2,0),"")</f>
        <v>OTROKOVICE</v>
      </c>
      <c r="I197" s="153"/>
    </row>
    <row r="198" spans="1:9" ht="38.25">
      <c r="A198" s="153"/>
      <c r="B198" s="153"/>
      <c r="C198" s="153"/>
      <c r="D198" s="162">
        <f>IF(ISNUMBER(SEARCH(ZAKL_DATA!$B$14,E198)),MAX($D$2:D197)+1,0)</f>
        <v>196</v>
      </c>
      <c r="E198" s="163" t="s">
        <v>1939</v>
      </c>
      <c r="F198" s="164">
        <v>3307</v>
      </c>
      <c r="G198" s="165"/>
      <c r="H198" s="166" t="str">
        <f>IFERROR(VLOOKUP(ROWS($H$3:H198),$D$3:$E$204,2,0),"")</f>
        <v>ROŽNOV POD RADH.</v>
      </c>
      <c r="I198" s="153"/>
    </row>
    <row r="199" spans="1:9" ht="25.5">
      <c r="A199" s="153"/>
      <c r="B199" s="153"/>
      <c r="C199" s="153"/>
      <c r="D199" s="162">
        <f>IF(ISNUMBER(SEARCH(ZAKL_DATA!$B$14,E199)),MAX($D$2:D198)+1,0)</f>
        <v>197</v>
      </c>
      <c r="E199" s="163" t="s">
        <v>1940</v>
      </c>
      <c r="F199" s="164">
        <v>3308</v>
      </c>
      <c r="G199" s="165"/>
      <c r="H199" s="166" t="str">
        <f>IFERROR(VLOOKUP(ROWS($H$3:H199),$D$3:$E$204,2,0),"")</f>
        <v>UHERSKÝ BROD</v>
      </c>
      <c r="I199" s="153"/>
    </row>
    <row r="200" spans="1:9" ht="51">
      <c r="A200" s="153"/>
      <c r="B200" s="153"/>
      <c r="C200" s="153"/>
      <c r="D200" s="162">
        <f>IF(ISNUMBER(SEARCH(ZAKL_DATA!$B$14,E200)),MAX($D$2:D199)+1,0)</f>
        <v>198</v>
      </c>
      <c r="E200" s="163" t="s">
        <v>1941</v>
      </c>
      <c r="F200" s="164">
        <v>3309</v>
      </c>
      <c r="G200" s="165"/>
      <c r="H200" s="166" t="str">
        <f>IFERROR(VLOOKUP(ROWS($H$3:H200),$D$3:$E$204,2,0),"")</f>
        <v>UHERSKÉ HRADIŠTĚ</v>
      </c>
      <c r="I200" s="153"/>
    </row>
    <row r="201" spans="1:9" ht="38.25">
      <c r="A201" s="153"/>
      <c r="B201" s="153"/>
      <c r="C201" s="153"/>
      <c r="D201" s="162">
        <f>IF(ISNUMBER(SEARCH(ZAKL_DATA!$B$14,E201)),MAX($D$2:D200)+1,0)</f>
        <v>199</v>
      </c>
      <c r="E201" s="163" t="s">
        <v>1942</v>
      </c>
      <c r="F201" s="164">
        <v>3310</v>
      </c>
      <c r="G201" s="165"/>
      <c r="H201" s="166" t="str">
        <f>IFERROR(VLOOKUP(ROWS($H$3:H201),$D$3:$E$204,2,0),"")</f>
        <v>VALAŠSKÉ MEZIŘÍČÍ</v>
      </c>
      <c r="I201" s="153"/>
    </row>
    <row r="202" spans="1:9" ht="51">
      <c r="A202" s="153"/>
      <c r="B202" s="153"/>
      <c r="C202" s="153"/>
      <c r="D202" s="162">
        <f>IF(ISNUMBER(SEARCH(ZAKL_DATA!$B$14,E202)),MAX($D$2:D201)+1,0)</f>
        <v>200</v>
      </c>
      <c r="E202" s="163" t="s">
        <v>1943</v>
      </c>
      <c r="F202" s="164">
        <v>3311</v>
      </c>
      <c r="G202" s="165"/>
      <c r="H202" s="166" t="str">
        <f>IFERROR(VLOOKUP(ROWS($H$3:H202),$D$3:$E$204,2,0),"")</f>
        <v>VALAŠSKÉ KLOBOUKY</v>
      </c>
      <c r="I202" s="153"/>
    </row>
    <row r="203" spans="1:9" ht="12.75">
      <c r="A203" s="153"/>
      <c r="B203" s="153"/>
      <c r="C203" s="153"/>
      <c r="D203" s="162">
        <f>IF(ISNUMBER(SEARCH(ZAKL_DATA!$B$14,E203)),MAX($D$2:D202)+1,0)</f>
        <v>201</v>
      </c>
      <c r="E203" s="163" t="s">
        <v>1944</v>
      </c>
      <c r="F203" s="164">
        <v>3312</v>
      </c>
      <c r="G203" s="165"/>
      <c r="H203" s="166" t="str">
        <f>IFERROR(VLOOKUP(ROWS($H$3:H203),$D$3:$E$204,2,0),"")</f>
        <v>VSETÍN</v>
      </c>
      <c r="I203" s="153"/>
    </row>
    <row r="204" spans="1:9" ht="39" thickBot="1">
      <c r="A204" s="153"/>
      <c r="B204" s="153"/>
      <c r="C204" s="153"/>
      <c r="D204" s="162">
        <f>IF(ISNUMBER(SEARCH(ZAKL_DATA!$B$14,E204)),MAX($D$2:D203)+1,0)</f>
        <v>202</v>
      </c>
      <c r="E204" s="172" t="s">
        <v>1757</v>
      </c>
      <c r="F204" s="173">
        <v>4000</v>
      </c>
      <c r="G204" s="174"/>
      <c r="H204" s="175" t="str">
        <f>IFERROR(VLOOKUP(ROWS($H$3:H204),$D$3:$E$204,2,0),"")</f>
        <v>SPECIALIZOVANÝ</v>
      </c>
      <c r="I204" s="153"/>
    </row>
    <row r="205" spans="1:9" ht="12.75" thickBot="1">
      <c r="A205" s="153"/>
      <c r="B205" s="153"/>
      <c r="C205" s="153"/>
      <c r="D205" s="154"/>
      <c r="E205" s="153"/>
      <c r="F205" s="153"/>
      <c r="G205" s="153"/>
      <c r="H205" s="153" t="str">
        <f>IFERROR(VLOOKUP(ROWS($H$3:H205),$D$2:$E$204,2,0),"")</f>
        <v/>
      </c>
      <c r="I205" s="153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XML_mapping</vt:lpstr>
      <vt:lpstr>Ciselnik</vt:lpstr>
      <vt:lpstr>FU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2021-11-30T11:52:11Z</cp:lastPrinted>
  <dcterms:created xsi:type="dcterms:W3CDTF">2000-01-03T15:03:18Z</dcterms:created>
  <dcterms:modified xsi:type="dcterms:W3CDTF">2022-11-11T11:39:33Z</dcterms:modified>
  <cp:category/>
</cp:coreProperties>
</file>